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CA705B0-04E6-4338-B045-E0A2C1999FEB}"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B7805" i="106" l="1"/>
  <c r="D7805" i="106" s="1"/>
  <c r="N21" i="3"/>
  <c r="B7801" i="106"/>
  <c r="D7801" i="106" s="1"/>
  <c r="F166" i="34"/>
  <c r="B7809" i="106"/>
  <c r="D7809" i="106" s="1"/>
  <c r="B7804" i="106"/>
  <c r="D7804" i="106" s="1"/>
  <c r="B7807" i="106"/>
  <c r="D7807" i="106" s="1"/>
  <c r="B5196" i="106"/>
  <c r="B7802" i="106"/>
  <c r="D7802" i="106" s="1"/>
  <c r="B7812" i="106"/>
  <c r="D7812" i="106" s="1"/>
  <c r="B7803" i="106"/>
  <c r="D7803" i="106" s="1"/>
  <c r="B7815" i="106"/>
  <c r="D7815" i="106" s="1"/>
  <c r="B7814" i="106"/>
  <c r="D7814" i="106" s="1"/>
  <c r="B7808" i="106"/>
  <c r="D7808" i="106" s="1"/>
  <c r="F167" i="34"/>
  <c r="B7813" i="106"/>
  <c r="D7813" i="106" s="1"/>
  <c r="B7810" i="106"/>
  <c r="D7810" i="106" s="1"/>
  <c r="B15" i="7"/>
  <c r="B7811" i="106"/>
  <c r="D7811" i="106" s="1"/>
  <c r="B7806" i="106"/>
  <c r="D7806" i="106" s="1"/>
  <c r="D17" i="171"/>
  <c r="F29" i="34"/>
  <c r="B7816" i="106"/>
  <c r="D7816" i="106"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68" i="36" l="1"/>
  <c r="G34" i="108"/>
  <c r="F38" i="34"/>
  <c r="G33" i="108"/>
  <c r="E35" i="108"/>
  <c r="F26" i="108"/>
  <c r="F37" i="108"/>
  <c r="B7078" i="106"/>
  <c r="D7078" i="106" s="1"/>
  <c r="F70" i="34"/>
  <c r="J22" i="37"/>
  <c r="D22" i="37"/>
  <c r="B7076" i="106"/>
  <c r="D7076" i="106" s="1"/>
  <c r="G14" i="4"/>
  <c r="B2609" i="106" s="1"/>
  <c r="D2609" i="106" s="1"/>
  <c r="F72" i="34"/>
  <c r="F71" i="34"/>
  <c r="D36" i="108"/>
  <c r="N22" i="3"/>
  <c r="B283" i="106" s="1"/>
  <c r="D283" i="106" s="1"/>
  <c r="F64" i="34"/>
  <c r="F36" i="108"/>
  <c r="D69" i="36"/>
  <c r="B7727" i="106"/>
  <c r="D7727" i="106" s="1"/>
  <c r="L22" i="37"/>
  <c r="J210" i="29"/>
  <c r="B7072" i="106" s="1"/>
  <c r="D7072" i="106" s="1"/>
  <c r="I210" i="29"/>
  <c r="B7071" i="106" s="1"/>
  <c r="D7071"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<sst xmlns="http://schemas.openxmlformats.org/spreadsheetml/2006/main" count="5094" uniqueCount="2105">
  <si>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</si>
  <si>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</si>
  <si>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</si>
  <si>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</si>
  <si>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</si>
  <si>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</si>
  <si>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</si>
  <si>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</si>
  <si>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</si>
  <si>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</si>
  <si>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</si>
  <si>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</si>
  <si>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</si>
  <si>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</si>
  <si>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</si>
  <si>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</si>
  <si>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</si>
  <si>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</si>
  <si>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</si>
  <si>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</si>
  <si>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</si>
  <si>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</si>
  <si>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</si>
  <si>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</si>
  <si>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</si>
  <si>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</si>
  <si>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</si>
  <si>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</si>
  <si>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</si>
  <si>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</si>
  <si>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</si>
  <si>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</si>
  <si>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</si>
  <si>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</si>
  <si>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</si>
  <si>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</si>
  <si>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</si>
  <si>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</si>
  <si>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</si>
  <si>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</si>
  <si>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</si>
  <si>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</si>
  <si>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</si>
  <si>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</si>
  <si>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</si>
  <si>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</si>
  <si>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</si>
  <si>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</si>
  <si>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</si>
  <si>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</si>
  <si>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</si>
  <si>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</si>
  <si>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</si>
  <si>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</si>
  <si>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</si>
  <si>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</si>
  <si>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</si>
  <si>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</si>
  <si>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</si>
  <si>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</si>
  <si>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</si>
  <si>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</si>
  <si>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</si>
  <si>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</si>
  <si>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</si>
  <si>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</si>
  <si>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</si>
  <si>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</si>
  <si>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</si>
  <si>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</si>
  <si>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</si>
  <si>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</si>
  <si>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</si>
  <si>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</si>
  <si>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</si>
  <si>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</si>
  <si>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</si>
  <si>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</si>
  <si>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</si>
  <si>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</si>
  <si>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</si>
  <si>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</si>
  <si>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</si>
  <si>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</si>
  <si>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</si>
  <si>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</si>
  <si>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</si>
  <si>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</si>
  <si>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</si>
  <si>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</si>
  <si>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</si>
  <si>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</si>
  <si>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</si>
  <si>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</si>
  <si>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</si>
  <si>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</si>
  <si>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</si>
  <si>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</si>
  <si>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</si>
  <si>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</si>
  <si>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</si>
  <si>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</si>
  <si>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</si>
  <si>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</si>
  <si>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</si>
  <si>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</si>
  <si>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</si>
  <si>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</si>
  <si>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</si>
  <si>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</si>
  <si>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</si>
  <si>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</si>
  <si>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</si>
  <si>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</si>
  <si>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</si>
  <si>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</si>
  <si>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</si>
  <si>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</si>
  <si>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</si>
  <si>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</si>
  <si>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</si>
  <si>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</si>
  <si>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</si>
  <si>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</si>
  <si>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</si>
  <si>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</si>
  <si>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</si>
  <si>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</si>
  <si>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</si>
  <si>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</si>
  <si>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</si>
  <si>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</si>
  <si>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</si>
  <si>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</si>
  <si>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</si>
  <si>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</si>
  <si>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</si>
  <si>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</si>
  <si>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</si>
  <si>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</si>
  <si>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</si>
  <si>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</si>
  <si>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</si>
  <si>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</si>
  <si>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</si>
  <si>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</si>
  <si>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</si>
  <si>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</si>
  <si>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</si>
  <si>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</si>
  <si>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</si>
  <si>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</si>
  <si>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</si>
  <si>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</si>
  <si>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</si>
  <si>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</si>
  <si>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</si>
  <si>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</si>
  <si>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</si>
  <si>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</si>
  <si>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</si>
  <si>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</si>
  <si>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</si>
  <si>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</si>
  <si>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</si>
  <si>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</si>
  <si>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</si>
  <si>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</si>
  <si>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</si>
  <si>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</si>
  <si>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</si>
  <si>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</si>
  <si>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</si>
  <si>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</si>
  <si>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</si>
  <si>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</si>
  <si>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</si>
  <si>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</si>
  <si>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</si>
  <si>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</si>
  <si>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</si>
  <si>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</si>
  <si>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</si>
  <si>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</si>
  <si>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</si>
  <si>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</si>
  <si>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</si>
  <si>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</si>
  <si>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</si>
  <si>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</si>
  <si>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</si>
  <si>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</si>
  <si>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</si>
  <si>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</si>
  <si>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</si>
  <si>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</si>
  <si>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</si>
  <si>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</si>
  <si>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</si>
  <si>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</si>
  <si>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</si>
  <si>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</si>
  <si>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</si>
  <si>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</si>
  <si>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</si>
  <si>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</si>
  <si>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</si>
  <si>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</si>
  <si>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</si>
  <si>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</si>
  <si>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</si>
  <si>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</si>
  <si>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</si>
  <si>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</si>
  <si>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</si>
  <si>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</si>
  <si>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</si>
  <si>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</si>
  <si>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</si>
  <si>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</si>
  <si>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</si>
  <si>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</si>
  <si>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</si>
  <si>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</si>
  <si>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</si>
  <si>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</si>
  <si>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</si>
  <si>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</si>
  <si>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</si>
  <si>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</si>
  <si>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</si>
  <si>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</si>
  <si>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</si>
  <si>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</si>
  <si>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</si>
  <si>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</si>
  <si>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</si>
  <si>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</si>
  <si>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</si>
  <si>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</si>
  <si>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</si>
  <si>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</si>
  <si>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</si>
  <si>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</si>
  <si>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</si>
  <si>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</si>
  <si>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</si>
  <si>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</si>
  <si>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</si>
  <si>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</si>
  <si>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</si>
  <si>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</si>
  <si>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</si>
  <si>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</si>
  <si>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</si>
  <si>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</si>
  <si>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</si>
  <si>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</si>
  <si>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</si>
  <si>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</si>
  <si>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</si>
  <si>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</si>
  <si>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</si>
  <si>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</si>
  <si>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</si>
  <si>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</si>
  <si>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</si>
  <si>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</si>
  <si>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</si>
  <si>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</si>
  <si>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</si>
  <si>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</si>
  <si>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</si>
  <si>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</si>
  <si>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</si>
  <si>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</si>
  <si>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</si>
  <si>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</si>
  <si>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</si>
  <si>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</si>
  <si>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</si>
  <si>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</si>
  <si>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</si>
  <si>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</si>
  <si>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</si>
  <si>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</si>
  <si>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</si>
  <si>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</si>
  <si>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</si>
  <si>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</si>
  <si>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</si>
  <si>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</si>
  <si>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</si>
  <si>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</si>
  <si>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</si>
  <si>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</si>
  <si>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</si>
  <si>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</si>
  <si>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</si>
  <si>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</si>
  <si>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</si>
  <si>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</si>
  <si>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</si>
  <si>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</si>
  <si>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</si>
  <si>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</si>
  <si>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</si>
  <si>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</si>
  <si>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</si>
  <si>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</si>
  <si>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</si>
  <si>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</si>
  <si>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</si>
  <si>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</si>
  <si>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</si>
  <si>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</si>
  <si>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</si>
  <si>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</si>
  <si>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</si>
  <si>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</si>
  <si>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</si>
  <si>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</si>
  <si>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</si>
  <si>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</si>
  <si>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</si>
  <si>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</si>
  <si>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</si>
  <si>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</si>
  <si>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</si>
  <si>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</si>
  <si>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</si>
  <si>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</si>
  <si>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</si>
  <si>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</si>
  <si>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</si>
  <si>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</si>
  <si>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</si>
  <si>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</si>
  <si>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</si>
  <si>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</si>
  <si>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</si>
  <si>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</si>
  <si>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</si>
  <si>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</si>
  <si>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</si>
  <si>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</si>
  <si>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</si>
  <si>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</si>
  <si>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</si>
  <si>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</si>
  <si>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</si>
  <si>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</si>
  <si>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</si>
  <si>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</si>
  <si>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</si>
  <si>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</si>
  <si>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</si>
  <si>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</si>
  <si>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</si>
  <si>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</si>
  <si>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</si>
  <si>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</si>
  <si>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</si>
  <si>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</si>
  <si>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</si>
  <si>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</si>
  <si>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</si>
  <si>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</si>
  <si>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</si>
  <si>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</si>
  <si>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</si>
  <si>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</si>
  <si>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</si>
  <si>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</si>
  <si>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</si>
  <si>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</si>
  <si>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</si>
  <si>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</si>
  <si>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</si>
  <si>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</si>
  <si>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</si>
  <si>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</si>
  <si>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</si>
  <si>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</si>
  <si>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</si>
  <si>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</si>
  <si>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</si>
  <si>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</si>
  <si>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</si>
  <si>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</si>
  <si>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</si>
  <si>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</si>
  <si>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</si>
  <si>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</si>
  <si>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</si>
  <si>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</si>
  <si>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</si>
  <si>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</si>
  <si>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</si>
  <si>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</si>
  <si>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</si>
  <si>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</si>
  <si>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</si>
  <si>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</si>
  <si>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</si>
  <si>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</si>
  <si>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</si>
  <si>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</si>
  <si>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</si>
  <si>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</si>
  <si>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</si>
  <si>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</si>
  <si>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</si>
  <si>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</si>
  <si>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</si>
  <si>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</si>
  <si>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</si>
  <si>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</si>
  <si>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</si>
  <si>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</si>
  <si>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</si>
  <si>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</si>
  <si>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</si>
  <si>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</si>
  <si>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</si>
  <si>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</si>
  <si>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</si>
  <si>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</si>
  <si>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</si>
  <si>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</si>
  <si>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</si>
  <si>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</si>
  <si>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</si>
  <si>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</si>
  <si>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</si>
  <si>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</si>
  <si>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</si>
  <si>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</si>
  <si>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</si>
  <si>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</si>
  <si>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</si>
  <si>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</si>
  <si>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</si>
  <si>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</si>
  <si>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</si>
  <si>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</si>
  <si>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</si>
  <si>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</si>
  <si>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</si>
  <si>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</si>
  <si>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</si>
  <si>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</si>
  <si>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</si>
  <si>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</si>
  <si>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</si>
  <si>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</si>
  <si>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</si>
  <si>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</si>
  <si>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</si>
  <si>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</si>
  <si>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</si>
  <si>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</si>
  <si>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</si>
  <si>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</si>
  <si>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</si>
  <si>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</si>
  <si>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</si>
  <si>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</si>
  <si>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</si>
  <si>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</si>
  <si>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</si>
  <si>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</si>
  <si>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</si>
  <si>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</si>
  <si>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</si>
  <si>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</si>
  <si>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</si>
  <si>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</si>
  <si>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</si>
  <si>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</si>
  <si>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</si>
  <si>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</si>
  <si>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</si>
  <si>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</si>
  <si>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</si>
  <si>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</si>
  <si>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</si>
  <si>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</si>
  <si>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</si>
  <si>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</si>
  <si>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</si>
  <si>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</si>
  <si>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</si>
  <si>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</si>
  <si>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</si>
  <si>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</si>
  <si>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</si>
  <si>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</si>
  <si>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</si>
  <si>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</si>
  <si>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</si>
  <si>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</si>
  <si>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</si>
  <si>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</si>
  <si>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</si>
  <si>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</si>
  <si>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</si>
  <si>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</si>
  <si>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</si>
  <si>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</si>
  <si>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</si>
  <si>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</si>
  <si>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</si>
  <si>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</si>
  <si>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</si>
  <si>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</si>
  <si>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</si>
  <si>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</si>
  <si>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</si>
  <si>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</si>
  <si>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</si>
  <si>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</si>
  <si>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</si>
  <si>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</si>
  <si>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</si>
  <si>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</si>
  <si>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</si>
  <si>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</si>
  <si>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</si>
  <si>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</si>
  <si>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</si>
  <si>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</si>
  <si>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</si>
  <si>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</si>
  <si>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</si>
  <si>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</si>
  <si>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</si>
  <si>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</si>
  <si>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</si>
  <si>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</si>
  <si>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</si>
  <si>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</si>
  <si>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</si>
  <si>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</si>
  <si>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</si>
  <si>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</si>
  <si>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</si>
  <si>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</si>
  <si>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</si>
  <si>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</si>
  <si>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</si>
  <si>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</si>
  <si>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</si>
  <si>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</si>
  <si>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</si>
  <si>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</si>
  <si>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</si>
  <si>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</si>
  <si>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</si>
  <si>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</si>
  <si>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</si>
  <si>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</si>
  <si>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</si>
  <si>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</si>
  <si>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</si>
  <si>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</si>
  <si>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</si>
  <si>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</si>
  <si>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</si>
  <si>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</si>
  <si>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</si>
  <si>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</si>
  <si>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</si>
  <si>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</si>
  <si>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</si>
  <si>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</si>
  <si>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</si>
  <si>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</si>
  <si>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</si>
  <si>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</si>
  <si>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</si>
  <si>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</si>
  <si>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</si>
  <si>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</si>
  <si>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</si>
  <si>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</si>
  <si>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</si>
  <si>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</si>
  <si>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</si>
  <si>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</si>
  <si>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</si>
  <si>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</si>
  <si>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</si>
  <si>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</si>
  <si>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</si>
  <si>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</si>
  <si>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</si>
  <si>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</si>
  <si>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</si>
  <si>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</si>
  <si>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</si>
  <si>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</si>
  <si>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</si>
  <si>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</si>
  <si>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</si>
  <si>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</si>
  <si>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</si>
  <si>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</si>
  <si>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</si>
  <si>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</si>
  <si>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</si>
  <si>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</si>
  <si>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</si>
  <si>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</si>
  <si>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</si>
  <si>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</si>
  <si>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</si>
  <si>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</si>
  <si>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</si>
  <si>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</si>
  <si>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</si>
  <si>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</si>
  <si>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</si>
  <si>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</si>
  <si>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</si>
  <si>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</si>
  <si>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</si>
  <si>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</si>
  <si>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</si>
  <si>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</si>
  <si>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</si>
  <si>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</si>
  <si>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</si>
  <si>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</si>
  <si>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</si>
  <si>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</si>
  <si>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</si>
  <si>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</si>
  <si>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</si>
  <si>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</si>
  <si>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</si>
  <si>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</si>
  <si>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</si>
  <si>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</si>
  <si>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</si>
  <si>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</si>
  <si>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</si>
  <si>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</si>
  <si>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</si>
  <si>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</si>
  <si>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</si>
  <si>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</si>
  <si>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</si>
  <si>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</si>
  <si>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</si>
  <si>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</si>
  <si>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</si>
  <si>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</si>
  <si>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</si>
  <si>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</si>
  <si>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</si>
  <si>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</si>
  <si>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</si>
  <si>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</si>
  <si>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</si>
  <si>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</si>
  <si>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</si>
  <si>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</si>
  <si>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</si>
  <si>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</si>
  <si>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</si>
  <si>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</si>
  <si>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</si>
  <si>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</si>
  <si>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</si>
  <si>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</si>
  <si>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</si>
  <si>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</si>
  <si>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</si>
  <si>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</si>
  <si>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</si>
  <si>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</si>
  <si>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</si>
  <si>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</si>
  <si>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</si>
  <si>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</si>
  <si>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</si>
  <si>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</si>
  <si>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</si>
  <si>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</si>
  <si>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</si>
  <si>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</si>
  <si>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</si>
  <si>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</si>
  <si>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</si>
  <si>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</si>
  <si>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</si>
  <si>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</si>
  <si>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</si>
  <si>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</si>
  <si>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</si>
  <si>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</si>
  <si>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</si>
  <si>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</si>
  <si>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</si>
  <si>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</si>
  <si>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</si>
  <si>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</si>
  <si>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</si>
  <si>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</si>
  <si>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</si>
  <si>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</si>
  <si>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</si>
  <si>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</si>
  <si>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</si>
  <si>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</si>
  <si>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</si>
  <si>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</si>
  <si>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</si>
  <si>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</si>
  <si>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</si>
  <si>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</si>
  <si>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</si>
  <si>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</si>
  <si>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</si>
  <si>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</si>
  <si>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</si>
  <si>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</si>
  <si>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</si>
  <si>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</si>
  <si>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</si>
  <si>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</si>
  <si>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</si>
  <si>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</si>
  <si>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</si>
  <si>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</si>
  <si>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</si>
  <si>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</si>
  <si>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</si>
  <si>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</si>
  <si>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</si>
  <si>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</si>
  <si>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</si>
  <si>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</si>
  <si>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</si>
  <si>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</si>
  <si>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</si>
  <si>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</si>
  <si>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</si>
  <si>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</si>
  <si>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</si>
  <si>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</si>
  <si>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</si>
  <si>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</si>
  <si>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</si>
  <si>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</si>
  <si>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</si>
  <si>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</si>
  <si>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</si>
  <si>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</si>
  <si>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</si>
  <si>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</si>
  <si>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</si>
  <si>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</si>
  <si>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</si>
  <si>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</si>
  <si>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</si>
  <si>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</si>
  <si>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</si>
  <si>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</si>
  <si>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</si>
  <si>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</si>
  <si>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</si>
  <si>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</si>
  <si>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</si>
  <si>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</si>
  <si>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</si>
  <si>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</si>
  <si>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</si>
  <si>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</si>
  <si>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</si>
  <si>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</si>
  <si>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</si>
  <si>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</si>
  <si>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</si>
  <si>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</si>
  <si>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</si>
  <si>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</si>
  <si>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</si>
  <si>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</si>
  <si>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</si>
  <si>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</si>
  <si>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</si>
  <si>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</si>
  <si>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</si>
  <si>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</si>
  <si>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</si>
  <si>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</si>
  <si>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</si>
  <si>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</si>
  <si>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</si>
  <si>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</si>
  <si>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</si>
  <si>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</si>
  <si>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</si>
  <si>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</si>
  <si>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</si>
  <si>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</si>
  <si>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</si>
  <si>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</si>
  <si>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</si>
  <si>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</si>
  <si>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</si>
  <si>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</si>
  <si>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</si>
  <si>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</si>
  <si>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</si>
  <si>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</si>
  <si>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</si>
  <si>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</si>
  <si>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</si>
  <si>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</si>
  <si>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</si>
  <si>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</si>
  <si>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</si>
  <si>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</si>
  <si>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</si>
  <si>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</si>
  <si>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</si>
  <si>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</si>
  <si>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</si>
  <si>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</si>
  <si>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</si>
  <si>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</si>
  <si>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</si>
  <si>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</si>
  <si>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</si>
  <si>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</si>
  <si>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</si>
  <si>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</si>
  <si>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</si>
  <si>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</si>
  <si>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</si>
  <si>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</si>
  <si>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</si>
  <si>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</si>
  <si>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</si>
  <si>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</si>
  <si>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</si>
  <si>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</si>
  <si>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</si>
  <si>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</si>
  <si>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</si>
  <si>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</si>
  <si>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</si>
  <si>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</si>
  <si>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</si>
  <si>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</si>
  <si>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</si>
  <si>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</si>
  <si>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</si>
  <si>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</si>
  <si>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</si>
  <si>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</si>
  <si>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</si>
  <si>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</si>
  <si>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</si>
  <si>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</si>
  <si>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</si>
  <si>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</si>
  <si>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</si>
  <si>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</si>
  <si>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</si>
  <si>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</si>
  <si>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</si>
  <si>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</si>
  <si>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</si>
  <si>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</si>
  <si>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</si>
  <si>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</si>
  <si>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</si>
  <si>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</si>
  <si>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</si>
  <si>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</si>
  <si>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</si>
  <si>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</si>
  <si>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</si>
  <si>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</si>
  <si>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</si>
  <si>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</si>
  <si>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</si>
  <si>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</si>
  <si>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</si>
  <si>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</si>
  <si>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</si>
  <si>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</si>
  <si>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</si>
  <si>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</si>
  <si>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</si>
  <si>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</si>
  <si>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</si>
  <si>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</si>
  <si>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</si>
  <si>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</si>
  <si>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</si>
  <si>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</si>
  <si>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</si>
  <si>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</si>
  <si>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</si>
  <si>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</si>
  <si>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</si>
  <si>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</si>
  <si>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</si>
  <si>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</si>
  <si>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</si>
  <si>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</si>
  <si>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</si>
  <si>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</si>
  <si>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</si>
  <si>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</si>
  <si>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</si>
  <si>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</si>
  <si>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</si>
  <si>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</si>
  <si>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</si>
  <si>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</si>
  <si>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</si>
  <si>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</si>
  <si>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</si>
  <si>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</si>
  <si>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</si>
  <si>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</si>
  <si>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</si>
  <si>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</si>
  <si>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</si>
  <si>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</si>
  <si>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</si>
  <si>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</si>
  <si>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</si>
  <si>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</si>
  <si>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</si>
  <si>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</si>
  <si>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</si>
  <si>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</si>
  <si>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</si>
  <si>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</si>
  <si>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</si>
  <si>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</si>
  <si>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</si>
  <si>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</si>
  <si>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</si>
  <si>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</si>
  <si>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</si>
  <si>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</si>
  <si>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</si>
  <si>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</si>
  <si>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</si>
  <si>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</si>
  <si>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</si>
  <si>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</si>
  <si>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</si>
  <si>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</si>
  <si>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</si>
  <si>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</si>
  <si>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</si>
  <si>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</si>
  <si>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</si>
  <si>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</si>
  <si>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</si>
  <si>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</si>
  <si>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</si>
  <si>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</si>
  <si>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</si>
  <si>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</si>
  <si>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</si>
  <si>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</si>
  <si>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</si>
  <si>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</si>
  <si>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</si>
  <si>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</si>
  <si>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</si>
  <si>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</si>
  <si>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</si>
  <si>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</si>
  <si>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</si>
  <si>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</si>
  <si>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</si>
  <si>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</si>
  <si>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</si>
  <si>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</si>
  <si>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</si>
  <si>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</si>
  <si>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</si>
  <si>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</si>
  <si>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</si>
  <si>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</si>
  <si>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</si>
  <si>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</si>
  <si>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</si>
  <si>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</si>
  <si>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</si>
  <si>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</si>
  <si>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</si>
  <si>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</si>
  <si>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</si>
  <si>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</si>
  <si>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</si>
  <si>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</si>
  <si>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</si>
  <si>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</si>
  <si>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</si>
  <si>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</si>
  <si>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</si>
  <si>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</si>
  <si>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</si>
  <si>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</si>
  <si>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</si>
  <si>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</si>
  <si>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</si>
  <si>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</si>
  <si>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</si>
  <si>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</si>
  <si>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</si>
  <si>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</si>
  <si>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</si>
  <si>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</si>
  <si>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</si>
  <si>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</si>
  <si>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</si>
  <si>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</si>
  <si>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</si>
  <si>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</si>
  <si>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</si>
  <si>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</si>
  <si>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</si>
  <si>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</si>
  <si>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</si>
  <si>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</si>
  <si>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</si>
  <si>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</si>
  <si>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</si>
  <si>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</si>
  <si>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</si>
  <si>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</si>
  <si>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</si>
  <si>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</si>
  <si>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</si>
  <si>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</si>
  <si>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</si>
  <si>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</si>
  <si>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</si>
  <si>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</si>
  <si>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</si>
  <si>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</si>
  <si>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</si>
  <si>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</si>
  <si>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</si>
  <si>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</si>
  <si>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</si>
  <si>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</si>
  <si>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</si>
  <si>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</si>
  <si>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</si>
  <si>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</si>
  <si>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</si>
  <si>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</si>
  <si>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</si>
  <si>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</si>
  <si>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</si>
  <si>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</si>
  <si>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</si>
  <si>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</si>
  <si>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</si>
  <si>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</si>
  <si>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</si>
  <si>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</si>
  <si>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</si>
  <si>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</si>
  <si>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</si>
  <si>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</si>
  <si>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</si>
  <si>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</si>
  <si>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</si>
  <si>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</si>
  <si>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</si>
  <si>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</si>
  <si>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</si>
  <si>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</si>
  <si>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</si>
  <si>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</si>
  <si>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</si>
  <si>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</si>
  <si>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</si>
  <si>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</si>
  <si>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</si>
  <si>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</si>
  <si>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</si>
  <si>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</si>
  <si>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</si>
  <si>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</si>
  <si>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</si>
  <si>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</si>
  <si>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</si>
  <si>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</si>
  <si>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</si>
  <si>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</si>
  <si>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</si>
  <si>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</si>
  <si>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</si>
  <si>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</si>
  <si>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</si>
  <si>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</si>
  <si>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</si>
  <si>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</si>
  <si>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</si>
  <si>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</si>
  <si>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</si>
  <si>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</si>
  <si>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</si>
  <si>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</si>
  <si>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</si>
  <si>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</si>
  <si>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</si>
  <si>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</si>
  <si>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</si>
  <si>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</si>
  <si>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</si>
  <si>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</si>
  <si>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</si>
  <si>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</si>
  <si>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</si>
  <si>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</si>
  <si>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</si>
  <si>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</si>
  <si>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</si>
  <si>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</si>
  <si>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</si>
  <si>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</si>
  <si>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</si>
  <si>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</si>
  <si>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</si>
  <si>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</si>
  <si>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</si>
  <si>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</si>
  <si>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</si>
  <si>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</si>
  <si>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</si>
  <si>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</si>
  <si>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</si>
  <si>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</si>
  <si>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</si>
  <si>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</si>
  <si>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</si>
  <si>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</si>
  <si>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</si>
  <si>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</si>
  <si>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</si>
  <si>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</si>
  <si>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</si>
  <si>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</si>
  <si>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</si>
  <si>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</si>
  <si>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</si>
  <si>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</si>
  <si>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</si>
  <si>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</si>
  <si>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</si>
  <si>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</si>
  <si>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</si>
  <si>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</si>
  <si>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</si>
  <si>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</si>
  <si>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</si>
  <si>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</si>
  <si>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</si>
  <si>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</si>
  <si>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</si>
  <si>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</si>
  <si>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</si>
  <si>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</si>
  <si>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</si>
  <si>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</si>
  <si>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</si>
  <si>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</si>
  <si>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</si>
  <si>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</si>
  <si>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</si>
  <si>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</si>
  <si>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</si>
  <si>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</si>
  <si>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</si>
  <si>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</si>
  <si>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</si>
  <si>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</si>
  <si>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</si>
  <si>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</si>
  <si>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</si>
  <si>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</si>
  <si>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</si>
  <si>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</si>
  <si>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</si>
  <si>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</si>
  <si>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</si>
  <si>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</si>
  <si>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</si>
  <si>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</si>
  <si>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</si>
  <si>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</si>
  <si>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</si>
  <si>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</si>
  <si>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</si>
  <si>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</si>
  <si>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</si>
  <si>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</si>
  <si>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</si>
  <si>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</si>
  <si>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</si>
  <si>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</si>
  <si>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</si>
  <si>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</si>
  <si>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</si>
  <si>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</si>
  <si>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</si>
  <si>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</si>
  <si>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</si>
  <si>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</si>
  <si>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</si>
  <si>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</si>
  <si>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</si>
  <si>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</si>
  <si>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</si>
  <si>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</si>
  <si>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</si>
  <si>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</si>
  <si>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</si>
  <si>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</si>
  <si>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</si>
  <si>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</si>
  <si>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</si>
  <si>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</si>
  <si>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</si>
  <si>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</si>
  <si>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</si>
  <si>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</si>
  <si>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</si>
  <si>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</si>
  <si>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</si>
  <si>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</si>
  <si>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</si>
  <si>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</si>
  <si>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</si>
  <si>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</si>
  <si>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</si>
  <si>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</si>
  <si>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</si>
  <si>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</si>
  <si>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</si>
  <si>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</si>
  <si>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</si>
  <si>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</si>
  <si>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</si>
  <si>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</si>
  <si>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</si>
  <si>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</si>
  <si>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</si>
  <si>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</si>
  <si>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</si>
  <si>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</si>
  <si>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</si>
  <si>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</si>
  <si>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</si>
  <si>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</si>
  <si>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</si>
  <si>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</si>
  <si>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</si>
  <si>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</si>
  <si>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</si>
  <si>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</si>
  <si>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</si>
  <si>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</si>
  <si>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</si>
  <si>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</si>
  <si>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</si>
  <si>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</si>
  <si>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</si>
  <si>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</si>
  <si>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</si>
  <si>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</si>
  <si>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</si>
  <si>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</si>
  <si>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</si>
  <si>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</si>
  <si>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</si>
  <si>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</si>
  <si>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</si>
  <si>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</si>
  <si>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</si>
  <si>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</si>
  <si>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</si>
  <si>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</si>
  <si>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</si>
  <si>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</si>
  <si>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</si>
  <si>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</si>
  <si>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</si>
  <si>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</si>
  <si>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</si>
  <si>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</si>
  <si>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</si>
  <si>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</si>
  <si>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</si>
  <si>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</si>
  <si>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</si>
  <si>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</si>
  <si>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</si>
  <si>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</si>
  <si>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</si>
  <si>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</si>
  <si>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</si>
  <si>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</si>
  <si>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</si>
  <si>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</si>
  <si>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</si>
  <si>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</si>
  <si>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</si>
  <si>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</si>
  <si>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</si>
  <si>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</si>
  <si>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</si>
  <si>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</si>
  <si>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</si>
  <si>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</si>
  <si>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</si>
  <si>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</si>
  <si>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</si>
  <si>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</si>
  <si>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</si>
  <si>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</si>
  <si>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</si>
  <si>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</si>
  <si>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</si>
  <si>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</si>
  <si>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</si>
  <si>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</si>
  <si>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</si>
  <si>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</si>
  <si>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</si>
  <si>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</si>
  <si>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</si>
  <si>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</si>
  <si>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</si>
  <si>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</si>
  <si>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</si>
  <si>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</si>
  <si>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</si>
  <si>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</si>
  <si>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</si>
  <si>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</si>
  <si>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</si>
  <si>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</si>
  <si>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</si>
  <si>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</si>
  <si>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</si>
  <si>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</si>
  <si>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</si>
  <si>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</si>
  <si>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</si>
  <si>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</si>
  <si>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</si>
  <si>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</si>
  <si>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</si>
  <si>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</si>
  <si>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</si>
  <si>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</si>
  <si>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</si>
  <si>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</si>
  <si>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</si>
  <si>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</si>
  <si>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</si>
  <si>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</si>
  <si>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</si>
  <si>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</si>
  <si>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</si>
  <si>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</si>
  <si>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</si>
  <si>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</si>
  <si>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</si>
  <si>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</si>
  <si>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</si>
  <si>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</si>
  <si>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</si>
  <si>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</si>
  <si>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</si>
  <si>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</si>
  <si>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</si>
  <si>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</si>
  <si>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</si>
  <si>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</si>
  <si>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</si>
  <si>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</si>
  <si>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</si>
  <si>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</si>
  <si>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</si>
  <si>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</si>
  <si>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</si>
  <si>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</si>
  <si>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</si>
  <si>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</si>
  <si>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</si>
  <si>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</si>
  <si>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</si>
  <si>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</si>
  <si>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</si>
  <si>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</si>
  <si>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</si>
  <si>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</si>
  <si>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</si>
  <si>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</si>
  <si>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</si>
  <si>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</si>
  <si>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</si>
  <si>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</si>
  <si>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</si>
  <si>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</si>
  <si>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</si>
  <si>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</si>
  <si>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</si>
  <si>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</si>
  <si>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</si>
  <si>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</si>
  <si>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</si>
  <si>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</si>
  <si>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</si>
  <si>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</si>
  <si>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</si>
  <si>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</si>
  <si>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</si>
  <si>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</si>
  <si>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</si>
  <si>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</si>
  <si>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</si>
  <si>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</si>
  <si>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</si>
  <si>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</si>
  <si>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</si>
  <si>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</si>
  <si>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</si>
  <si>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</si>
  <si>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</si>
  <si>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</si>
  <si>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</si>
  <si>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</si>
  <si>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</si>
  <si>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</si>
  <si>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</si>
  <si>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</si>
  <si>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</si>
  <si>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</si>
  <si>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</si>
  <si>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</si>
  <si>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</si>
  <si>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</si>
  <si>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</si>
  <si>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</si>
  <si>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</si>
  <si>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</si>
  <si>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</si>
  <si>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</si>
  <si>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</si>
  <si>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</si>
  <si>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</si>
  <si>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</si>
  <si>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</si>
  <si>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</si>
  <si>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</si>
  <si>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</si>
  <si>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</si>
  <si>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</si>
  <si>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</si>
  <si>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</si>
  <si>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</si>
  <si>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</si>
  <si>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</si>
  <si>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</si>
  <si>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</si>
  <si>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</si>
  <si>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</si>
  <si>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</si>
  <si>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</si>
  <si>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</si>
  <si>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</si>
  <si>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</si>
  <si>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</si>
  <si>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</si>
  <si>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</si>
  <si>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</si>
  <si>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</si>
  <si>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</si>
  <si>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</si>
  <si>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</si>
  <si>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</si>
  <si>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</si>
  <si>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</si>
  <si>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</si>
  <si>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</si>
  <si>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</si>
  <si>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</si>
  <si>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</si>
  <si>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</si>
  <si>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</si>
  <si>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</si>
  <si>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</si>
  <si>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</si>
  <si>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</si>
  <si>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</si>
  <si>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</si>
  <si>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</si>
  <si>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</si>
  <si>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</si>
  <si>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</si>
  <si>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</si>
  <si>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</si>
  <si>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</si>
  <si>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</si>
  <si>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</si>
  <si>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</si>
  <si>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</si>
  <si>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</si>
  <si>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</si>
  <si>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</si>
  <si>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</si>
  <si>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</si>
  <si>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</si>
  <si>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</si>
  <si>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</si>
  <si>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</si>
  <si>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</si>
  <si>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</si>
  <si>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</si>
  <si>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</si>
  <si>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</si>
  <si>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</si>
  <si>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</si>
  <si>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</si>
  <si>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</si>
  <si>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</si>
  <si>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</si>
  <si>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</si>
  <si>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</si>
  <si>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</si>
  <si>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</si>
  <si>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</si>
  <si>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</si>
  <si>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</si>
  <si>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</si>
  <si>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</si>
  <si>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</si>
  <si>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</si>
  <si>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</si>
  <si>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</si>
  <si>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</si>
  <si>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</si>
  <si>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</si>
  <si>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</si>
  <si>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</si>
  <si>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</si>
  <si>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</si>
  <si>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</si>
  <si>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</si>
  <si>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</si>
  <si>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</si>
  <si>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</si>
  <si>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</si>
  <si>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</si>
  <si>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</si>
  <si>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</si>
  <si>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</si>
  <si>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</si>
  <si>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</si>
  <si>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</si>
  <si>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</si>
  <si>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</si>
  <si>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</si>
  <si>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</si>
  <si>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</si>
  <si>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</si>
  <si>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</si>
  <si>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</si>
  <si>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</si>
  <si>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</si>
  <si>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</si>
  <si>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</si>
  <si>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</si>
  <si>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</si>
  <si>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</si>
  <si>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</si>
  <si>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</si>
  <si>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</si>
  <si>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</si>
  <si>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</si>
  <si>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</si>
  <si>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</si>
  <si>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</si>
  <si>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</si>
  <si>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</si>
  <si>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</si>
  <si>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</si>
  <si>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</si>
  <si>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</si>
  <si>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</si>
  <si>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</si>
  <si>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</si>
  <si>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</si>
  <si>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</si>
  <si>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</si>
  <si>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</si>
  <si>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</si>
  <si>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</si>
  <si>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</si>
  <si>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</si>
  <si>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</si>
  <si>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</si>
  <si>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</si>
  <si>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</si>
  <si>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</si>
  <si>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</si>
  <si>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</si>
  <si>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</si>
  <si>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</si>
  <si>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</si>
  <si>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</si>
  <si>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</si>
  <si>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</si>
  <si>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</si>
  <si>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</si>
  <si>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</si>
  <si>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</si>
  <si>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</si>
  <si>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</si>
  <si>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</si>
  <si>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</si>
  <si>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</si>
  <si>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</si>
  <si>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</si>
  <si>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</si>
  <si>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</si>
  <si>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</si>
  <si>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</si>
  <si>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</si>
  <si>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</si>
  <si>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</si>
  <si>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</si>
  <si>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</si>
  <si>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</si>
  <si>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</si>
  <si>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</si>
  <si>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</si>
  <si>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</si>
  <si>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</si>
  <si>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</si>
  <si>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</si>
  <si>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</si>
  <si>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</si>
  <si>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</si>
  <si>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</si>
  <si>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</si>
  <si>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</si>
  <si>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</si>
  <si>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</si>
  <si>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</si>
  <si>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</si>
  <si>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</si>
  <si>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</si>
  <si>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</si>
  <si>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</si>
  <si>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</si>
  <si>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</si>
  <si>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</si>
  <si>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</si>
  <si>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</si>
  <si>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</si>
  <si>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</si>
  <si>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</si>
  <si>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</si>
  <si>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</si>
  <si>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</si>
  <si>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</si>
  <si>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</si>
  <si>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</si>
  <si>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</si>
  <si>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</si>
  <si>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</si>
  <si>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</si>
  <si>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</si>
  <si>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</si>
  <si>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</si>
  <si>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</si>
  <si>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</si>
  <si>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</si>
  <si>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</si>
  <si>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</si>
  <si>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</si>
  <si>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</si>
  <si>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</si>
  <si>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</si>
  <si>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</si>
  <si>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</si>
  <si>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</si>
  <si>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</si>
  <si>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</si>
  <si>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</si>
  <si>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</si>
  <si>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</si>
  <si>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</si>
  <si>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</si>
  <si>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</si>
  <si>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</si>
  <si>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</si>
  <si>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</si>
  <si>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</si>
  <si>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</si>
  <si>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</si>
  <si>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</si>
  <si>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</si>
  <si>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</si>
  <si>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</si>
  <si>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</si>
  <si>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</si>
  <si>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</si>
  <si>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</si>
  <si>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</si>
  <si>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</si>
  <si>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</si>
  <si>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</si>
  <si>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</si>
  <si>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</si>
  <si>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</si>
  <si>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</si>
  <si>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</si>
  <si>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</si>
  <si>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</si>
  <si>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</si>
  <si>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</si>
  <si>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</si>
  <si>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</si>
  <si>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</si>
  <si>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</si>
  <si>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</si>
  <si>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</si>
  <si>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</si>
  <si>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</si>
  <si>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</si>
  <si>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</si>
  <si>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</si>
  <si>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</si>
  <si>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</si>
  <si>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</si>
  <si>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</si>
  <si>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</si>
  <si>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</si>
  <si>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</si>
  <si>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</si>
  <si>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</si>
  <si>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</si>
  <si>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</si>
  <si>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</si>
  <si>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</si>
  <si>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</si>
  <si>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</si>
  <si>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</si>
  <si>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</si>
  <si>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</si>
  <si>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</si>
  <si>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</si>
  <si>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</si>
  <si>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</si>
  <si>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</si>
  <si>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</si>
  <si>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</si>
  <si>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</si>
  <si>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</si>
  <si>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</si>
  <si>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</si>
  <si>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</si>
  <si>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</si>
  <si>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</si>
  <si>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</si>
  <si>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</si>
  <si>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</si>
  <si>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</si>
  <si>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</si>
  <si>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</si>
  <si>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</si>
  <si>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</si>
  <si>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</si>
  <si>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</si>
  <si>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</si>
  <si>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</si>
  <si>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</si>
  <si>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</si>
  <si>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</si>
  <si>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</si>
  <si>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</si>
  <si>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</si>
  <si>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</si>
  <si>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</si>
  <si>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</si>
  <si>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</si>
  <si>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</si>
  <si>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</si>
  <si>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</si>
  <si>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</si>
  <si>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</si>
  <si>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</si>
  <si>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</si>
  <si>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</si>
  <si>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</si>
  <si>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</si>
  <si>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</si>
  <si>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</si>
  <si>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</si>
  <si>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</si>
  <si>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</si>
  <si>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</si>
  <si>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</si>
  <si>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</si>
  <si>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</si>
  <si>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</si>
  <si>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</si>
  <si>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</si>
  <si>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</si>
  <si>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</si>
  <si>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</si>
  <si>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</si>
  <si>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</si>
  <si>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</si>
  <si>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</si>
  <si>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</si>
  <si>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</si>
  <si>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</si>
  <si>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</si>
  <si>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</si>
  <si>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</si>
  <si>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</si>
  <si>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</si>
  <si>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</si>
  <si>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</si>
  <si>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</si>
  <si>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</si>
  <si>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</si>
  <si>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</si>
  <si>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</si>
  <si>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</si>
  <si>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</si>
  <si>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</si>
  <si>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</si>
  <si>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</si>
  <si>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</si>
  <si>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</si>
  <si>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</si>
  <si>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</si>
  <si>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</si>
  <si>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</si>
  <si>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</si>
  <si>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</si>
  <si>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</si>
  <si>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</si>
  <si>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</si>
  <si>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</si>
  <si>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</si>
  <si>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</si>
  <si>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</si>
  <si>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</si>
  <si>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</si>
  <si>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</si>
  <si>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</si>
  <si>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</si>
  <si>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</si>
  <si>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</si>
  <si>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</si>
  <si>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</si>
  <si>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</si>
  <si>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</si>
  <si>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</si>
  <si>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</si>
  <si>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</si>
  <si>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</si>
  <si>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</si>
  <si>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</si>
  <si>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</si>
  <si>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</si>
  <si>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</si>
  <si>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</si>
  <si>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</si>
  <si>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</si>
  <si>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</si>
  <si>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</si>
  <si>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</si>
  <si>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</si>
  <si>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</si>
  <si>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</si>
  <si>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</si>
  <si>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</si>
  <si>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</si>
  <si>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</si>
  <si>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</si>
  <si>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</si>
  <si>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</si>
  <si>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</si>
  <si>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</si>
  <si>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</si>
  <si>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</si>
  <si>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</si>
  <si>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</si>
  <si>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</si>
  <si>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</si>
  <si>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</si>
  <si>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</si>
  <si>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</si>
  <si>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</si>
  <si>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</si>
  <si>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</si>
  <si>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</si>
  <si>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</si>
  <si>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</si>
  <si>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</si>
  <si>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</si>
  <si>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</si>
  <si>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</si>
  <si>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</si>
  <si>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</si>
  <si>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</si>
  <si>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</si>
  <si>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</si>
  <si>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</si>
  <si>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</si>
  <si>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</si>
  <si>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</si>
  <si>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</si>
  <si>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</si>
  <si>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</si>
  <si>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</si>
  <si>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</si>
  <si>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</si>
  <si>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</si>
  <si>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</si>
  <si>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</si>
  <si>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</si>
  <si>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</si>
  <si>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</si>
  <si>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</si>
  <si>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</si>
  <si>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</si>
  <si>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</si>
  <si>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</si>
  <si>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</si>
  <si>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</si>
  <si>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</si>
  <si>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</si>
  <si>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</si>
  <si>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</si>
  <si>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</si>
  <si>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</si>
  <si>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</si>
  <si>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</si>
  <si>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</si>
  <si>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</si>
  <si>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</si>
  <si>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</si>
  <si>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</si>
  <si>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</si>
  <si>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</si>
  <si>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</si>
  <si>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</si>
  <si>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</si>
  <si>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</si>
  <si>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</si>
  <si>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</si>
  <si>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</si>
  <si>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</si>
  <si>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</si>
  <si>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</si>
  <si>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</si>
  <si>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</si>
  <si>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</si>
  <si>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</si>
  <si>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</si>
  <si>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</si>
  <si>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</si>
  <si>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</si>
  <si>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</si>
  <si>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</si>
  <si>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</si>
  <si>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</si>
  <si>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</si>
  <si>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</si>
  <si>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</si>
  <si>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</si>
  <si>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</si>
  <si>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</si>
  <si>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</si>
  <si>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</si>
  <si>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</si>
  <si>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</si>
  <si>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</si>
  <si>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</si>
  <si>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</si>
  <si>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</si>
  <si>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</si>
  <si>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</si>
  <si>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</si>
  <si>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</si>
  <si>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</si>
  <si>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</si>
  <si>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</si>
  <si>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</si>
  <si>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</si>
  <si>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</si>
  <si>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</si>
  <si>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</si>
  <si>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</si>
  <si>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</si>
  <si>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</si>
  <si>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</si>
  <si>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</si>
  <si>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</si>
  <si>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</si>
  <si>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</si>
  <si>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</si>
  <si>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</si>
  <si>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</si>
  <si>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</si>
  <si>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</si>
  <si>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</si>
  <si>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</si>
  <si>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</si>
  <si>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</si>
  <si>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</si>
  <si>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</si>
  <si>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</si>
  <si>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</si>
  <si>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</si>
  <si>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</si>
  <si>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</si>
  <si>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</si>
  <si>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</si>
  <si>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</si>
  <si>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</si>
  <si>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</si>
  <si>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</si>
  <si>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</si>
  <si>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</si>
  <si>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</si>
  <si>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</si>
  <si>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</si>
  <si>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</si>
  <si>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</si>
  <si>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</si>
  <si>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</si>
  <si>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</si>
  <si>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</si>
  <si>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</si>
  <si>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</si>
  <si>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</si>
  <si>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Mathieson, Moyski, Austin &amp; Co. LLP</t>
  </si>
  <si>
    <t>Brett J. Mathieson</t>
  </si>
  <si>
    <t>211 South Wheaton Avenue, Suite 400</t>
  </si>
  <si>
    <t>Wheaton</t>
  </si>
  <si>
    <t>IL</t>
  </si>
  <si>
    <t>630-653-1616</t>
  </si>
  <si>
    <t>630-653-1735</t>
  </si>
  <si>
    <t>bmathieson@mmaadvisors.com</t>
  </si>
  <si>
    <t>X</t>
  </si>
  <si>
    <t>Dupage</t>
  </si>
  <si>
    <t>200 North Maple Street</t>
  </si>
  <si>
    <t>Itasca</t>
  </si>
  <si>
    <t>bweintraub@itasca10.org</t>
  </si>
  <si>
    <t>Mathieson, Moyski, Austin &amp; Co., LLP</t>
  </si>
  <si>
    <t>2011 General Obligation Limited Tax Bonds</t>
  </si>
  <si>
    <t>2014 General Obligation Limited School Bonds</t>
  </si>
  <si>
    <t>Capital Lease</t>
  </si>
  <si>
    <t>Fund Balance Relating to Prior Issuances</t>
  </si>
  <si>
    <t>Educational Benefit Cooperative (EBC)</t>
  </si>
  <si>
    <t>Illinois Gas Cooperative (IGC)</t>
  </si>
  <si>
    <t>Collective Liability Insurance Cooperative (CLIC)</t>
  </si>
  <si>
    <t>Robbins Schwartz (tax appeals)</t>
  </si>
  <si>
    <t>DuPage County regional Office of Education</t>
  </si>
  <si>
    <t>North Dupage Special Education Cooperative (NDSEC)</t>
  </si>
  <si>
    <t>Schools of Illinois Public Cooperative (custodial supplies)</t>
  </si>
  <si>
    <t>Cloverleaf Farms (Milk)</t>
  </si>
  <si>
    <t>Frontline Recruiting &amp; Hiring</t>
  </si>
  <si>
    <t xml:space="preserve">Westway Coach, Inc. </t>
  </si>
  <si>
    <t>Capital lease</t>
  </si>
  <si>
    <t>10-2540-300</t>
  </si>
  <si>
    <t>Konica Minolta</t>
  </si>
  <si>
    <t>O&amp;M-Business Oper. &amp; Maint. Plant Services-Purchased Services</t>
  </si>
  <si>
    <t>ED-Business: Oper. &amp; Maint. Plant Services- Purchased Services</t>
  </si>
  <si>
    <t>20-2540-300</t>
  </si>
  <si>
    <t>Johnson Controls</t>
  </si>
  <si>
    <t>Transportation- Pupil Transportation-Purchased Services</t>
  </si>
  <si>
    <t>40-2550-300</t>
  </si>
  <si>
    <t>Septran Inc.</t>
  </si>
  <si>
    <t>Westway Coach - (VP)</t>
  </si>
  <si>
    <t>2. The treasurer's bond was below 25% of cash and investment balances throughout the year.</t>
  </si>
  <si>
    <t>Itasca 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</si>
</sst>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2</xdr:row>
          <xdr:rowOff>28575</xdr:rowOff>
        </xdr:from>
        <xdr:to>
          <xdr:col>1</xdr:col>
          <xdr:colOff>2009775</xdr:colOff>
          <xdr:row>6</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2</xdr:row>
          <xdr:rowOff>38100</xdr:rowOff>
        </xdr:from>
        <xdr:to>
          <xdr:col>1</xdr:col>
          <xdr:colOff>3057525</xdr:colOff>
          <xdr:row>6</xdr:row>
          <xdr:rowOff>76200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3190875</xdr:colOff>
          <xdr:row>2</xdr:row>
          <xdr:rowOff>57150</xdr:rowOff>
        </xdr:from>
        <xdr:to>
          <xdr:col>2</xdr:col>
          <xdr:colOff>114300</xdr:colOff>
          <xdr:row>6</xdr:row>
          <xdr:rowOff>95250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2" t="s">
        <v>405</v>
      </c>
      <c r="J1" s="2003"/>
      <c r="K1" s="2003"/>
      <c r="L1" s="2003"/>
      <c r="M1" s="2003"/>
      <c r="N1" s="2003"/>
      <c r="O1" s="2003"/>
      <c r="P1" s="2003"/>
      <c r="Q1" s="2003"/>
      <c r="R1" s="2003"/>
      <c r="S1" s="2003"/>
    </row>
    <row r="2" spans="1:28" ht="12" customHeight="1" x14ac:dyDescent="0.2">
      <c r="A2" s="47" t="s">
        <v>1993</v>
      </c>
      <c r="D2" s="48"/>
      <c r="I2" s="2004" t="s">
        <v>979</v>
      </c>
      <c r="J2" s="2003"/>
      <c r="K2" s="2003"/>
      <c r="L2" s="2003"/>
      <c r="M2" s="2003"/>
      <c r="N2" s="2003"/>
      <c r="O2" s="2003"/>
      <c r="P2" s="2003"/>
      <c r="Q2" s="2003"/>
      <c r="R2" s="2003"/>
      <c r="S2" s="2003"/>
    </row>
    <row r="3" spans="1:28" ht="12" customHeight="1" x14ac:dyDescent="0.2">
      <c r="A3" s="155" t="s">
        <v>1945</v>
      </c>
      <c r="B3" s="156"/>
      <c r="C3" s="156"/>
      <c r="D3" s="157"/>
      <c r="I3" s="2004" t="s">
        <v>52</v>
      </c>
      <c r="J3" s="2003"/>
      <c r="K3" s="2003"/>
      <c r="L3" s="2003"/>
      <c r="M3" s="2003"/>
      <c r="N3" s="2003"/>
      <c r="O3" s="2003"/>
      <c r="P3" s="2003"/>
      <c r="Q3" s="2003"/>
      <c r="R3" s="2003"/>
      <c r="S3" s="2003"/>
    </row>
    <row r="4" spans="1:28" ht="12" customHeight="1" x14ac:dyDescent="0.2">
      <c r="A4" s="37"/>
      <c r="I4" s="2004" t="s">
        <v>524</v>
      </c>
      <c r="J4" s="2003"/>
      <c r="K4" s="2003"/>
      <c r="L4" s="2003"/>
      <c r="M4" s="2003"/>
      <c r="N4" s="2003"/>
      <c r="O4" s="2003"/>
      <c r="P4" s="2003"/>
      <c r="Q4" s="2003"/>
      <c r="R4" s="2003"/>
      <c r="S4" s="2003"/>
    </row>
    <row r="5" spans="1:28" ht="14.1" customHeight="1" x14ac:dyDescent="0.2">
      <c r="B5" s="104" t="s">
        <v>2072</v>
      </c>
      <c r="C5" s="26" t="s">
        <v>910</v>
      </c>
      <c r="D5" s="84"/>
      <c r="E5" s="84"/>
      <c r="H5" s="38"/>
      <c r="I5" s="2011" t="s">
        <v>680</v>
      </c>
      <c r="J5" s="1956"/>
      <c r="K5" s="1956"/>
      <c r="L5" s="1956"/>
      <c r="M5" s="1956"/>
      <c r="N5" s="1956"/>
      <c r="O5" s="1956"/>
      <c r="P5" s="1956"/>
      <c r="Q5" s="1956"/>
      <c r="R5" s="1956"/>
      <c r="S5" s="1956"/>
    </row>
    <row r="6" spans="1:28" ht="14.1" customHeight="1" x14ac:dyDescent="0.2">
      <c r="B6" s="104"/>
      <c r="C6" s="26" t="s">
        <v>911</v>
      </c>
      <c r="D6" s="84"/>
      <c r="E6" s="84"/>
      <c r="I6" s="2010" t="s">
        <v>883</v>
      </c>
      <c r="J6" s="1956"/>
      <c r="K6" s="1956"/>
      <c r="L6" s="1956"/>
      <c r="M6" s="1956"/>
      <c r="N6" s="1956"/>
      <c r="O6" s="1956"/>
      <c r="P6" s="1956"/>
      <c r="Q6" s="1956"/>
      <c r="R6" s="1956"/>
      <c r="S6" s="1956"/>
    </row>
    <row r="7" spans="1:28" ht="12.2" customHeight="1" x14ac:dyDescent="0.2">
      <c r="I7" s="2005">
        <v>43646</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674</v>
      </c>
      <c r="J9" s="2008"/>
      <c r="K9" s="2008"/>
      <c r="L9" s="2008"/>
      <c r="M9" s="2008"/>
      <c r="N9" s="2008"/>
      <c r="O9" s="2008"/>
      <c r="P9" s="2008"/>
      <c r="Q9" s="2008"/>
      <c r="R9" s="2008"/>
      <c r="S9" s="2009"/>
      <c r="T9" s="1952" t="s">
        <v>533</v>
      </c>
      <c r="U9" s="1953"/>
      <c r="V9" s="1953"/>
      <c r="W9" s="1953"/>
      <c r="X9" s="1953"/>
      <c r="Y9" s="1953"/>
      <c r="Z9" s="1953"/>
      <c r="AA9" s="1954"/>
    </row>
    <row r="10" spans="1:28" ht="13.5" customHeight="1" x14ac:dyDescent="0.2">
      <c r="A10" s="1961" t="s">
        <v>675</v>
      </c>
      <c r="B10" s="1962"/>
      <c r="C10" s="1962"/>
      <c r="D10" s="1962"/>
      <c r="E10" s="1962"/>
      <c r="F10" s="1962"/>
      <c r="G10" s="1962"/>
      <c r="H10" s="1963"/>
      <c r="I10" s="29"/>
      <c r="J10" s="30"/>
      <c r="K10" s="28"/>
      <c r="R10" s="30"/>
      <c r="S10" s="30"/>
      <c r="T10" s="1955"/>
      <c r="U10" s="1956"/>
      <c r="V10" s="1956"/>
      <c r="W10" s="1956"/>
      <c r="X10" s="1956"/>
      <c r="Y10" s="1956"/>
      <c r="Z10" s="1956"/>
      <c r="AA10" s="1957"/>
    </row>
    <row r="11" spans="1:28" ht="14.25" customHeight="1" x14ac:dyDescent="0.2">
      <c r="A11" s="1964" t="s">
        <v>955</v>
      </c>
      <c r="B11" s="1965"/>
      <c r="C11" s="1965"/>
      <c r="D11" s="1965"/>
      <c r="E11" s="1965"/>
      <c r="F11" s="1965"/>
      <c r="G11" s="1965"/>
      <c r="H11" s="1966"/>
      <c r="I11" s="27"/>
      <c r="J11" s="74"/>
      <c r="K11" s="27"/>
      <c r="O11" s="148" t="s">
        <v>2072</v>
      </c>
      <c r="P11" s="100" t="s">
        <v>201</v>
      </c>
      <c r="Q11" s="30"/>
      <c r="R11" s="28"/>
      <c r="S11" s="27"/>
      <c r="T11" s="1958"/>
      <c r="U11" s="1959"/>
      <c r="V11" s="1959"/>
      <c r="W11" s="1959"/>
      <c r="X11" s="1959"/>
      <c r="Y11" s="1959"/>
      <c r="Z11" s="1959"/>
      <c r="AA11" s="196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72">
        <v>19022010002</v>
      </c>
      <c r="B13" s="1973"/>
      <c r="C13" s="1973"/>
      <c r="D13" s="1973"/>
      <c r="E13" s="1973"/>
      <c r="F13" s="1973"/>
      <c r="G13" s="1973"/>
      <c r="H13" s="1974"/>
      <c r="I13" s="31"/>
      <c r="J13" s="30"/>
      <c r="K13" s="28"/>
      <c r="L13" s="30"/>
      <c r="M13" s="30"/>
      <c r="N13" s="30"/>
      <c r="O13" s="30"/>
      <c r="P13" s="30"/>
      <c r="Q13" s="30"/>
      <c r="R13" s="30"/>
      <c r="S13" s="30"/>
      <c r="T13" s="1977" t="s">
        <v>2064</v>
      </c>
      <c r="U13" s="1978"/>
      <c r="V13" s="1978"/>
      <c r="W13" s="1978"/>
      <c r="X13" s="1978"/>
      <c r="Y13" s="1979"/>
      <c r="Z13" s="1979"/>
      <c r="AA13" s="198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0" t="s">
        <v>2073</v>
      </c>
      <c r="B15" s="1975"/>
      <c r="C15" s="1975"/>
      <c r="D15" s="1975"/>
      <c r="E15" s="1975"/>
      <c r="F15" s="1975"/>
      <c r="G15" s="1975"/>
      <c r="H15" s="1976"/>
      <c r="T15" s="1938" t="s">
        <v>2065</v>
      </c>
      <c r="U15" s="1939"/>
      <c r="V15" s="1939"/>
      <c r="W15" s="1939"/>
      <c r="X15" s="1939"/>
      <c r="Y15" s="1981"/>
      <c r="Z15" s="1981"/>
      <c r="AA15" s="198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0" t="s">
        <v>2104</v>
      </c>
      <c r="B17" s="2000"/>
      <c r="C17" s="2000"/>
      <c r="D17" s="2000"/>
      <c r="E17" s="2000"/>
      <c r="F17" s="2000"/>
      <c r="G17" s="2000"/>
      <c r="H17" s="2001"/>
      <c r="T17" s="1987" t="s">
        <v>2066</v>
      </c>
      <c r="U17" s="1988"/>
      <c r="V17" s="1988"/>
      <c r="W17" s="1988"/>
      <c r="X17" s="1988"/>
      <c r="Y17" s="1988"/>
      <c r="Z17" s="1988"/>
      <c r="AA17" s="1989"/>
    </row>
    <row r="18" spans="1:27" ht="13.5" customHeight="1" x14ac:dyDescent="0.2">
      <c r="A18" s="85" t="s">
        <v>530</v>
      </c>
      <c r="B18" s="76"/>
      <c r="C18" s="72"/>
      <c r="D18" s="76"/>
      <c r="E18" s="76"/>
      <c r="F18" s="76"/>
      <c r="G18" s="76"/>
      <c r="H18" s="56"/>
      <c r="I18" s="1997" t="s">
        <v>676</v>
      </c>
      <c r="J18" s="1998"/>
      <c r="K18" s="1998"/>
      <c r="L18" s="1998"/>
      <c r="M18" s="1998"/>
      <c r="N18" s="1998"/>
      <c r="O18" s="1998"/>
      <c r="P18" s="1998"/>
      <c r="Q18" s="1998"/>
      <c r="R18" s="1998"/>
      <c r="S18" s="1999"/>
      <c r="T18" s="85" t="s">
        <v>711</v>
      </c>
      <c r="U18" s="51"/>
      <c r="V18" s="72"/>
      <c r="W18" s="50"/>
      <c r="X18" s="85" t="s">
        <v>266</v>
      </c>
      <c r="Y18" s="81"/>
      <c r="Z18" s="159" t="s">
        <v>677</v>
      </c>
      <c r="AA18" s="46"/>
    </row>
    <row r="19" spans="1:27" ht="13.5" customHeight="1" x14ac:dyDescent="0.2">
      <c r="A19" s="1970" t="s">
        <v>2074</v>
      </c>
      <c r="B19" s="1971"/>
      <c r="C19" s="1971"/>
      <c r="D19" s="1971"/>
      <c r="E19" s="1971"/>
      <c r="F19" s="1971"/>
      <c r="G19" s="1971"/>
      <c r="H19" s="1969"/>
      <c r="I19" s="30"/>
      <c r="J19" s="99"/>
      <c r="K19" s="40"/>
      <c r="L19" s="38"/>
      <c r="M19" s="112" t="s">
        <v>315</v>
      </c>
      <c r="P19" s="27"/>
      <c r="Q19" s="27"/>
      <c r="R19" s="27"/>
      <c r="S19" s="31"/>
      <c r="T19" s="1970" t="s">
        <v>2067</v>
      </c>
      <c r="U19" s="1968"/>
      <c r="V19" s="1968"/>
      <c r="W19" s="1969"/>
      <c r="X19" s="1985" t="s">
        <v>2068</v>
      </c>
      <c r="Y19" s="1986"/>
      <c r="Z19" s="1983">
        <v>60187</v>
      </c>
      <c r="AA19" s="198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7" t="s">
        <v>2075</v>
      </c>
      <c r="B21" s="1968"/>
      <c r="C21" s="1968"/>
      <c r="D21" s="1968"/>
      <c r="E21" s="1968"/>
      <c r="F21" s="1968"/>
      <c r="G21" s="1968"/>
      <c r="H21" s="1969"/>
      <c r="I21" s="1993" t="s">
        <v>678</v>
      </c>
      <c r="J21" s="1956"/>
      <c r="K21" s="1956"/>
      <c r="L21" s="1956"/>
      <c r="M21" s="1956"/>
      <c r="N21" s="1956"/>
      <c r="O21" s="1956"/>
      <c r="P21" s="1956"/>
      <c r="Q21" s="1956"/>
      <c r="R21" s="1956"/>
      <c r="S21" s="1957"/>
      <c r="T21" s="1935" t="s">
        <v>2069</v>
      </c>
      <c r="U21" s="1936"/>
      <c r="V21" s="1936"/>
      <c r="W21" s="1936"/>
      <c r="X21" s="1949" t="s">
        <v>2070</v>
      </c>
      <c r="Y21" s="1950"/>
      <c r="Z21" s="1950"/>
      <c r="AA21" s="1951"/>
    </row>
    <row r="22" spans="1:27" ht="13.5" customHeight="1" x14ac:dyDescent="0.2">
      <c r="A22" s="87" t="s">
        <v>531</v>
      </c>
      <c r="B22" s="59"/>
      <c r="C22" s="59"/>
      <c r="D22" s="59"/>
      <c r="E22" s="59"/>
      <c r="F22" s="59"/>
      <c r="G22" s="59"/>
      <c r="H22" s="60"/>
      <c r="I22" s="1994" t="s">
        <v>1429</v>
      </c>
      <c r="J22" s="1995"/>
      <c r="K22" s="1995"/>
      <c r="L22" s="1995"/>
      <c r="M22" s="1995"/>
      <c r="N22" s="1995"/>
      <c r="O22" s="1995"/>
      <c r="P22" s="1995"/>
      <c r="Q22" s="1995"/>
      <c r="R22" s="1995"/>
      <c r="S22" s="1996"/>
      <c r="T22" s="85" t="s">
        <v>1516</v>
      </c>
      <c r="U22" s="51"/>
      <c r="V22" s="72"/>
      <c r="W22" s="51"/>
      <c r="X22" s="160" t="s">
        <v>1318</v>
      </c>
      <c r="Z22" s="45"/>
      <c r="AA22" s="46"/>
    </row>
    <row r="23" spans="1:27" ht="13.5" customHeight="1" x14ac:dyDescent="0.2">
      <c r="A23" s="1990" t="s">
        <v>2076</v>
      </c>
      <c r="B23" s="1991"/>
      <c r="C23" s="1991"/>
      <c r="D23" s="1991"/>
      <c r="E23" s="1991"/>
      <c r="F23" s="1991"/>
      <c r="G23" s="1991"/>
      <c r="H23" s="1992"/>
      <c r="T23" s="1930">
        <v>66003412</v>
      </c>
      <c r="U23" s="1931"/>
      <c r="V23" s="1931"/>
      <c r="W23" s="1931"/>
      <c r="X23" s="1946">
        <v>44530</v>
      </c>
      <c r="Y23" s="1947"/>
      <c r="Z23" s="1947"/>
      <c r="AA23" s="1948"/>
    </row>
    <row r="24" spans="1:27" ht="14.1" customHeight="1" x14ac:dyDescent="0.2">
      <c r="A24" s="88" t="s">
        <v>677</v>
      </c>
      <c r="B24" s="49"/>
      <c r="C24" s="49"/>
      <c r="D24" s="49"/>
      <c r="E24" s="49"/>
      <c r="F24" s="49"/>
      <c r="G24" s="49"/>
      <c r="H24" s="61"/>
      <c r="J24" s="2032">
        <f>IF(B5="x",IF(AUDITCHECK!D29="AFR form Incomplete.","",IF(AUDITCHECK!D29="Deficit reduction plan is required.","School District must complete a deficit reduction plan in the 2019-2020 Budget",)),"")</f>
        <v>0</v>
      </c>
      <c r="K24" s="2032"/>
      <c r="L24" s="2032"/>
      <c r="M24" s="2032"/>
      <c r="N24" s="2032"/>
      <c r="O24" s="2032"/>
      <c r="P24" s="2032"/>
      <c r="Q24" s="2032"/>
      <c r="R24" s="2032"/>
      <c r="S24" s="2033"/>
      <c r="T24" s="105" t="s">
        <v>531</v>
      </c>
      <c r="U24" s="106"/>
      <c r="V24" s="106"/>
      <c r="W24" s="106"/>
      <c r="X24" s="107"/>
      <c r="Y24" s="107"/>
      <c r="Z24" s="107"/>
      <c r="AA24" s="108"/>
    </row>
    <row r="25" spans="1:27" ht="14.1" customHeight="1" x14ac:dyDescent="0.2">
      <c r="A25" s="1967">
        <v>60143</v>
      </c>
      <c r="B25" s="1968"/>
      <c r="C25" s="1968"/>
      <c r="D25" s="1968"/>
      <c r="E25" s="1968"/>
      <c r="F25" s="1968"/>
      <c r="G25" s="1968"/>
      <c r="H25" s="1969"/>
      <c r="I25" s="113"/>
      <c r="J25" s="2034"/>
      <c r="K25" s="2034"/>
      <c r="L25" s="2034"/>
      <c r="M25" s="2034"/>
      <c r="N25" s="2034"/>
      <c r="O25" s="2034"/>
      <c r="P25" s="2034"/>
      <c r="Q25" s="2034"/>
      <c r="R25" s="2034"/>
      <c r="S25" s="2035"/>
      <c r="T25" s="1927" t="s">
        <v>2071</v>
      </c>
      <c r="U25" s="1928"/>
      <c r="V25" s="1928"/>
      <c r="W25" s="1928"/>
      <c r="X25" s="1928"/>
      <c r="Y25" s="1928"/>
      <c r="Z25" s="1928"/>
      <c r="AA25" s="19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5" t="s">
        <v>1511</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2072</v>
      </c>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0"/>
      <c r="B38" s="2000"/>
      <c r="C38" s="2000"/>
      <c r="D38" s="2000"/>
      <c r="E38" s="2000"/>
      <c r="F38" s="1968"/>
      <c r="G38" s="1968"/>
      <c r="H38" s="1969"/>
      <c r="I38" s="2019"/>
      <c r="J38" s="1939"/>
      <c r="K38" s="1939"/>
      <c r="L38" s="1939"/>
      <c r="M38" s="1939"/>
      <c r="N38" s="1939"/>
      <c r="O38" s="1939"/>
      <c r="P38" s="1940"/>
      <c r="Q38" s="1940"/>
      <c r="R38" s="1940"/>
      <c r="S38" s="1941"/>
      <c r="T38" s="1938"/>
      <c r="U38" s="1939"/>
      <c r="V38" s="1939"/>
      <c r="W38" s="1939"/>
      <c r="X38" s="1940"/>
      <c r="Y38" s="1940"/>
      <c r="Z38" s="1940"/>
      <c r="AA38" s="1941"/>
    </row>
    <row r="39" spans="1:27" ht="12" customHeight="1" x14ac:dyDescent="0.2">
      <c r="A39" s="2023" t="s">
        <v>531</v>
      </c>
      <c r="B39" s="2024"/>
      <c r="C39" s="72"/>
      <c r="D39" s="69"/>
      <c r="E39" s="69"/>
      <c r="F39" s="79"/>
      <c r="G39" s="69"/>
      <c r="H39" s="56"/>
      <c r="I39" s="2023" t="s">
        <v>531</v>
      </c>
      <c r="J39" s="2024"/>
      <c r="K39" s="2024"/>
      <c r="L39" s="2024"/>
      <c r="M39" s="2024"/>
      <c r="N39" s="67"/>
      <c r="O39" s="72"/>
      <c r="P39" s="72"/>
      <c r="Q39" s="78"/>
      <c r="R39" s="72"/>
      <c r="S39" s="56"/>
      <c r="T39" s="72" t="s">
        <v>531</v>
      </c>
      <c r="U39" s="51"/>
      <c r="V39" s="72"/>
      <c r="W39" s="50"/>
      <c r="X39" s="78"/>
      <c r="Y39" s="45"/>
      <c r="Z39" s="45"/>
      <c r="AA39" s="46"/>
    </row>
    <row r="40" spans="1:27" ht="13.5" customHeight="1" x14ac:dyDescent="0.2">
      <c r="A40" s="2026"/>
      <c r="B40" s="2027"/>
      <c r="C40" s="2028"/>
      <c r="D40" s="2028"/>
      <c r="E40" s="2028"/>
      <c r="F40" s="2029"/>
      <c r="G40" s="2029"/>
      <c r="H40" s="2030"/>
      <c r="I40" s="1942"/>
      <c r="J40" s="1944"/>
      <c r="K40" s="1944"/>
      <c r="L40" s="1944"/>
      <c r="M40" s="1944"/>
      <c r="N40" s="1944"/>
      <c r="O40" s="1944"/>
      <c r="P40" s="1944"/>
      <c r="Q40" s="1944"/>
      <c r="R40" s="1944"/>
      <c r="S40" s="1945"/>
      <c r="T40" s="1942"/>
      <c r="U40" s="1943"/>
      <c r="V40" s="1944"/>
      <c r="W40" s="1944"/>
      <c r="X40" s="1944"/>
      <c r="Y40" s="1944"/>
      <c r="Z40" s="1944"/>
      <c r="AA40" s="19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6"/>
      <c r="B42" s="2017"/>
      <c r="C42" s="2018"/>
      <c r="D42" s="2031"/>
      <c r="E42" s="2017"/>
      <c r="F42" s="2017"/>
      <c r="G42" s="2017"/>
      <c r="H42" s="2018"/>
      <c r="I42" s="1937"/>
      <c r="J42" s="1933"/>
      <c r="K42" s="1933"/>
      <c r="L42" s="1933"/>
      <c r="M42" s="1933"/>
      <c r="N42" s="1933"/>
      <c r="O42" s="1934"/>
      <c r="P42" s="1932"/>
      <c r="Q42" s="1933"/>
      <c r="R42" s="1933"/>
      <c r="S42" s="1934"/>
      <c r="T42" s="1937"/>
      <c r="U42" s="1933"/>
      <c r="V42" s="1933"/>
      <c r="W42" s="1934"/>
      <c r="X42" s="1932"/>
      <c r="Y42" s="1933"/>
      <c r="Z42" s="1933"/>
      <c r="AA42" s="19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0"/>
      <c r="B44" s="2021"/>
      <c r="C44" s="2021"/>
      <c r="D44" s="2021"/>
      <c r="E44" s="2021"/>
      <c r="F44" s="2021"/>
      <c r="G44" s="2021"/>
      <c r="H44" s="2022"/>
      <c r="I44" s="2012"/>
      <c r="J44" s="2014"/>
      <c r="K44" s="2014"/>
      <c r="L44" s="2014"/>
      <c r="M44" s="2014"/>
      <c r="N44" s="2014"/>
      <c r="O44" s="2014"/>
      <c r="P44" s="2014"/>
      <c r="Q44" s="2014"/>
      <c r="R44" s="2014"/>
      <c r="S44" s="2015"/>
      <c r="T44" s="2012"/>
      <c r="U44" s="2013"/>
      <c r="V44" s="2013"/>
      <c r="W44" s="2013"/>
      <c r="X44" s="2013"/>
      <c r="Y44" s="2013"/>
      <c r="Z44" s="2014"/>
      <c r="AA44" s="201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Q23" sqref="Q23"/>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69" t="s">
        <v>1802</v>
      </c>
      <c r="B2" s="1515" t="s">
        <v>1951</v>
      </c>
      <c r="C2" s="701" t="s">
        <v>1952</v>
      </c>
      <c r="D2" s="701" t="s">
        <v>1953</v>
      </c>
      <c r="E2" s="701" t="s">
        <v>1954</v>
      </c>
      <c r="F2" s="701" t="s">
        <v>1955</v>
      </c>
    </row>
    <row r="3" spans="1:6" ht="12" customHeight="1" x14ac:dyDescent="0.2">
      <c r="A3" s="2170"/>
      <c r="B3" s="1512"/>
      <c r="C3" s="1513"/>
      <c r="D3" s="1514" t="s">
        <v>256</v>
      </c>
      <c r="E3" s="1513"/>
      <c r="F3" s="1514" t="s">
        <v>257</v>
      </c>
    </row>
    <row r="4" spans="1:6" ht="13.7" customHeight="1" x14ac:dyDescent="0.2">
      <c r="A4" s="702" t="s">
        <v>1155</v>
      </c>
      <c r="B4" s="1736">
        <f>'Revenues 9-14'!C5</f>
        <v>8841537</v>
      </c>
      <c r="C4" s="1511">
        <v>4628793</v>
      </c>
      <c r="D4" s="1739">
        <f>B4-C4</f>
        <v>4212744</v>
      </c>
      <c r="E4" s="1511">
        <v>9295650</v>
      </c>
      <c r="F4" s="1739">
        <f>E4-C4</f>
        <v>4666857</v>
      </c>
    </row>
    <row r="5" spans="1:6" ht="13.7" customHeight="1" x14ac:dyDescent="0.2">
      <c r="A5" s="702" t="s">
        <v>870</v>
      </c>
      <c r="B5" s="1737">
        <f>'Revenues 9-14'!D5</f>
        <v>1340941</v>
      </c>
      <c r="C5" s="577">
        <v>699651</v>
      </c>
      <c r="D5" s="1740">
        <f t="shared" ref="D5:D18" si="0">B5-C5</f>
        <v>641290</v>
      </c>
      <c r="E5" s="577">
        <v>1405074</v>
      </c>
      <c r="F5" s="1740">
        <f>E5-C5</f>
        <v>705423</v>
      </c>
    </row>
    <row r="6" spans="1:6" ht="13.7" customHeight="1" x14ac:dyDescent="0.2">
      <c r="A6" s="702" t="s">
        <v>411</v>
      </c>
      <c r="B6" s="1737">
        <f>'Revenues 9-14'!E5</f>
        <v>796658</v>
      </c>
      <c r="C6" s="577">
        <v>414243</v>
      </c>
      <c r="D6" s="1740">
        <f t="shared" si="0"/>
        <v>382415</v>
      </c>
      <c r="E6" s="577">
        <v>832454</v>
      </c>
      <c r="F6" s="1740">
        <f t="shared" ref="F6:F18" si="1">E6-C6</f>
        <v>418211</v>
      </c>
    </row>
    <row r="7" spans="1:6" ht="13.7" customHeight="1" x14ac:dyDescent="0.2">
      <c r="A7" s="702" t="s">
        <v>155</v>
      </c>
      <c r="B7" s="1737">
        <f>'Revenues 9-14'!F5</f>
        <v>381324</v>
      </c>
      <c r="C7" s="577">
        <v>202190</v>
      </c>
      <c r="D7" s="1740">
        <f t="shared" si="0"/>
        <v>179134</v>
      </c>
      <c r="E7" s="577">
        <v>405583</v>
      </c>
      <c r="F7" s="1740">
        <f t="shared" si="1"/>
        <v>203393</v>
      </c>
    </row>
    <row r="8" spans="1:6" ht="13.7" customHeight="1" x14ac:dyDescent="0.2">
      <c r="A8" s="702" t="s">
        <v>1179</v>
      </c>
      <c r="B8" s="1737">
        <f>'Revenues 9-14'!G5</f>
        <v>135468</v>
      </c>
      <c r="C8" s="577">
        <v>70890</v>
      </c>
      <c r="D8" s="1740">
        <f t="shared" si="0"/>
        <v>64578</v>
      </c>
      <c r="E8" s="577">
        <v>142473</v>
      </c>
      <c r="F8" s="1740">
        <f t="shared" si="1"/>
        <v>71583</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0</v>
      </c>
      <c r="C11" s="577"/>
      <c r="D11" s="1740">
        <f t="shared" si="0"/>
        <v>0</v>
      </c>
      <c r="E11" s="577"/>
      <c r="F11" s="1740">
        <f t="shared" si="1"/>
        <v>0</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113087</v>
      </c>
      <c r="C14" s="577">
        <v>59178</v>
      </c>
      <c r="D14" s="1740">
        <f t="shared" si="0"/>
        <v>53909</v>
      </c>
      <c r="E14" s="577">
        <v>119000</v>
      </c>
      <c r="F14" s="1740">
        <f t="shared" si="1"/>
        <v>59822</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f>'Revenues 9-14'!G8</f>
        <v>170808</v>
      </c>
      <c r="C16" s="577">
        <v>89383</v>
      </c>
      <c r="D16" s="1740">
        <f t="shared" si="0"/>
        <v>81425</v>
      </c>
      <c r="E16" s="577">
        <v>179046</v>
      </c>
      <c r="F16" s="1740">
        <f t="shared" si="1"/>
        <v>89663</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11779823</v>
      </c>
      <c r="C19" s="1738">
        <f>SUM(C4:C18)</f>
        <v>6164328</v>
      </c>
      <c r="D19" s="1738">
        <f>SUM(D4:D18)</f>
        <v>5615495</v>
      </c>
      <c r="E19" s="1738">
        <f>SUM(E4:E18)</f>
        <v>12379280</v>
      </c>
      <c r="F19" s="1738">
        <f>SUM(F4:F18)</f>
        <v>6214952</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5" colorId="8" zoomScale="110" zoomScaleNormal="110" workbookViewId="0">
      <selection activeCell="Q23" sqref="Q23"/>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5" t="s">
        <v>629</v>
      </c>
      <c r="B1" s="2176"/>
      <c r="C1" s="708"/>
    </row>
    <row r="2" spans="1:7" ht="33.75" x14ac:dyDescent="0.2">
      <c r="A2" s="2184" t="s">
        <v>1802</v>
      </c>
      <c r="B2" s="2185"/>
      <c r="C2" s="1871" t="s">
        <v>1956</v>
      </c>
      <c r="D2" s="710" t="s">
        <v>1957</v>
      </c>
      <c r="E2" s="710" t="s">
        <v>1958</v>
      </c>
      <c r="F2" s="1871" t="s">
        <v>1959</v>
      </c>
    </row>
    <row r="3" spans="1:7" ht="15.75" customHeight="1" x14ac:dyDescent="0.2">
      <c r="A3" s="2188" t="s">
        <v>1114</v>
      </c>
      <c r="B3" s="2189"/>
      <c r="C3" s="2177"/>
      <c r="D3" s="2178"/>
      <c r="E3" s="2178"/>
      <c r="F3" s="2179"/>
    </row>
    <row r="4" spans="1:7" ht="12.75" customHeight="1" thickBot="1" x14ac:dyDescent="0.25">
      <c r="A4" s="2186" t="s">
        <v>630</v>
      </c>
      <c r="B4" s="2187"/>
      <c r="C4" s="573"/>
      <c r="D4" s="573"/>
      <c r="E4" s="573"/>
      <c r="F4" s="1742">
        <f>SUM(C4+D4)-E4</f>
        <v>0</v>
      </c>
    </row>
    <row r="5" spans="1:7" ht="15.75" customHeight="1" thickTop="1" x14ac:dyDescent="0.2">
      <c r="A5" s="2171" t="s">
        <v>1110</v>
      </c>
      <c r="B5" s="2172"/>
      <c r="C5" s="2180"/>
      <c r="D5" s="2181"/>
      <c r="E5" s="2181"/>
      <c r="F5" s="2182"/>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73" t="s">
        <v>631</v>
      </c>
      <c r="B15" s="2174"/>
      <c r="C15" s="1742">
        <f>SUM(C6:C14)</f>
        <v>0</v>
      </c>
      <c r="D15" s="1742">
        <f>SUM(D6:D14)</f>
        <v>0</v>
      </c>
      <c r="E15" s="1742">
        <f>SUM(E6:E14)</f>
        <v>0</v>
      </c>
      <c r="F15" s="1742">
        <f>SUM(F6:F14)</f>
        <v>0</v>
      </c>
      <c r="G15" s="545"/>
    </row>
    <row r="16" spans="1:7" s="202" customFormat="1" ht="15.75" customHeight="1" thickTop="1" x14ac:dyDescent="0.2">
      <c r="A16" s="2183" t="s">
        <v>1111</v>
      </c>
      <c r="B16" s="2172"/>
      <c r="C16" s="2180"/>
      <c r="D16" s="2181"/>
      <c r="E16" s="2181"/>
      <c r="F16" s="2182"/>
    </row>
    <row r="17" spans="1:11" ht="12.75" customHeight="1" thickBot="1" x14ac:dyDescent="0.25">
      <c r="A17" s="2196" t="s">
        <v>64</v>
      </c>
      <c r="B17" s="2197"/>
      <c r="C17" s="713"/>
      <c r="D17" s="577"/>
      <c r="E17" s="713"/>
      <c r="F17" s="1742">
        <f>SUM(C17+D17)-E17</f>
        <v>0</v>
      </c>
    </row>
    <row r="18" spans="1:11" ht="12.75" customHeight="1" thickTop="1" thickBot="1" x14ac:dyDescent="0.25">
      <c r="A18" s="2196" t="s">
        <v>6</v>
      </c>
      <c r="B18" s="2197"/>
      <c r="C18" s="713"/>
      <c r="D18" s="577"/>
      <c r="E18" s="713"/>
      <c r="F18" s="1742">
        <f>SUM(C18+D18)-E18</f>
        <v>0</v>
      </c>
    </row>
    <row r="19" spans="1:11" ht="12.75" customHeight="1" thickTop="1" thickBot="1" x14ac:dyDescent="0.25">
      <c r="A19" s="2196" t="s">
        <v>388</v>
      </c>
      <c r="B19" s="2197"/>
      <c r="C19" s="713"/>
      <c r="D19" s="577"/>
      <c r="E19" s="713"/>
      <c r="F19" s="1742">
        <f>SUM(C19+D19)-E19</f>
        <v>0</v>
      </c>
    </row>
    <row r="20" spans="1:11" ht="12.75" customHeight="1" thickTop="1" thickBot="1" x14ac:dyDescent="0.25">
      <c r="A20" s="2196" t="s">
        <v>448</v>
      </c>
      <c r="B20" s="2197"/>
      <c r="C20" s="713"/>
      <c r="D20" s="577"/>
      <c r="E20" s="713"/>
      <c r="F20" s="1742">
        <f>SUM(C20+D20)-E20</f>
        <v>0</v>
      </c>
    </row>
    <row r="21" spans="1:11" ht="14.25" thickTop="1" thickBot="1" x14ac:dyDescent="0.25">
      <c r="A21" s="2173" t="s">
        <v>632</v>
      </c>
      <c r="B21" s="2174"/>
      <c r="C21" s="1742">
        <f>SUM(C17:C20)</f>
        <v>0</v>
      </c>
      <c r="D21" s="1742">
        <f>SUM(D17:D20)</f>
        <v>0</v>
      </c>
      <c r="E21" s="1742">
        <f>SUM(E17:E20)</f>
        <v>0</v>
      </c>
      <c r="F21" s="1742">
        <f>SUM(F17:F20)</f>
        <v>0</v>
      </c>
      <c r="G21" s="545"/>
    </row>
    <row r="22" spans="1:11" ht="15.75" customHeight="1" thickTop="1" x14ac:dyDescent="0.2">
      <c r="A22" s="2198" t="s">
        <v>1112</v>
      </c>
      <c r="B22" s="2172"/>
      <c r="C22" s="2180"/>
      <c r="D22" s="2181"/>
      <c r="E22" s="2181"/>
      <c r="F22" s="2182"/>
    </row>
    <row r="23" spans="1:11" ht="13.5" thickBot="1" x14ac:dyDescent="0.25">
      <c r="A23" s="2186" t="s">
        <v>633</v>
      </c>
      <c r="B23" s="2187"/>
      <c r="C23" s="573"/>
      <c r="D23" s="573"/>
      <c r="E23" s="573"/>
      <c r="F23" s="1742">
        <f>SUM(C23+D23)-E23</f>
        <v>0</v>
      </c>
      <c r="G23" s="545"/>
    </row>
    <row r="24" spans="1:11" ht="15.75" customHeight="1" thickTop="1" x14ac:dyDescent="0.2">
      <c r="A24" s="2198" t="s">
        <v>1113</v>
      </c>
      <c r="B24" s="2172"/>
      <c r="C24" s="2180"/>
      <c r="D24" s="2181"/>
      <c r="E24" s="2181"/>
      <c r="F24" s="2182"/>
    </row>
    <row r="25" spans="1:11" ht="13.5" thickBot="1" x14ac:dyDescent="0.25">
      <c r="A25" s="2186" t="s">
        <v>634</v>
      </c>
      <c r="B25" s="2187"/>
      <c r="C25" s="573"/>
      <c r="D25" s="573"/>
      <c r="E25" s="573"/>
      <c r="F25" s="1742">
        <f>SUM(C25+D25)-E25</f>
        <v>0</v>
      </c>
      <c r="G25" s="545"/>
    </row>
    <row r="26" spans="1:11" ht="15.75" customHeight="1" thickTop="1" x14ac:dyDescent="0.2">
      <c r="A26" s="2171" t="s">
        <v>657</v>
      </c>
      <c r="B26" s="2172"/>
      <c r="C26" s="714"/>
      <c r="D26" s="714"/>
      <c r="E26" s="714"/>
      <c r="F26" s="715"/>
    </row>
    <row r="27" spans="1:11" ht="13.5" thickBot="1" x14ac:dyDescent="0.25">
      <c r="A27" s="2173" t="s">
        <v>1070</v>
      </c>
      <c r="B27" s="2174"/>
      <c r="C27" s="577"/>
      <c r="D27" s="577"/>
      <c r="E27" s="577"/>
      <c r="F27" s="1742">
        <f>SUM(C27+D27)-E27</f>
        <v>0</v>
      </c>
      <c r="G27" s="545"/>
    </row>
    <row r="28" spans="1:11" ht="7.5" customHeight="1" thickTop="1" x14ac:dyDescent="0.2">
      <c r="A28" s="584"/>
    </row>
    <row r="29" spans="1:11" ht="23.25" customHeight="1" x14ac:dyDescent="0.2">
      <c r="A29" s="2199" t="s">
        <v>582</v>
      </c>
      <c r="B29" s="2176"/>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t="s">
        <v>2078</v>
      </c>
      <c r="B31" s="720">
        <v>40661</v>
      </c>
      <c r="C31" s="721">
        <v>7395000</v>
      </c>
      <c r="D31" s="722">
        <v>3</v>
      </c>
      <c r="E31" s="721">
        <v>6940000</v>
      </c>
      <c r="F31" s="721"/>
      <c r="G31" s="721"/>
      <c r="H31" s="721">
        <v>390000</v>
      </c>
      <c r="I31" s="1743">
        <f t="shared" ref="I31:I36" si="1">((E31+F31)-H31)+G31</f>
        <v>6550000</v>
      </c>
      <c r="J31" s="721">
        <v>6189381</v>
      </c>
      <c r="K31" s="723"/>
    </row>
    <row r="32" spans="1:11" ht="12" customHeight="1" x14ac:dyDescent="0.2">
      <c r="A32" s="719" t="s">
        <v>2079</v>
      </c>
      <c r="B32" s="720">
        <v>41759</v>
      </c>
      <c r="C32" s="721">
        <v>3190000</v>
      </c>
      <c r="D32" s="722">
        <v>1</v>
      </c>
      <c r="E32" s="721">
        <v>3190000</v>
      </c>
      <c r="F32" s="721"/>
      <c r="G32" s="721"/>
      <c r="H32" s="721"/>
      <c r="I32" s="1743">
        <f t="shared" si="1"/>
        <v>3190000</v>
      </c>
      <c r="J32" s="721">
        <v>3184131</v>
      </c>
      <c r="K32" s="723"/>
    </row>
    <row r="33" spans="1:11" ht="12" customHeight="1" x14ac:dyDescent="0.2">
      <c r="A33" s="719" t="s">
        <v>2080</v>
      </c>
      <c r="B33" s="720">
        <v>42197</v>
      </c>
      <c r="C33" s="721">
        <v>69387</v>
      </c>
      <c r="D33" s="722">
        <v>7</v>
      </c>
      <c r="E33" s="721">
        <v>30057</v>
      </c>
      <c r="F33" s="721"/>
      <c r="G33" s="721"/>
      <c r="H33" s="721">
        <v>14616</v>
      </c>
      <c r="I33" s="1743">
        <f t="shared" si="1"/>
        <v>15441</v>
      </c>
      <c r="J33" s="721">
        <v>15441</v>
      </c>
      <c r="K33" s="723"/>
    </row>
    <row r="34" spans="1:11" ht="12" customHeight="1" x14ac:dyDescent="0.2">
      <c r="A34" s="719" t="s">
        <v>2080</v>
      </c>
      <c r="B34" s="720">
        <v>42928</v>
      </c>
      <c r="C34" s="721">
        <v>219149</v>
      </c>
      <c r="D34" s="722">
        <v>7</v>
      </c>
      <c r="E34" s="721">
        <v>156065</v>
      </c>
      <c r="F34" s="721"/>
      <c r="G34" s="721"/>
      <c r="H34" s="721">
        <v>43184</v>
      </c>
      <c r="I34" s="1743">
        <f t="shared" si="1"/>
        <v>112881</v>
      </c>
      <c r="J34" s="721">
        <v>100442</v>
      </c>
      <c r="K34" s="724"/>
    </row>
    <row r="35" spans="1:11" ht="12" customHeight="1" x14ac:dyDescent="0.2">
      <c r="A35" s="719" t="s">
        <v>2081</v>
      </c>
      <c r="B35" s="720"/>
      <c r="C35" s="725"/>
      <c r="D35" s="722"/>
      <c r="E35" s="725"/>
      <c r="F35" s="725"/>
      <c r="G35" s="725"/>
      <c r="H35" s="725"/>
      <c r="I35" s="1743">
        <f t="shared" si="1"/>
        <v>0</v>
      </c>
      <c r="J35" s="725">
        <v>-71329</v>
      </c>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ref="I37:I48" si="2">((E37+F37)-H37)+G37</f>
        <v>0</v>
      </c>
      <c r="J37" s="467"/>
      <c r="K37" s="724"/>
    </row>
    <row r="38" spans="1:11" ht="12" customHeight="1" x14ac:dyDescent="0.2">
      <c r="A38" s="719"/>
      <c r="B38" s="720"/>
      <c r="C38" s="721"/>
      <c r="D38" s="728"/>
      <c r="E38" s="729"/>
      <c r="F38" s="729"/>
      <c r="G38" s="729"/>
      <c r="H38" s="729"/>
      <c r="I38" s="1743">
        <f t="shared" si="2"/>
        <v>0</v>
      </c>
      <c r="J38" s="730" t="s">
        <v>264</v>
      </c>
      <c r="K38" s="731"/>
    </row>
    <row r="39" spans="1:11" ht="12" customHeight="1" x14ac:dyDescent="0.2">
      <c r="A39" s="719"/>
      <c r="B39" s="720"/>
      <c r="C39" s="721"/>
      <c r="D39" s="728"/>
      <c r="E39" s="729"/>
      <c r="F39" s="729"/>
      <c r="G39" s="729"/>
      <c r="H39" s="729"/>
      <c r="I39" s="1743">
        <f t="shared" si="2"/>
        <v>0</v>
      </c>
      <c r="J39" s="730"/>
      <c r="K39" s="731"/>
    </row>
    <row r="40" spans="1:11" ht="12" customHeight="1" x14ac:dyDescent="0.2">
      <c r="A40" s="719"/>
      <c r="B40" s="720"/>
      <c r="C40" s="721"/>
      <c r="D40" s="728"/>
      <c r="E40" s="729"/>
      <c r="F40" s="729"/>
      <c r="G40" s="729"/>
      <c r="H40" s="729"/>
      <c r="I40" s="1743">
        <f t="shared" si="2"/>
        <v>0</v>
      </c>
      <c r="J40" s="730"/>
      <c r="K40" s="731"/>
    </row>
    <row r="41" spans="1:11" ht="12" customHeight="1" x14ac:dyDescent="0.2">
      <c r="A41" s="719"/>
      <c r="B41" s="720"/>
      <c r="C41" s="721"/>
      <c r="D41" s="728"/>
      <c r="E41" s="729"/>
      <c r="F41" s="729"/>
      <c r="G41" s="729"/>
      <c r="H41" s="729"/>
      <c r="I41" s="1743">
        <f t="shared" si="2"/>
        <v>0</v>
      </c>
      <c r="J41" s="730"/>
      <c r="K41" s="731"/>
    </row>
    <row r="42" spans="1:11" ht="12" customHeight="1" x14ac:dyDescent="0.2">
      <c r="A42" s="719"/>
      <c r="B42" s="720"/>
      <c r="C42" s="721"/>
      <c r="D42" s="728"/>
      <c r="E42" s="729"/>
      <c r="F42" s="729"/>
      <c r="G42" s="729"/>
      <c r="H42" s="729"/>
      <c r="I42" s="1743">
        <f t="shared" si="2"/>
        <v>0</v>
      </c>
      <c r="J42" s="730"/>
      <c r="K42" s="731"/>
    </row>
    <row r="43" spans="1:11" ht="12" customHeight="1" x14ac:dyDescent="0.2">
      <c r="A43" s="719"/>
      <c r="B43" s="720"/>
      <c r="C43" s="721"/>
      <c r="D43" s="728"/>
      <c r="E43" s="729"/>
      <c r="F43" s="729"/>
      <c r="G43" s="729"/>
      <c r="H43" s="729"/>
      <c r="I43" s="1743">
        <f t="shared" si="2"/>
        <v>0</v>
      </c>
      <c r="J43" s="730"/>
      <c r="K43" s="731"/>
    </row>
    <row r="44" spans="1:11" ht="12" customHeight="1" x14ac:dyDescent="0.2">
      <c r="A44" s="719"/>
      <c r="B44" s="720"/>
      <c r="C44" s="721"/>
      <c r="D44" s="722"/>
      <c r="E44" s="721"/>
      <c r="F44" s="721"/>
      <c r="G44" s="721"/>
      <c r="H44" s="721"/>
      <c r="I44" s="1743">
        <f t="shared" si="2"/>
        <v>0</v>
      </c>
      <c r="J44" s="721"/>
      <c r="K44" s="724"/>
    </row>
    <row r="45" spans="1:11" ht="12" customHeight="1" x14ac:dyDescent="0.2">
      <c r="A45" s="719"/>
      <c r="B45" s="720"/>
      <c r="C45" s="721"/>
      <c r="D45" s="722"/>
      <c r="E45" s="721"/>
      <c r="F45" s="721"/>
      <c r="G45" s="721"/>
      <c r="H45" s="721"/>
      <c r="I45" s="1743">
        <f t="shared" si="2"/>
        <v>0</v>
      </c>
      <c r="J45" s="721"/>
      <c r="K45" s="724"/>
    </row>
    <row r="46" spans="1:11" ht="12" customHeight="1" x14ac:dyDescent="0.2">
      <c r="A46" s="719"/>
      <c r="B46" s="720"/>
      <c r="C46" s="721"/>
      <c r="D46" s="722"/>
      <c r="E46" s="721"/>
      <c r="F46" s="721"/>
      <c r="G46" s="721"/>
      <c r="H46" s="721"/>
      <c r="I46" s="1743">
        <f t="shared" si="2"/>
        <v>0</v>
      </c>
      <c r="J46" s="721"/>
      <c r="K46" s="724"/>
    </row>
    <row r="47" spans="1:11" ht="12" customHeight="1" x14ac:dyDescent="0.2">
      <c r="A47" s="719"/>
      <c r="B47" s="720"/>
      <c r="C47" s="725"/>
      <c r="D47" s="722"/>
      <c r="E47" s="725"/>
      <c r="F47" s="725"/>
      <c r="G47" s="725"/>
      <c r="H47" s="725"/>
      <c r="I47" s="1743">
        <f t="shared" si="2"/>
        <v>0</v>
      </c>
      <c r="J47" s="725"/>
      <c r="K47" s="724"/>
    </row>
    <row r="48" spans="1:11" ht="12" customHeight="1" x14ac:dyDescent="0.2">
      <c r="A48" s="719"/>
      <c r="B48" s="720"/>
      <c r="C48" s="721"/>
      <c r="D48" s="722"/>
      <c r="E48" s="721"/>
      <c r="F48" s="721"/>
      <c r="G48" s="721"/>
      <c r="H48" s="721"/>
      <c r="I48" s="1743">
        <f t="shared" si="2"/>
        <v>0</v>
      </c>
      <c r="J48" s="721"/>
      <c r="K48" s="724"/>
    </row>
    <row r="49" spans="1:11" ht="12" customHeight="1" x14ac:dyDescent="0.2">
      <c r="A49" s="719"/>
      <c r="B49" s="720"/>
      <c r="C49" s="1743">
        <f>SUM(C31:C48)</f>
        <v>10873536</v>
      </c>
      <c r="D49" s="732"/>
      <c r="E49" s="1743">
        <f t="shared" ref="E49:J49" si="3">SUM(E31:E48)</f>
        <v>10316122</v>
      </c>
      <c r="F49" s="1743">
        <f t="shared" si="3"/>
        <v>0</v>
      </c>
      <c r="G49" s="1743">
        <f t="shared" si="3"/>
        <v>0</v>
      </c>
      <c r="H49" s="1743">
        <f t="shared" si="3"/>
        <v>447800</v>
      </c>
      <c r="I49" s="1743">
        <f t="shared" si="3"/>
        <v>9868322</v>
      </c>
      <c r="J49" s="1743">
        <f t="shared" si="3"/>
        <v>9418066</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90" t="s">
        <v>584</v>
      </c>
      <c r="C52" s="2191"/>
      <c r="D52" s="2191"/>
      <c r="E52" s="736" t="s">
        <v>845</v>
      </c>
      <c r="F52" s="2192" t="s">
        <v>2092</v>
      </c>
      <c r="G52" s="2193"/>
      <c r="H52" s="723"/>
      <c r="I52" s="723"/>
      <c r="J52" s="733"/>
    </row>
    <row r="53" spans="1:11" ht="11.25" customHeight="1" x14ac:dyDescent="0.2">
      <c r="A53" s="737" t="s">
        <v>913</v>
      </c>
      <c r="B53" s="738" t="s">
        <v>951</v>
      </c>
      <c r="C53" s="733"/>
      <c r="D53" s="724"/>
      <c r="E53" s="736" t="s">
        <v>497</v>
      </c>
      <c r="F53" s="2194"/>
      <c r="G53" s="2195"/>
      <c r="H53" s="723"/>
      <c r="I53" s="723"/>
      <c r="J53" s="733"/>
    </row>
    <row r="54" spans="1:11" ht="11.25" customHeight="1" x14ac:dyDescent="0.2">
      <c r="A54" s="739" t="s">
        <v>914</v>
      </c>
      <c r="B54" s="734" t="s">
        <v>952</v>
      </c>
      <c r="C54" s="733"/>
      <c r="D54" s="724"/>
      <c r="E54" s="736" t="s">
        <v>498</v>
      </c>
      <c r="F54" s="2194"/>
      <c r="G54" s="2195"/>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Q23" sqref="Q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856</v>
      </c>
      <c r="B1" s="2225"/>
      <c r="C1" s="2225"/>
      <c r="D1" s="2225"/>
      <c r="E1" s="2225"/>
      <c r="F1" s="2225"/>
      <c r="G1" s="2226"/>
      <c r="H1" s="1517"/>
      <c r="I1" s="747"/>
      <c r="J1" s="433"/>
    </row>
    <row r="2" spans="1:11" ht="26.25" x14ac:dyDescent="0.2">
      <c r="A2" s="2203" t="s">
        <v>1677</v>
      </c>
      <c r="B2" s="2204"/>
      <c r="C2" s="2204"/>
      <c r="D2" s="2204"/>
      <c r="E2" s="2205"/>
      <c r="F2" s="748" t="s">
        <v>904</v>
      </c>
      <c r="G2" s="749" t="s">
        <v>1674</v>
      </c>
      <c r="H2" s="749" t="s">
        <v>410</v>
      </c>
      <c r="I2" s="749" t="s">
        <v>1158</v>
      </c>
      <c r="J2" s="749" t="s">
        <v>1812</v>
      </c>
      <c r="K2" s="749" t="s">
        <v>138</v>
      </c>
    </row>
    <row r="3" spans="1:11" x14ac:dyDescent="0.2">
      <c r="A3" s="2206" t="s">
        <v>1964</v>
      </c>
      <c r="B3" s="2207"/>
      <c r="C3" s="2207"/>
      <c r="D3" s="2207"/>
      <c r="E3" s="2208"/>
      <c r="F3" s="750"/>
      <c r="G3" s="751"/>
      <c r="H3" s="751"/>
      <c r="I3" s="751"/>
      <c r="J3" s="752"/>
      <c r="K3" s="752"/>
    </row>
    <row r="4" spans="1:11" x14ac:dyDescent="0.2">
      <c r="A4" s="2209" t="s">
        <v>369</v>
      </c>
      <c r="B4" s="2210"/>
      <c r="C4" s="2210"/>
      <c r="D4" s="2210"/>
      <c r="E4" s="2191"/>
      <c r="F4" s="753"/>
      <c r="G4" s="754"/>
      <c r="H4" s="755"/>
      <c r="I4" s="754"/>
      <c r="J4" s="756"/>
      <c r="K4" s="756"/>
    </row>
    <row r="5" spans="1:11" x14ac:dyDescent="0.2">
      <c r="A5" s="2227" t="s">
        <v>1069</v>
      </c>
      <c r="B5" s="2200"/>
      <c r="C5" s="2200"/>
      <c r="D5" s="2200"/>
      <c r="E5" s="2228"/>
      <c r="F5" s="757" t="s">
        <v>848</v>
      </c>
      <c r="G5" s="758"/>
      <c r="H5" s="751">
        <v>113087</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227" t="s">
        <v>1813</v>
      </c>
      <c r="B10" s="2200"/>
      <c r="C10" s="2200"/>
      <c r="D10" s="2200"/>
      <c r="E10" s="2229"/>
      <c r="F10" s="770" t="s">
        <v>862</v>
      </c>
      <c r="G10" s="769"/>
      <c r="H10" s="771"/>
      <c r="I10" s="751"/>
      <c r="J10" s="752"/>
      <c r="K10" s="752"/>
    </row>
    <row r="11" spans="1:11" x14ac:dyDescent="0.2">
      <c r="A11" s="2227" t="s">
        <v>160</v>
      </c>
      <c r="B11" s="2200"/>
      <c r="C11" s="2200"/>
      <c r="D11" s="2200"/>
      <c r="E11" s="2228"/>
      <c r="F11" s="757" t="s">
        <v>852</v>
      </c>
      <c r="G11" s="758"/>
      <c r="H11" s="751"/>
      <c r="I11" s="751"/>
      <c r="J11" s="752"/>
      <c r="K11" s="760"/>
    </row>
    <row r="12" spans="1:11" ht="13.5" thickBot="1" x14ac:dyDescent="0.25">
      <c r="A12" s="2217" t="s">
        <v>905</v>
      </c>
      <c r="B12" s="2218"/>
      <c r="C12" s="2218"/>
      <c r="D12" s="2218"/>
      <c r="E12" s="2219"/>
      <c r="F12" s="1744"/>
      <c r="G12" s="1745">
        <f>SUM(G5:G11)</f>
        <v>0</v>
      </c>
      <c r="H12" s="1745">
        <f>SUM(H5:H11)</f>
        <v>113087</v>
      </c>
      <c r="I12" s="1745">
        <f>SUM(I5:I11)</f>
        <v>0</v>
      </c>
      <c r="J12" s="1745">
        <f>SUM(J5:J11)</f>
        <v>0</v>
      </c>
      <c r="K12" s="1745">
        <f>SUM(K5:K11)</f>
        <v>0</v>
      </c>
    </row>
    <row r="13" spans="1:11" ht="13.5" thickTop="1" x14ac:dyDescent="0.2">
      <c r="A13" s="2211" t="s">
        <v>370</v>
      </c>
      <c r="B13" s="2212"/>
      <c r="C13" s="2212"/>
      <c r="D13" s="2212"/>
      <c r="E13" s="2213"/>
      <c r="F13" s="772"/>
      <c r="G13" s="773"/>
      <c r="H13" s="774"/>
      <c r="I13" s="775"/>
      <c r="J13" s="775"/>
      <c r="K13" s="775"/>
    </row>
    <row r="14" spans="1:11" x14ac:dyDescent="0.2">
      <c r="A14" s="2233" t="s">
        <v>456</v>
      </c>
      <c r="B14" s="2233"/>
      <c r="C14" s="2233"/>
      <c r="D14" s="2233"/>
      <c r="E14" s="2234"/>
      <c r="F14" s="776" t="s">
        <v>854</v>
      </c>
      <c r="G14" s="769"/>
      <c r="H14" s="751">
        <v>113087</v>
      </c>
      <c r="I14" s="758"/>
      <c r="J14" s="760"/>
      <c r="K14" s="752"/>
    </row>
    <row r="15" spans="1:11" x14ac:dyDescent="0.2">
      <c r="A15" s="2200" t="s">
        <v>4</v>
      </c>
      <c r="B15" s="2200"/>
      <c r="C15" s="2200"/>
      <c r="D15" s="2200"/>
      <c r="E15" s="2228"/>
      <c r="F15" s="776" t="s">
        <v>855</v>
      </c>
      <c r="G15" s="758"/>
      <c r="H15" s="751"/>
      <c r="I15" s="751"/>
      <c r="J15" s="752"/>
      <c r="K15" s="752"/>
    </row>
    <row r="16" spans="1:11" x14ac:dyDescent="0.2">
      <c r="A16" s="2200" t="s">
        <v>298</v>
      </c>
      <c r="B16" s="2200"/>
      <c r="C16" s="2200"/>
      <c r="D16" s="2200"/>
      <c r="E16" s="2228"/>
      <c r="F16" s="776" t="s">
        <v>923</v>
      </c>
      <c r="G16" s="759"/>
      <c r="H16" s="754"/>
      <c r="I16" s="754"/>
      <c r="J16" s="756"/>
      <c r="K16" s="756"/>
    </row>
    <row r="17" spans="1:11" x14ac:dyDescent="0.2">
      <c r="A17" s="2222" t="s">
        <v>935</v>
      </c>
      <c r="B17" s="2222"/>
      <c r="C17" s="2222"/>
      <c r="D17" s="2222"/>
      <c r="E17" s="2223"/>
      <c r="F17" s="777"/>
      <c r="G17" s="778"/>
      <c r="H17" s="779"/>
      <c r="I17" s="779"/>
      <c r="J17" s="780"/>
      <c r="K17" s="781"/>
    </row>
    <row r="18" spans="1:11" x14ac:dyDescent="0.2">
      <c r="A18" s="2214" t="s">
        <v>368</v>
      </c>
      <c r="B18" s="2215"/>
      <c r="C18" s="2215"/>
      <c r="D18" s="2215"/>
      <c r="E18" s="2216"/>
      <c r="F18" s="776" t="s">
        <v>932</v>
      </c>
      <c r="G18" s="769"/>
      <c r="H18" s="769"/>
      <c r="I18" s="769"/>
      <c r="J18" s="752"/>
      <c r="K18" s="782"/>
    </row>
    <row r="19" spans="1:11" ht="21.75" customHeight="1" x14ac:dyDescent="0.2">
      <c r="A19" s="2235" t="s">
        <v>1809</v>
      </c>
      <c r="B19" s="2235"/>
      <c r="C19" s="2235"/>
      <c r="D19" s="2235"/>
      <c r="E19" s="2236"/>
      <c r="F19" s="776" t="s">
        <v>933</v>
      </c>
      <c r="G19" s="769"/>
      <c r="H19" s="769"/>
      <c r="I19" s="769"/>
      <c r="J19" s="752"/>
      <c r="K19" s="782"/>
    </row>
    <row r="20" spans="1:11" x14ac:dyDescent="0.2">
      <c r="A20" s="2214" t="s">
        <v>1814</v>
      </c>
      <c r="B20" s="2215"/>
      <c r="C20" s="2215"/>
      <c r="D20" s="2215"/>
      <c r="E20" s="2216"/>
      <c r="F20" s="776" t="s">
        <v>934</v>
      </c>
      <c r="G20" s="769"/>
      <c r="H20" s="769"/>
      <c r="I20" s="769"/>
      <c r="J20" s="752"/>
      <c r="K20" s="782"/>
    </row>
    <row r="21" spans="1:11" ht="13.5" thickBot="1" x14ac:dyDescent="0.25">
      <c r="A21" s="2220" t="s">
        <v>638</v>
      </c>
      <c r="B21" s="2220"/>
      <c r="C21" s="2220"/>
      <c r="D21" s="2220"/>
      <c r="E21" s="2220"/>
      <c r="F21" s="1746"/>
      <c r="G21" s="779"/>
      <c r="H21" s="783"/>
      <c r="I21" s="783"/>
      <c r="J21" s="1747">
        <f>SUM(J18:J20)</f>
        <v>0</v>
      </c>
      <c r="K21" s="780"/>
    </row>
    <row r="22" spans="1:11" ht="13.5" thickTop="1" x14ac:dyDescent="0.2">
      <c r="A22" s="2200" t="s">
        <v>1815</v>
      </c>
      <c r="B22" s="2200"/>
      <c r="C22" s="2200"/>
      <c r="D22" s="2200"/>
      <c r="E22" s="2228"/>
      <c r="F22" s="776" t="s">
        <v>862</v>
      </c>
      <c r="G22" s="769"/>
      <c r="H22" s="751"/>
      <c r="I22" s="751"/>
      <c r="J22" s="784"/>
      <c r="K22" s="752"/>
    </row>
    <row r="23" spans="1:11" ht="13.5" thickBot="1" x14ac:dyDescent="0.25">
      <c r="A23" s="2221" t="s">
        <v>906</v>
      </c>
      <c r="B23" s="2220"/>
      <c r="C23" s="2220"/>
      <c r="D23" s="2220"/>
      <c r="E23" s="2220"/>
      <c r="F23" s="1748"/>
      <c r="G23" s="1745">
        <f>SUM(G14:G16,G21,G22)</f>
        <v>0</v>
      </c>
      <c r="H23" s="1745">
        <f>SUM(H14:H16,H21,H22)</f>
        <v>113087</v>
      </c>
      <c r="I23" s="1745">
        <f>SUM(I14:I16,I21,I22)</f>
        <v>0</v>
      </c>
      <c r="J23" s="1745">
        <f>SUM(J14:J16,J21,J22)</f>
        <v>0</v>
      </c>
      <c r="K23" s="1745">
        <f>SUM(K14:K16,K21,K22)</f>
        <v>0</v>
      </c>
    </row>
    <row r="24" spans="1:11" ht="14.25" thickTop="1" thickBot="1" x14ac:dyDescent="0.25">
      <c r="A24" s="2221" t="s">
        <v>1965</v>
      </c>
      <c r="B24" s="2220"/>
      <c r="C24" s="2220"/>
      <c r="D24" s="2220"/>
      <c r="E24" s="2220"/>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30"/>
      <c r="I31" s="2231"/>
      <c r="J31" s="2231"/>
      <c r="K31" s="2231"/>
    </row>
    <row r="32" spans="1:11" x14ac:dyDescent="0.2">
      <c r="A32" s="796"/>
      <c r="B32" s="237"/>
      <c r="C32" s="237"/>
      <c r="D32" s="237"/>
      <c r="E32" s="792"/>
      <c r="F32" s="798" t="s">
        <v>540</v>
      </c>
      <c r="G32" s="751"/>
      <c r="H32" s="2232"/>
      <c r="I32" s="2231"/>
      <c r="J32" s="2231"/>
      <c r="K32" s="2231"/>
    </row>
    <row r="33" spans="1:11" ht="1.5" customHeight="1" x14ac:dyDescent="0.2">
      <c r="A33" s="799" t="s">
        <v>1169</v>
      </c>
      <c r="B33" s="364"/>
      <c r="C33" s="364"/>
      <c r="D33" s="364"/>
      <c r="E33" s="364"/>
      <c r="F33" s="364"/>
      <c r="G33" s="800"/>
      <c r="H33" s="2232"/>
      <c r="I33" s="2231"/>
      <c r="J33" s="2231"/>
      <c r="K33" s="2231"/>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0" t="s">
        <v>541</v>
      </c>
      <c r="B41" s="2201"/>
      <c r="C41" s="2201"/>
      <c r="D41" s="2201"/>
      <c r="E41" s="2201"/>
      <c r="F41" s="2202"/>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Q23" sqref="Q23"/>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1909</v>
      </c>
      <c r="B1" s="2240"/>
      <c r="C1" s="2241"/>
      <c r="D1" s="813"/>
      <c r="E1" s="814"/>
      <c r="F1" s="814"/>
      <c r="G1" s="815"/>
      <c r="H1" s="816"/>
      <c r="I1" s="817"/>
      <c r="J1" s="2237"/>
      <c r="K1" s="2238"/>
      <c r="L1" s="2238"/>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1797401</v>
      </c>
      <c r="D5" s="828"/>
      <c r="E5" s="828"/>
      <c r="F5" s="1747">
        <f>(C5+D5)-E5</f>
        <v>1797401</v>
      </c>
      <c r="G5" s="824"/>
      <c r="H5" s="829"/>
      <c r="I5" s="829"/>
      <c r="J5" s="829"/>
      <c r="K5" s="780"/>
      <c r="L5" s="1756">
        <f>F5-K5</f>
        <v>1797401</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21958080</v>
      </c>
      <c r="D8" s="831"/>
      <c r="E8" s="831"/>
      <c r="F8" s="1747">
        <f>(C8+D8)-E8</f>
        <v>21958080</v>
      </c>
      <c r="G8" s="830">
        <v>50</v>
      </c>
      <c r="H8" s="752">
        <v>9606987</v>
      </c>
      <c r="I8" s="752">
        <v>669503</v>
      </c>
      <c r="J8" s="752"/>
      <c r="K8" s="1756">
        <f>(H8+I8)-J8</f>
        <v>10276490</v>
      </c>
      <c r="L8" s="1756">
        <f>F8-K8</f>
        <v>11681590</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v>96220</v>
      </c>
      <c r="D10" s="833"/>
      <c r="E10" s="833"/>
      <c r="F10" s="1751">
        <f>(C10+D10)-E10</f>
        <v>96220</v>
      </c>
      <c r="G10" s="830">
        <v>20</v>
      </c>
      <c r="H10" s="834">
        <v>96220</v>
      </c>
      <c r="I10" s="834"/>
      <c r="J10" s="834"/>
      <c r="K10" s="1756">
        <f>(H10+I10)-J10</f>
        <v>96220</v>
      </c>
      <c r="L10" s="1756">
        <f>F10-K10</f>
        <v>0</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5468080</v>
      </c>
      <c r="D12" s="831">
        <v>3488</v>
      </c>
      <c r="E12" s="831"/>
      <c r="F12" s="1747">
        <f>(C12+D12)-E12</f>
        <v>5471568</v>
      </c>
      <c r="G12" s="830">
        <v>10</v>
      </c>
      <c r="H12" s="752">
        <v>4927004</v>
      </c>
      <c r="I12" s="752">
        <v>154694</v>
      </c>
      <c r="J12" s="752"/>
      <c r="K12" s="1756">
        <f>(H12+I12)-J12</f>
        <v>5081698</v>
      </c>
      <c r="L12" s="1756">
        <f>F12-K12</f>
        <v>389870</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c r="D15" s="831"/>
      <c r="E15" s="831"/>
      <c r="F15" s="1747">
        <f>(C15+D15)-E15</f>
        <v>0</v>
      </c>
      <c r="G15" s="836" t="s">
        <v>862</v>
      </c>
      <c r="H15" s="768"/>
      <c r="I15" s="768"/>
      <c r="J15" s="768"/>
      <c r="K15" s="768"/>
      <c r="L15" s="1756">
        <f>F15-K15</f>
        <v>0</v>
      </c>
    </row>
    <row r="16" spans="1:14" ht="15" customHeight="1" thickTop="1" thickBot="1" x14ac:dyDescent="0.25">
      <c r="A16" s="1752" t="s">
        <v>643</v>
      </c>
      <c r="B16" s="1753">
        <v>200</v>
      </c>
      <c r="C16" s="1747">
        <f>SUM(C3,C5:C6,C8:C10,C12:C15)</f>
        <v>29319781</v>
      </c>
      <c r="D16" s="1747">
        <f>SUM(D3,D5:D6,D8:D10,D12:D15)</f>
        <v>3488</v>
      </c>
      <c r="E16" s="1747">
        <f>SUM(E3,E5:E6,E8:E10,E12:E15)</f>
        <v>0</v>
      </c>
      <c r="F16" s="1747">
        <f>SUM(F3,F5:F6,F8:F10,F12:F15)</f>
        <v>29323269</v>
      </c>
      <c r="G16" s="830"/>
      <c r="H16" s="1747">
        <f>SUM(H3,H6,H8:H10,H12:H14,)</f>
        <v>14630211</v>
      </c>
      <c r="I16" s="1747">
        <f>SUM(I3,I6,I8:I10,I12:I14,)</f>
        <v>824197</v>
      </c>
      <c r="J16" s="1747">
        <f>SUM(J3,J6,J8:J10,J12:J14,)</f>
        <v>0</v>
      </c>
      <c r="K16" s="1747">
        <f>(H16+I16)-J16</f>
        <v>15454408</v>
      </c>
      <c r="L16" s="1747">
        <f>F16-K16</f>
        <v>13868861</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87740</v>
      </c>
      <c r="G17" s="824">
        <v>10</v>
      </c>
      <c r="H17" s="756"/>
      <c r="I17" s="1756">
        <f>F17/G17</f>
        <v>8774</v>
      </c>
      <c r="J17" s="756"/>
      <c r="K17" s="782"/>
      <c r="L17" s="782"/>
    </row>
    <row r="18" spans="1:12" ht="14.25" thickTop="1" thickBot="1" x14ac:dyDescent="0.25">
      <c r="A18" s="1754" t="s">
        <v>685</v>
      </c>
      <c r="B18" s="1755"/>
      <c r="C18" s="758"/>
      <c r="D18" s="758"/>
      <c r="E18" s="758"/>
      <c r="F18" s="837"/>
      <c r="G18" s="838"/>
      <c r="H18" s="760"/>
      <c r="I18" s="1747">
        <f>SUM(I16,I17)</f>
        <v>832971</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Q23" sqref="Q23"/>
      <selection pane="bottomLeft" activeCell="Q23" sqref="Q23"/>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5" t="s">
        <v>1975</v>
      </c>
      <c r="B1" s="2246"/>
      <c r="C1" s="2246"/>
      <c r="D1" s="2246"/>
      <c r="E1" s="2246"/>
      <c r="F1" s="2247"/>
      <c r="G1" s="842"/>
    </row>
    <row r="2" spans="1:7" ht="15" customHeight="1" thickBot="1" x14ac:dyDescent="0.25">
      <c r="A2" s="2248" t="s">
        <v>477</v>
      </c>
      <c r="B2" s="2249"/>
      <c r="C2" s="2249"/>
      <c r="D2" s="2249"/>
      <c r="E2" s="2249"/>
      <c r="F2" s="2250"/>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10363328</v>
      </c>
      <c r="G8" s="852"/>
    </row>
    <row r="9" spans="1:7" x14ac:dyDescent="0.2">
      <c r="A9" s="856" t="s">
        <v>460</v>
      </c>
      <c r="B9" s="857" t="s">
        <v>1877</v>
      </c>
      <c r="C9" s="858"/>
      <c r="D9" s="856" t="s">
        <v>501</v>
      </c>
      <c r="E9" s="855"/>
      <c r="F9" s="1896">
        <f>'Expenditures 15-22'!K151</f>
        <v>1035315</v>
      </c>
      <c r="G9" s="859"/>
    </row>
    <row r="10" spans="1:7" x14ac:dyDescent="0.2">
      <c r="A10" s="856" t="s">
        <v>499</v>
      </c>
      <c r="B10" s="857" t="s">
        <v>1878</v>
      </c>
      <c r="C10" s="858"/>
      <c r="D10" s="856" t="s">
        <v>501</v>
      </c>
      <c r="E10" s="855"/>
      <c r="F10" s="1896">
        <f>'Expenditures 15-22'!K174</f>
        <v>877463</v>
      </c>
      <c r="G10" s="859"/>
    </row>
    <row r="11" spans="1:7" x14ac:dyDescent="0.2">
      <c r="A11" s="856" t="s">
        <v>461</v>
      </c>
      <c r="B11" s="857" t="s">
        <v>1879</v>
      </c>
      <c r="C11" s="858"/>
      <c r="D11" s="856" t="s">
        <v>501</v>
      </c>
      <c r="E11" s="855"/>
      <c r="F11" s="1896">
        <f>'Expenditures 15-22'!K210</f>
        <v>489655</v>
      </c>
      <c r="G11" s="859"/>
    </row>
    <row r="12" spans="1:7" x14ac:dyDescent="0.2">
      <c r="A12" s="856" t="s">
        <v>462</v>
      </c>
      <c r="B12" s="857" t="s">
        <v>1880</v>
      </c>
      <c r="C12" s="858"/>
      <c r="D12" s="856" t="s">
        <v>501</v>
      </c>
      <c r="E12" s="855"/>
      <c r="F12" s="1896">
        <f>'Expenditures 15-22'!K295</f>
        <v>315750</v>
      </c>
      <c r="G12" s="859"/>
    </row>
    <row r="13" spans="1:7" x14ac:dyDescent="0.2">
      <c r="A13" s="856" t="s">
        <v>106</v>
      </c>
      <c r="B13" s="857" t="s">
        <v>1881</v>
      </c>
      <c r="C13" s="858"/>
      <c r="D13" s="856" t="s">
        <v>501</v>
      </c>
      <c r="E13" s="855"/>
      <c r="F13" s="1896">
        <f>'Expenditures 15-22'!K342</f>
        <v>0</v>
      </c>
      <c r="G13" s="860"/>
    </row>
    <row r="14" spans="1:7" ht="12" customHeight="1" thickBot="1" x14ac:dyDescent="0.25">
      <c r="A14" s="1757"/>
      <c r="B14" s="1758"/>
      <c r="C14" s="1759"/>
      <c r="D14" s="1760" t="s">
        <v>501</v>
      </c>
      <c r="E14" s="1761" t="s">
        <v>958</v>
      </c>
      <c r="F14" s="1762">
        <f>SUM(F8:F13)</f>
        <v>13081511</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16494</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0</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5260</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1189</v>
      </c>
      <c r="G52" s="852"/>
    </row>
    <row r="53" spans="1:7" x14ac:dyDescent="0.2">
      <c r="A53" s="856" t="s">
        <v>459</v>
      </c>
      <c r="B53" s="856" t="s">
        <v>1475</v>
      </c>
      <c r="C53" s="876">
        <f>'Expenditures 15-22'!B102</f>
        <v>4000</v>
      </c>
      <c r="D53" s="875" t="str">
        <f>'Expenditures 15-22'!A102</f>
        <v>Total Payments to Other Govt Units</v>
      </c>
      <c r="E53" s="855"/>
      <c r="F53" s="1900">
        <f>'Expenditures 15-22'!K102</f>
        <v>864000</v>
      </c>
      <c r="G53" s="852"/>
    </row>
    <row r="54" spans="1:7" x14ac:dyDescent="0.2">
      <c r="A54" s="856" t="s">
        <v>459</v>
      </c>
      <c r="B54" s="856" t="s">
        <v>1476</v>
      </c>
      <c r="C54" s="876" t="s">
        <v>982</v>
      </c>
      <c r="D54" s="872" t="s">
        <v>1095</v>
      </c>
      <c r="E54" s="855"/>
      <c r="F54" s="1900">
        <f>'Expenditures 15-22'!G114</f>
        <v>3488</v>
      </c>
      <c r="G54" s="852"/>
    </row>
    <row r="55" spans="1:7" x14ac:dyDescent="0.2">
      <c r="A55" s="856" t="s">
        <v>459</v>
      </c>
      <c r="B55" s="856" t="s">
        <v>1477</v>
      </c>
      <c r="C55" s="876" t="s">
        <v>982</v>
      </c>
      <c r="D55" s="872" t="s">
        <v>291</v>
      </c>
      <c r="E55" s="855"/>
      <c r="F55" s="1900">
        <f>'Expenditures 15-22'!I114</f>
        <v>86638</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0</v>
      </c>
      <c r="G58" s="852"/>
    </row>
    <row r="59" spans="1:7" x14ac:dyDescent="0.2">
      <c r="A59" s="880" t="s">
        <v>460</v>
      </c>
      <c r="B59" s="843" t="s">
        <v>1884</v>
      </c>
      <c r="C59" s="881" t="s">
        <v>982</v>
      </c>
      <c r="D59" s="843" t="s">
        <v>291</v>
      </c>
      <c r="F59" s="1903">
        <f>'Expenditures 15-22'!I151</f>
        <v>1102</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447800</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1325</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1894</v>
      </c>
      <c r="C70" s="873">
        <f>'Expenditures 15-22'!B221</f>
        <v>1300</v>
      </c>
      <c r="D70" s="874" t="str">
        <f>'Expenditures 15-22'!A221</f>
        <v>Adult/Continuing Education Programs</v>
      </c>
      <c r="E70" s="855"/>
      <c r="F70" s="1900">
        <f>'Expenditures 15-22'!K221</f>
        <v>0</v>
      </c>
      <c r="G70" s="852"/>
    </row>
    <row r="71" spans="1:8" x14ac:dyDescent="0.2">
      <c r="A71" s="856" t="s">
        <v>462</v>
      </c>
      <c r="B71" s="856" t="s">
        <v>1895</v>
      </c>
      <c r="C71" s="873">
        <f>'Expenditures 15-22'!B224</f>
        <v>1600</v>
      </c>
      <c r="D71" s="874" t="str">
        <f>'Expenditures 15-22'!A224</f>
        <v>Summer School Programs</v>
      </c>
      <c r="E71" s="855"/>
      <c r="F71" s="1900">
        <f>'Expenditures 15-22'!K224</f>
        <v>0</v>
      </c>
      <c r="G71" s="852"/>
    </row>
    <row r="72" spans="1:8" x14ac:dyDescent="0.2">
      <c r="A72" s="856" t="s">
        <v>462</v>
      </c>
      <c r="B72" s="856" t="s">
        <v>1896</v>
      </c>
      <c r="C72" s="873">
        <f>'Expenditures 15-22'!B280</f>
        <v>3000</v>
      </c>
      <c r="D72" s="863" t="s">
        <v>449</v>
      </c>
      <c r="E72" s="855"/>
      <c r="F72" s="1900">
        <f>'Expenditures 15-22'!K280</f>
        <v>0</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1427296</v>
      </c>
      <c r="G76" s="852"/>
    </row>
    <row r="77" spans="1:8" s="880" customFormat="1" ht="12" customHeight="1" thickTop="1" thickBot="1" x14ac:dyDescent="0.25">
      <c r="A77" s="1766"/>
      <c r="B77" s="1763"/>
      <c r="C77" s="1759"/>
      <c r="D77" s="1764" t="s">
        <v>1900</v>
      </c>
      <c r="E77" s="1761"/>
      <c r="F77" s="1767">
        <f>(F14-F76)</f>
        <v>11654215</v>
      </c>
      <c r="G77" s="856"/>
    </row>
    <row r="78" spans="1:8" s="880" customFormat="1" ht="12" customHeight="1" thickTop="1" x14ac:dyDescent="0.2">
      <c r="A78" s="1768"/>
      <c r="B78" s="1763"/>
      <c r="C78" s="1759"/>
      <c r="D78" s="1764" t="s">
        <v>2062</v>
      </c>
      <c r="E78" s="1761"/>
      <c r="F78" s="885">
        <v>934.4</v>
      </c>
      <c r="G78" s="886"/>
      <c r="H78" s="856"/>
    </row>
    <row r="79" spans="1:8" s="880" customFormat="1" ht="12" customHeight="1" thickBot="1" x14ac:dyDescent="0.25">
      <c r="A79" s="1769"/>
      <c r="B79" s="1763"/>
      <c r="C79" s="1759"/>
      <c r="D79" s="1764" t="s">
        <v>1901</v>
      </c>
      <c r="E79" s="1761" t="s">
        <v>958</v>
      </c>
      <c r="F79" s="1770">
        <f>IF(F78&gt;0,F77/F78," Complete Line 78")</f>
        <v>12472.404751712329</v>
      </c>
      <c r="G79" s="856"/>
    </row>
    <row r="80" spans="1:8" s="880" customFormat="1" ht="8.25" customHeight="1" thickTop="1" x14ac:dyDescent="0.2">
      <c r="A80" s="887"/>
      <c r="B80" s="856"/>
      <c r="C80" s="858"/>
      <c r="D80" s="888"/>
      <c r="E80" s="855"/>
      <c r="F80" s="889"/>
      <c r="G80" s="856"/>
    </row>
    <row r="81" spans="1:7" s="880" customFormat="1" ht="12" thickBot="1" x14ac:dyDescent="0.25">
      <c r="A81" s="2242" t="s">
        <v>1105</v>
      </c>
      <c r="B81" s="2243"/>
      <c r="C81" s="2243"/>
      <c r="D81" s="2243"/>
      <c r="E81" s="2243"/>
      <c r="F81" s="2244"/>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16739</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479</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13425</v>
      </c>
      <c r="G94" s="899"/>
    </row>
    <row r="95" spans="1:7" x14ac:dyDescent="0.2">
      <c r="A95" s="895" t="s">
        <v>140</v>
      </c>
      <c r="B95" s="895" t="s">
        <v>175</v>
      </c>
      <c r="C95" s="897">
        <v>1700</v>
      </c>
      <c r="D95" s="905" t="str">
        <f>'Revenues 9-14'!A82</f>
        <v>Total District/School Activity Income</v>
      </c>
      <c r="E95" s="893"/>
      <c r="F95" s="1776">
        <f>SUM('Revenues 9-14'!C82,'Revenues 9-14'!D82)</f>
        <v>185561</v>
      </c>
      <c r="G95" s="899"/>
    </row>
    <row r="96" spans="1:7" x14ac:dyDescent="0.2">
      <c r="A96" s="895" t="s">
        <v>459</v>
      </c>
      <c r="B96" s="895" t="s">
        <v>176</v>
      </c>
      <c r="C96" s="897">
        <f>'Revenues 9-14'!B84</f>
        <v>1811</v>
      </c>
      <c r="D96" s="898" t="str">
        <f>'Revenues 9-14'!A84</f>
        <v>Rentals - Regular Textbooks</v>
      </c>
      <c r="E96" s="893"/>
      <c r="F96" s="1776">
        <f>'Revenues 9-14'!C84</f>
        <v>855</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30000</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2003</v>
      </c>
      <c r="C105" s="900">
        <v>3100</v>
      </c>
      <c r="D105" s="906" t="str">
        <f>'Revenues 9-14'!A132</f>
        <v>Total Special Education</v>
      </c>
      <c r="E105" s="893"/>
      <c r="F105" s="1776">
        <f>SUM('Revenues 9-14'!C132:D132,'Revenues 9-14'!F132)</f>
        <v>23969</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0</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394</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68902</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0</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10314</v>
      </c>
      <c r="G125" s="917"/>
    </row>
    <row r="126" spans="1:7" x14ac:dyDescent="0.2">
      <c r="A126" s="914" t="s">
        <v>668</v>
      </c>
      <c r="B126" s="914" t="s">
        <v>2024</v>
      </c>
      <c r="C126" s="919">
        <v>4300</v>
      </c>
      <c r="D126" s="920" t="str">
        <f>'Revenues 9-14'!A204</f>
        <v>Total Title I</v>
      </c>
      <c r="E126" s="893"/>
      <c r="F126" s="1776">
        <f>SUM('Revenues 9-14'!C204,'Revenues 9-14'!D204,'Revenues 9-14'!F204,'Revenues 9-14'!G204)</f>
        <v>39689</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0</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211291</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15993</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0</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35762</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5565</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26584</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v>292947</v>
      </c>
      <c r="G171" s="914"/>
    </row>
    <row r="172" spans="1:7" x14ac:dyDescent="0.2">
      <c r="A172" s="1905" t="s">
        <v>664</v>
      </c>
      <c r="B172" s="1906" t="s">
        <v>1920</v>
      </c>
      <c r="C172" s="1907">
        <v>3300</v>
      </c>
      <c r="D172" s="1908" t="s">
        <v>1923</v>
      </c>
      <c r="E172" s="893"/>
      <c r="F172" s="1893">
        <v>18601</v>
      </c>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997070</v>
      </c>
    </row>
    <row r="175" spans="1:7" ht="12" customHeight="1" x14ac:dyDescent="0.2">
      <c r="A175" s="1757"/>
      <c r="B175" s="1771"/>
      <c r="C175" s="1772"/>
      <c r="D175" s="1773" t="s">
        <v>2057</v>
      </c>
      <c r="E175" s="1774"/>
      <c r="F175" s="1776">
        <f>'PCTC-OEPP 27-28'!F77-F174</f>
        <v>10657145</v>
      </c>
    </row>
    <row r="176" spans="1:7" ht="12" customHeight="1" x14ac:dyDescent="0.2">
      <c r="A176" s="1757"/>
      <c r="B176" s="1771"/>
      <c r="C176" s="1772"/>
      <c r="D176" s="1773" t="s">
        <v>1817</v>
      </c>
      <c r="E176" s="1774"/>
      <c r="F176" s="1776">
        <f>'Cap Outlay Deprec 26'!I18</f>
        <v>832971</v>
      </c>
    </row>
    <row r="177" spans="1:7" ht="12" customHeight="1" x14ac:dyDescent="0.2">
      <c r="A177" s="1757"/>
      <c r="B177" s="1771"/>
      <c r="C177" s="1772"/>
      <c r="D177" s="1773" t="s">
        <v>2058</v>
      </c>
      <c r="E177" s="1774"/>
      <c r="F177" s="1776">
        <f>F175+F176</f>
        <v>11490116</v>
      </c>
    </row>
    <row r="178" spans="1:7" ht="12" customHeight="1" x14ac:dyDescent="0.2">
      <c r="A178" s="1757"/>
      <c r="B178" s="1777"/>
      <c r="C178" s="1772"/>
      <c r="D178" s="1773" t="str">
        <f>D78</f>
        <v>9 Month ADA from District Average Daily Attendance/Prior General State Aid Inquiry 2018-2019</v>
      </c>
      <c r="E178" s="1774"/>
      <c r="F178" s="1778">
        <f>'PCTC-OEPP 27-28'!F78</f>
        <v>934.4</v>
      </c>
      <c r="G178" s="917"/>
    </row>
    <row r="179" spans="1:7" ht="12" customHeight="1" thickBot="1" x14ac:dyDescent="0.25">
      <c r="A179" s="1757"/>
      <c r="B179" s="1777"/>
      <c r="C179" s="1772"/>
      <c r="D179" s="1773" t="s">
        <v>2059</v>
      </c>
      <c r="E179" s="1774" t="s">
        <v>1545</v>
      </c>
      <c r="F179" s="1779">
        <f>F177/F178</f>
        <v>12296.785102739726</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Q23" sqref="Q23"/>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56" t="s">
        <v>1818</v>
      </c>
      <c r="B4" s="2257"/>
      <c r="C4" s="2257"/>
      <c r="D4" s="2257"/>
      <c r="E4" s="2257"/>
      <c r="F4" s="2257"/>
      <c r="G4" s="2258"/>
    </row>
    <row r="5" spans="1:7" x14ac:dyDescent="0.25">
      <c r="A5" s="2259"/>
      <c r="B5" s="2260"/>
      <c r="C5" s="2260"/>
      <c r="D5" s="2260"/>
      <c r="E5" s="2260"/>
      <c r="F5" s="2260"/>
      <c r="G5" s="2261"/>
    </row>
    <row r="6" spans="1:7" ht="18.75" x14ac:dyDescent="0.25">
      <c r="A6" s="1521" t="s">
        <v>1819</v>
      </c>
      <c r="B6" s="1522"/>
      <c r="C6" s="1522"/>
      <c r="D6" s="1522"/>
      <c r="E6" s="1522"/>
      <c r="F6" s="1522"/>
      <c r="G6" s="1523"/>
    </row>
    <row r="7" spans="1:7" ht="30.75" customHeight="1" x14ac:dyDescent="0.25">
      <c r="A7" s="2262" t="s">
        <v>1932</v>
      </c>
      <c r="B7" s="2263"/>
      <c r="C7" s="2263"/>
      <c r="D7" s="2263"/>
      <c r="E7" s="2263"/>
      <c r="F7" s="2263"/>
      <c r="G7" s="2264"/>
    </row>
    <row r="8" spans="1:7" ht="15.75" customHeight="1" x14ac:dyDescent="0.25">
      <c r="A8" s="2265" t="s">
        <v>1907</v>
      </c>
      <c r="B8" s="2266"/>
      <c r="C8" s="2266"/>
      <c r="D8" s="2266"/>
      <c r="E8" s="2266"/>
      <c r="F8" s="2266"/>
      <c r="G8" s="2267"/>
    </row>
    <row r="9" spans="1:7" ht="35.25" customHeight="1" x14ac:dyDescent="0.25">
      <c r="A9" s="2262" t="s">
        <v>1935</v>
      </c>
      <c r="B9" s="2263"/>
      <c r="C9" s="2263"/>
      <c r="D9" s="2263"/>
      <c r="E9" s="2263"/>
      <c r="F9" s="2263"/>
      <c r="G9" s="2264"/>
    </row>
    <row r="10" spans="1:7" ht="15" customHeight="1" x14ac:dyDescent="0.25">
      <c r="A10" s="1524" t="s">
        <v>1820</v>
      </c>
      <c r="B10" s="1525"/>
      <c r="C10" s="1525"/>
      <c r="D10" s="1525"/>
      <c r="E10" s="1525"/>
      <c r="F10" s="1525"/>
      <c r="G10" s="1526"/>
    </row>
    <row r="11" spans="1:7" ht="17.25" customHeight="1" x14ac:dyDescent="0.25">
      <c r="A11" s="2262" t="s">
        <v>1934</v>
      </c>
      <c r="B11" s="2263"/>
      <c r="C11" s="2263"/>
      <c r="D11" s="2263"/>
      <c r="E11" s="2263"/>
      <c r="F11" s="2263"/>
      <c r="G11" s="2264"/>
    </row>
    <row r="12" spans="1:7" ht="15" customHeight="1" x14ac:dyDescent="0.25">
      <c r="A12" s="1524" t="s">
        <v>1825</v>
      </c>
      <c r="B12" s="1525"/>
      <c r="C12" s="1525"/>
      <c r="D12" s="1525"/>
      <c r="E12" s="1525"/>
      <c r="F12" s="1525"/>
      <c r="G12" s="1526"/>
    </row>
    <row r="13" spans="1:7" ht="32.25" customHeight="1" x14ac:dyDescent="0.25">
      <c r="A13" s="2253" t="s">
        <v>1976</v>
      </c>
      <c r="B13" s="2254"/>
      <c r="C13" s="2254"/>
      <c r="D13" s="2254"/>
      <c r="E13" s="2254"/>
      <c r="F13" s="2254"/>
      <c r="G13" s="2255"/>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ht="30" x14ac:dyDescent="0.25">
      <c r="A17" s="1924" t="s">
        <v>2096</v>
      </c>
      <c r="B17" s="1925" t="s">
        <v>2093</v>
      </c>
      <c r="C17" s="1926" t="s">
        <v>2094</v>
      </c>
      <c r="D17" s="1831">
        <v>26978</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1978</v>
      </c>
      <c r="H17" s="1634"/>
    </row>
    <row r="18" spans="1:8" ht="30" x14ac:dyDescent="0.25">
      <c r="A18" s="1924" t="s">
        <v>2095</v>
      </c>
      <c r="B18" s="1925" t="s">
        <v>2097</v>
      </c>
      <c r="C18" s="1926" t="s">
        <v>2098</v>
      </c>
      <c r="D18" s="1831">
        <v>124955</v>
      </c>
      <c r="E18" s="1527">
        <f t="shared" ref="E18:E140" si="2">IF(D18&lt;=25000,D18,IF(D18&gt;25000,25000,0))</f>
        <v>25000</v>
      </c>
      <c r="F18" s="1919">
        <f t="shared" si="1"/>
        <v>25000</v>
      </c>
      <c r="G18" s="1780">
        <f t="shared" ref="G18:G140" si="3">IF(F18=0,0,D18-F18)</f>
        <v>99955</v>
      </c>
    </row>
    <row r="19" spans="1:8" ht="30" x14ac:dyDescent="0.25">
      <c r="A19" s="1924" t="s">
        <v>2099</v>
      </c>
      <c r="B19" s="1925" t="s">
        <v>2100</v>
      </c>
      <c r="C19" s="1926" t="s">
        <v>2101</v>
      </c>
      <c r="D19" s="1831">
        <v>143386</v>
      </c>
      <c r="E19" s="1527">
        <f t="shared" si="2"/>
        <v>25000</v>
      </c>
      <c r="F19" s="1919">
        <f t="shared" si="1"/>
        <v>25000</v>
      </c>
      <c r="G19" s="1780">
        <f t="shared" si="3"/>
        <v>118386</v>
      </c>
    </row>
    <row r="20" spans="1:8" ht="30" x14ac:dyDescent="0.25">
      <c r="A20" s="1924" t="s">
        <v>2099</v>
      </c>
      <c r="B20" s="1925" t="s">
        <v>2100</v>
      </c>
      <c r="C20" s="1926" t="s">
        <v>2102</v>
      </c>
      <c r="D20" s="1831">
        <v>319215</v>
      </c>
      <c r="E20" s="1527">
        <f t="shared" si="2"/>
        <v>25000</v>
      </c>
      <c r="F20" s="1919">
        <f t="shared" si="1"/>
        <v>25000</v>
      </c>
      <c r="G20" s="1780">
        <f t="shared" si="3"/>
        <v>294215</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614534</v>
      </c>
      <c r="E141" s="1528">
        <f t="shared" si="0"/>
        <v>25000</v>
      </c>
      <c r="F141" s="1920">
        <f>SUM(F17:F140)</f>
        <v>100000</v>
      </c>
      <c r="G141" s="1782">
        <f>SUM(G17:G140)</f>
        <v>514534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5" colorId="8" zoomScale="110" zoomScaleNormal="110" workbookViewId="0">
      <selection activeCell="Q23" sqref="Q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68" t="s">
        <v>1679</v>
      </c>
      <c r="B5" s="2269"/>
      <c r="C5" s="2269"/>
      <c r="D5" s="2269"/>
      <c r="E5" s="2269"/>
      <c r="F5" s="2269"/>
      <c r="G5" s="2270"/>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10314</v>
      </c>
      <c r="F10" s="961"/>
      <c r="G10" s="962"/>
      <c r="H10" s="162"/>
      <c r="I10" s="162"/>
    </row>
    <row r="11" spans="1:9" s="657" customFormat="1" ht="22.5" customHeight="1" x14ac:dyDescent="0.2">
      <c r="A11" s="2273" t="s">
        <v>1977</v>
      </c>
      <c r="B11" s="2274"/>
      <c r="C11" s="2274"/>
      <c r="D11" s="2275"/>
      <c r="E11" s="964"/>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6249398</v>
      </c>
      <c r="F19" s="1786"/>
      <c r="G19" s="1788">
        <f>'Expenditures 15-22'!K33-SUM('Expenditures 15-22'!G33,'Expenditures 15-22'!I33)+'Expenditures 15-22'!D229</f>
        <v>6249398</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606721</v>
      </c>
      <c r="F21" s="1789"/>
      <c r="G21" s="1792">
        <f>'Expenditures 15-22'!K42-SUM('Expenditures 15-22'!G42,'Expenditures 15-22'!I42)+'Expenditures 15-22'!K120-SUM('Expenditures 15-22'!G120,'Expenditures 15-22'!I120)+'Expenditures 15-22'!K180-SUM('Expenditures 15-22'!G180,'Expenditures 15-22'!I180)+'Expenditures 15-22'!D238</f>
        <v>606721</v>
      </c>
      <c r="H21" s="974"/>
      <c r="I21" s="162"/>
    </row>
    <row r="22" spans="1:9" s="657" customFormat="1" ht="12" customHeight="1" x14ac:dyDescent="0.2">
      <c r="A22" s="981" t="s">
        <v>564</v>
      </c>
      <c r="B22" s="982"/>
      <c r="C22" s="980">
        <v>2200</v>
      </c>
      <c r="D22" s="1789"/>
      <c r="E22" s="1791">
        <f>'Expenditures 15-22'!K47-SUM('Expenditures 15-22'!G47,'Expenditures 15-22'!I47)+'Expenditures 15-22'!D243</f>
        <v>1173128</v>
      </c>
      <c r="F22" s="1789"/>
      <c r="G22" s="1792">
        <f>'Expenditures 15-22'!K47-SUM('Expenditures 15-22'!G47,'Expenditures 15-22'!I47)+'Expenditures 15-22'!D243</f>
        <v>1173128</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499198</v>
      </c>
      <c r="F23" s="1789"/>
      <c r="G23" s="1791">
        <f>'Expenditures 15-22'!K53-SUM('Expenditures 15-22'!G53,'Expenditures 15-22'!I53)+'Expenditures 15-22'!D257+'Expenditures 15-22'!K330-SUM('Expenditures 15-22'!G330,'Expenditures 15-22'!I330)</f>
        <v>499198</v>
      </c>
      <c r="H23" s="974"/>
      <c r="I23" s="162"/>
    </row>
    <row r="24" spans="1:9" s="657" customFormat="1" ht="12" customHeight="1" x14ac:dyDescent="0.2">
      <c r="A24" s="981" t="s">
        <v>566</v>
      </c>
      <c r="B24" s="982"/>
      <c r="C24" s="980">
        <v>2400</v>
      </c>
      <c r="D24" s="1789"/>
      <c r="E24" s="1791">
        <f>'Expenditures 15-22'!K57-SUM('Expenditures 15-22'!G57,'Expenditures 15-22'!I57)+'Expenditures 15-22'!D261</f>
        <v>726163</v>
      </c>
      <c r="F24" s="1789"/>
      <c r="G24" s="1792">
        <f>'Expenditures 15-22'!K57-SUM('Expenditures 15-22'!G57,'Expenditures 15-22'!I57)+'Expenditures 15-22'!D261</f>
        <v>726163</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160532</v>
      </c>
      <c r="E26" s="1791">
        <f>'Expenditures 15-22'!K122-SUM('Expenditures 15-22'!G122,'Expenditures 15-22'!I122)+E7</f>
        <v>0</v>
      </c>
      <c r="F26" s="1791">
        <f>'Expenditures 15-22'!K59-SUM('Expenditures 15-22'!G59,'Expenditures 15-22'!I59)+'Expenditures 15-22'!D263-E7</f>
        <v>160532</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174023</v>
      </c>
      <c r="E27" s="1791">
        <f>E8</f>
        <v>0</v>
      </c>
      <c r="F27" s="1791">
        <f>'Expenditures 15-22'!K60-SUM('Expenditures 15-22'!G60,'Expenditures 15-22'!I60)+'Expenditures 15-22'!D264-E8</f>
        <v>174023</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1118620</v>
      </c>
      <c r="F28" s="1793">
        <f>'Expenditures 15-22'!K61-SUM('Expenditures 15-22'!G61,'Expenditures 15-22'!I61)+'Expenditures 15-22'!K124-SUM('Expenditures 15-22'!G124,'Expenditures 15-22'!I124)+'Expenditures 15-22'!D266-E9</f>
        <v>1118620</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491534</v>
      </c>
      <c r="F29" s="1789"/>
      <c r="G29" s="1792">
        <f>'Expenditures 15-22'!K62-SUM('Expenditures 15-22'!G62,'Expenditures 15-22'!I62)+'Expenditures 15-22'!K125-SUM('Expenditures 15-22'!G125,'Expenditures 15-22'!I125)+'Expenditures 15-22'!K182-SUM('Expenditures 15-22'!G182,'Expenditures 15-22'!I182)+'Expenditures 15-22'!D267</f>
        <v>491534</v>
      </c>
      <c r="H29" s="972"/>
    </row>
    <row r="30" spans="1:9" ht="12" customHeight="1" x14ac:dyDescent="0.2">
      <c r="A30" s="981" t="s">
        <v>100</v>
      </c>
      <c r="B30" s="984"/>
      <c r="C30" s="980">
        <v>2560</v>
      </c>
      <c r="D30" s="1789"/>
      <c r="E30" s="1791">
        <f>'Expenditures 15-22'!K63-SUM('Expenditures 15-22'!G63,'Expenditures 15-22'!I63)+'Expenditures 15-22'!D268-E10</f>
        <v>29131</v>
      </c>
      <c r="F30" s="1789"/>
      <c r="G30" s="1791">
        <f>'Expenditures 15-22'!K63-SUM('Expenditures 15-22'!G63,'Expenditures 15-22'!I63)+'Expenditures 15-22'!D268-E10</f>
        <v>29131</v>
      </c>
    </row>
    <row r="31" spans="1:9" ht="12" customHeight="1" x14ac:dyDescent="0.2">
      <c r="A31" s="981" t="s">
        <v>101</v>
      </c>
      <c r="B31" s="984"/>
      <c r="C31" s="980">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81" t="s">
        <v>403</v>
      </c>
      <c r="B36" s="984"/>
      <c r="C36" s="980">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1" t="s">
        <v>404</v>
      </c>
      <c r="B37" s="984"/>
      <c r="C37" s="980">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282</v>
      </c>
      <c r="F38" s="1789"/>
      <c r="G38" s="1791">
        <f>'Expenditures 15-22'!K73-SUM('Expenditures 15-22'!G73,'Expenditures 15-22'!I73)+'Expenditures 15-22'!K128-SUM('Expenditures 15-22'!G128,'Expenditures 15-22'!I128)+'Expenditures 15-22'!K183-SUM('Expenditures 15-22'!G183,'Expenditures 15-22'!I183)+'Expenditures 15-22'!D278</f>
        <v>282</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1189</v>
      </c>
      <c r="F39" s="1789"/>
      <c r="G39" s="1791">
        <f>'Expenditures 15-22'!K75-SUM('Expenditures 15-22'!G75,'Expenditures 15-22'!I75)+'Expenditures 15-22'!K130-SUM('Expenditures 15-22'!G130,'Expenditures 15-22'!I130)+'Expenditures 15-22'!K185-SUM('Expenditures 15-22'!G185,'Expenditures 15-22'!I185)+'Expenditures 15-22'!D280</f>
        <v>1189</v>
      </c>
    </row>
    <row r="40" spans="1:7" ht="12" customHeight="1" x14ac:dyDescent="0.2">
      <c r="A40" s="977" t="s">
        <v>1823</v>
      </c>
      <c r="B40" s="978"/>
      <c r="C40" s="980"/>
      <c r="D40" s="1789"/>
      <c r="E40" s="1793">
        <f>-'Contracts Paid in CY 29'!G141</f>
        <v>-514534</v>
      </c>
      <c r="F40" s="1789"/>
      <c r="G40" s="1793">
        <f>-'Contracts Paid in CY 29'!G141</f>
        <v>-514534</v>
      </c>
    </row>
    <row r="41" spans="1:7" ht="12" customHeight="1" x14ac:dyDescent="0.2">
      <c r="A41" s="985" t="s">
        <v>156</v>
      </c>
      <c r="B41" s="986"/>
      <c r="C41" s="987"/>
      <c r="D41" s="1793">
        <f>SUM(D19:D39)</f>
        <v>334555</v>
      </c>
      <c r="E41" s="1793">
        <f>SUM(E19:E40)</f>
        <v>10380830</v>
      </c>
      <c r="F41" s="1793">
        <f>SUM(F19:F39)</f>
        <v>1453175</v>
      </c>
      <c r="G41" s="1793">
        <f>SUM(G19:G40)</f>
        <v>9262210</v>
      </c>
    </row>
    <row r="42" spans="1:7" x14ac:dyDescent="0.2">
      <c r="A42" s="974"/>
      <c r="B42" s="162"/>
      <c r="C42" s="988"/>
      <c r="D42" s="2271" t="s">
        <v>522</v>
      </c>
      <c r="E42" s="2272"/>
      <c r="F42" s="989" t="s">
        <v>523</v>
      </c>
      <c r="G42" s="990"/>
    </row>
    <row r="43" spans="1:7" ht="12" customHeight="1" x14ac:dyDescent="0.2">
      <c r="A43" s="974"/>
      <c r="B43" s="162"/>
      <c r="C43" s="988"/>
      <c r="D43" s="1794" t="s">
        <v>473</v>
      </c>
      <c r="E43" s="1795">
        <f>D41</f>
        <v>334555</v>
      </c>
      <c r="F43" s="1794" t="s">
        <v>473</v>
      </c>
      <c r="G43" s="1795">
        <f>F41</f>
        <v>1453175</v>
      </c>
    </row>
    <row r="44" spans="1:7" ht="12" customHeight="1" x14ac:dyDescent="0.2">
      <c r="A44" s="974"/>
      <c r="B44" s="162"/>
      <c r="C44" s="988"/>
      <c r="D44" s="1794" t="s">
        <v>474</v>
      </c>
      <c r="E44" s="1795">
        <f>E41</f>
        <v>10380830</v>
      </c>
      <c r="F44" s="1794" t="s">
        <v>474</v>
      </c>
      <c r="G44" s="1795">
        <f>G41</f>
        <v>9262210</v>
      </c>
    </row>
    <row r="45" spans="1:7" ht="12" customHeight="1" x14ac:dyDescent="0.2">
      <c r="A45" s="974"/>
      <c r="B45" s="162"/>
      <c r="C45" s="162"/>
      <c r="D45" s="1796" t="s">
        <v>1006</v>
      </c>
      <c r="E45" s="1797">
        <f>(E43/E44)</f>
        <v>3.2228155166783387E-2</v>
      </c>
      <c r="F45" s="1796" t="s">
        <v>1006</v>
      </c>
      <c r="G45" s="1797">
        <f>(G43/G44)</f>
        <v>0.15689290137019135</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Q23" sqref="Q23"/>
      <selection pane="bottomLeft" activeCell="Q23" sqref="Q23"/>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7.5703125" style="1865" bestFit="1" customWidth="1"/>
    <col min="9" max="9" width="4" style="1865" bestFit="1" customWidth="1"/>
    <col min="10" max="10" width="2.7109375" style="1865" bestFit="1" customWidth="1"/>
    <col min="11" max="11" width="9" style="1865" customWidth="1"/>
    <col min="12" max="16384" width="9.140625" style="1834"/>
  </cols>
  <sheetData>
    <row r="1" spans="1:10" x14ac:dyDescent="0.2">
      <c r="A1" s="2279" t="s">
        <v>1379</v>
      </c>
      <c r="B1" s="2279"/>
      <c r="C1" s="2279"/>
      <c r="D1" s="2279"/>
      <c r="E1" s="2279"/>
      <c r="F1" s="2279"/>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80" t="s">
        <v>1546</v>
      </c>
      <c r="B5" s="2281"/>
      <c r="C5" s="2282"/>
      <c r="D5" s="2282"/>
      <c r="E5" s="2282"/>
      <c r="F5" s="2282"/>
    </row>
    <row r="6" spans="1:10" ht="12" customHeight="1" x14ac:dyDescent="0.25">
      <c r="A6" s="1837"/>
      <c r="B6" s="1838"/>
      <c r="C6" s="2283" t="str">
        <f>COVER!A17</f>
        <v>Itasca SD 10</v>
      </c>
      <c r="D6" s="2283"/>
      <c r="E6" s="2283"/>
      <c r="F6" s="1839"/>
    </row>
    <row r="7" spans="1:10" ht="11.25" customHeight="1" thickBot="1" x14ac:dyDescent="0.3">
      <c r="A7" s="1837"/>
      <c r="B7" s="1838"/>
      <c r="C7" s="2284">
        <f>COVER!A13</f>
        <v>19022010002</v>
      </c>
      <c r="D7" s="2284"/>
      <c r="E7" s="2284"/>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2072</v>
      </c>
      <c r="D14" s="1852" t="s">
        <v>2072</v>
      </c>
      <c r="E14" s="1855"/>
      <c r="F14" s="1854" t="s">
        <v>2082</v>
      </c>
      <c r="H14" s="1865">
        <f t="shared" si="0"/>
        <v>5</v>
      </c>
      <c r="I14" s="1865">
        <f t="shared" si="1"/>
        <v>5</v>
      </c>
      <c r="J14" s="1865">
        <f t="shared" si="2"/>
        <v>0</v>
      </c>
    </row>
    <row r="15" spans="1:10" ht="12" customHeight="1" x14ac:dyDescent="0.2">
      <c r="A15" s="1850" t="s">
        <v>1387</v>
      </c>
      <c r="B15" s="1851"/>
      <c r="C15" s="1852" t="s">
        <v>2072</v>
      </c>
      <c r="D15" s="1852" t="s">
        <v>2072</v>
      </c>
      <c r="E15" s="1855"/>
      <c r="F15" s="1854" t="s">
        <v>2083</v>
      </c>
      <c r="H15" s="1865">
        <f t="shared" si="0"/>
        <v>5</v>
      </c>
      <c r="I15" s="1865">
        <f t="shared" si="1"/>
        <v>5</v>
      </c>
      <c r="J15" s="1865">
        <f t="shared" si="2"/>
        <v>0</v>
      </c>
    </row>
    <row r="16" spans="1:10" ht="12" customHeight="1" x14ac:dyDescent="0.2">
      <c r="A16" s="1850" t="s">
        <v>1388</v>
      </c>
      <c r="B16" s="1851"/>
      <c r="C16" s="1852" t="s">
        <v>2072</v>
      </c>
      <c r="D16" s="1852" t="s">
        <v>2072</v>
      </c>
      <c r="E16" s="1855"/>
      <c r="F16" s="1854" t="s">
        <v>2089</v>
      </c>
      <c r="H16" s="1865">
        <f t="shared" si="0"/>
        <v>5</v>
      </c>
      <c r="I16" s="1865">
        <f t="shared" si="1"/>
        <v>5</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2072</v>
      </c>
      <c r="D19" s="1852" t="s">
        <v>2072</v>
      </c>
      <c r="E19" s="1855"/>
      <c r="F19" s="1854" t="s">
        <v>2084</v>
      </c>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t="s">
        <v>2072</v>
      </c>
      <c r="D21" s="1852" t="s">
        <v>2072</v>
      </c>
      <c r="E21" s="1855"/>
      <c r="F21" s="1854" t="s">
        <v>2085</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t="s">
        <v>2072</v>
      </c>
      <c r="D23" s="1852" t="s">
        <v>2072</v>
      </c>
      <c r="E23" s="1855"/>
      <c r="F23" s="1854" t="s">
        <v>2090</v>
      </c>
      <c r="H23" s="1865">
        <f t="shared" si="0"/>
        <v>5</v>
      </c>
      <c r="I23" s="1865">
        <f t="shared" si="1"/>
        <v>5</v>
      </c>
      <c r="J23" s="1865">
        <f t="shared" si="2"/>
        <v>0</v>
      </c>
    </row>
    <row r="24" spans="1:12" ht="12" customHeight="1" x14ac:dyDescent="0.2">
      <c r="A24" s="1850" t="s">
        <v>1532</v>
      </c>
      <c r="B24" s="1851"/>
      <c r="C24" s="1852" t="s">
        <v>2072</v>
      </c>
      <c r="D24" s="1852" t="s">
        <v>2072</v>
      </c>
      <c r="E24" s="1855"/>
      <c r="F24" s="1854" t="s">
        <v>2086</v>
      </c>
      <c r="H24" s="1865">
        <f t="shared" si="0"/>
        <v>5</v>
      </c>
      <c r="I24" s="1865">
        <f t="shared" si="1"/>
        <v>5</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2072</v>
      </c>
      <c r="D26" s="1852" t="s">
        <v>2072</v>
      </c>
      <c r="E26" s="1855"/>
      <c r="F26" s="1854" t="s">
        <v>2087</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t="s">
        <v>2072</v>
      </c>
      <c r="D28" s="1852" t="s">
        <v>2072</v>
      </c>
      <c r="E28" s="1855"/>
      <c r="F28" s="1854" t="s">
        <v>2088</v>
      </c>
      <c r="H28" s="1865">
        <f t="shared" si="0"/>
        <v>5</v>
      </c>
      <c r="I28" s="1865">
        <f t="shared" si="1"/>
        <v>5</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t="s">
        <v>2072</v>
      </c>
      <c r="D30" s="1852" t="s">
        <v>2072</v>
      </c>
      <c r="E30" s="1855"/>
      <c r="F30" s="1854" t="s">
        <v>2091</v>
      </c>
      <c r="H30" s="1865">
        <f t="shared" si="0"/>
        <v>5</v>
      </c>
      <c r="I30" s="1865">
        <f t="shared" si="1"/>
        <v>5</v>
      </c>
      <c r="J30" s="1865">
        <f t="shared" si="2"/>
        <v>0</v>
      </c>
    </row>
    <row r="31" spans="1:12" ht="12" customHeight="1" x14ac:dyDescent="0.2">
      <c r="A31" s="1850" t="s">
        <v>1539</v>
      </c>
      <c r="B31" s="1851"/>
      <c r="C31" s="1852"/>
      <c r="D31" s="1852"/>
      <c r="E31" s="1855"/>
      <c r="F31" s="1854"/>
      <c r="H31" s="1865">
        <f t="shared" si="0"/>
        <v>0</v>
      </c>
      <c r="I31" s="1865">
        <f t="shared" si="1"/>
        <v>0</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50</v>
      </c>
      <c r="I34" s="1865">
        <f>SUM(I11:I32)</f>
        <v>50</v>
      </c>
      <c r="J34" s="1865">
        <f>SUM(J11:J32)</f>
        <v>0</v>
      </c>
      <c r="K34" s="1865">
        <f>SUM(H34:J34)</f>
        <v>100</v>
      </c>
    </row>
    <row r="35" spans="1:11" ht="12" customHeight="1" x14ac:dyDescent="0.2">
      <c r="A35" s="1858" t="s">
        <v>1392</v>
      </c>
      <c r="B35" s="1859"/>
      <c r="C35" s="2285"/>
      <c r="D35" s="2285"/>
      <c r="E35" s="2285"/>
      <c r="F35" s="2286"/>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90"/>
      <c r="B38" s="2291"/>
      <c r="C38" s="2291"/>
      <c r="D38" s="2291"/>
      <c r="E38" s="2291"/>
      <c r="F38" s="2292"/>
    </row>
    <row r="39" spans="1:11" ht="4.5" hidden="1" customHeight="1" x14ac:dyDescent="0.2">
      <c r="A39" s="1860"/>
      <c r="B39" s="1860"/>
      <c r="C39" s="1860"/>
      <c r="D39" s="1860"/>
      <c r="E39" s="1860"/>
      <c r="F39" s="1860"/>
    </row>
    <row r="40" spans="1:11" s="1857" customFormat="1" ht="12" customHeight="1" x14ac:dyDescent="0.25">
      <c r="A40" s="1861" t="s">
        <v>1391</v>
      </c>
      <c r="B40" s="1862"/>
      <c r="C40" s="2293"/>
      <c r="D40" s="2293"/>
      <c r="E40" s="2293"/>
      <c r="F40" s="2294"/>
      <c r="H40" s="1866"/>
      <c r="I40" s="1866"/>
      <c r="J40" s="1866"/>
      <c r="K40" s="1866"/>
    </row>
    <row r="41" spans="1:11" s="1857" customFormat="1" ht="12" customHeight="1" x14ac:dyDescent="0.25">
      <c r="A41" s="2295"/>
      <c r="B41" s="2296"/>
      <c r="C41" s="2296"/>
      <c r="D41" s="2296"/>
      <c r="E41" s="2296"/>
      <c r="F41" s="2297"/>
      <c r="H41" s="1866"/>
      <c r="I41" s="1866"/>
      <c r="J41" s="1866"/>
      <c r="K41" s="1866"/>
    </row>
    <row r="42" spans="1:11" s="1857" customFormat="1" ht="12" customHeight="1" x14ac:dyDescent="0.25">
      <c r="A42" s="2295"/>
      <c r="B42" s="2296"/>
      <c r="C42" s="2296"/>
      <c r="D42" s="2296"/>
      <c r="E42" s="2296"/>
      <c r="F42" s="2297"/>
      <c r="H42" s="1866"/>
      <c r="I42" s="1866"/>
      <c r="J42" s="1866"/>
      <c r="K42" s="1866"/>
    </row>
    <row r="43" spans="1:11" s="1857" customFormat="1" ht="15" x14ac:dyDescent="0.25">
      <c r="A43" s="2287"/>
      <c r="B43" s="2288"/>
      <c r="C43" s="2288"/>
      <c r="D43" s="2288"/>
      <c r="E43" s="2288"/>
      <c r="F43" s="2289"/>
      <c r="H43" s="1866"/>
      <c r="I43" s="1866"/>
      <c r="J43" s="1866"/>
      <c r="K43" s="1866"/>
    </row>
    <row r="44" spans="1:11" s="1857" customFormat="1" ht="12" hidden="1" customHeight="1" x14ac:dyDescent="0.25">
      <c r="A44" s="2287"/>
      <c r="B44" s="2288"/>
      <c r="C44" s="2288"/>
      <c r="D44" s="2288"/>
      <c r="E44" s="2288"/>
      <c r="F44" s="2289"/>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Q23" sqref="Q23"/>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3" t="str">
        <f>COVER!A17</f>
        <v>Itasca SD 10</v>
      </c>
      <c r="J6" s="2304"/>
      <c r="Q6" s="1651"/>
    </row>
    <row r="7" spans="1:17" x14ac:dyDescent="0.2">
      <c r="A7" s="2305" t="s">
        <v>869</v>
      </c>
      <c r="B7" s="2306"/>
      <c r="C7" s="2306"/>
      <c r="D7" s="2306"/>
      <c r="E7" s="2307"/>
      <c r="F7" s="1004"/>
      <c r="G7" s="996"/>
      <c r="H7" s="1003" t="s">
        <v>372</v>
      </c>
      <c r="I7" s="2308">
        <f>COVER!A13</f>
        <v>19022010002</v>
      </c>
      <c r="J7" s="2308"/>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09" t="s">
        <v>481</v>
      </c>
      <c r="B11" s="2310"/>
      <c r="C11" s="2311"/>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303572</v>
      </c>
      <c r="F12" s="1026"/>
      <c r="G12" s="1798">
        <f t="shared" ref="G12:G18" si="0">SUM(E12:F12)</f>
        <v>303572</v>
      </c>
      <c r="H12" s="1027">
        <v>316277</v>
      </c>
      <c r="I12" s="1026"/>
      <c r="J12" s="1798">
        <f t="shared" ref="J12:J18" si="1">SUM(H12:I12)</f>
        <v>316277</v>
      </c>
    </row>
    <row r="13" spans="1:17" ht="15" customHeight="1" x14ac:dyDescent="0.2">
      <c r="A13" s="1022">
        <v>2</v>
      </c>
      <c r="B13" s="1023" t="s">
        <v>42</v>
      </c>
      <c r="C13" s="1024"/>
      <c r="D13" s="1025">
        <v>2330</v>
      </c>
      <c r="E13" s="1798">
        <f>'Expenditures 15-22'!K51</f>
        <v>1075</v>
      </c>
      <c r="F13" s="1026"/>
      <c r="G13" s="1798">
        <f t="shared" si="0"/>
        <v>1075</v>
      </c>
      <c r="H13" s="1027">
        <v>0</v>
      </c>
      <c r="I13" s="1026"/>
      <c r="J13" s="1798">
        <f t="shared" si="1"/>
        <v>0</v>
      </c>
    </row>
    <row r="14" spans="1:17" ht="15" customHeight="1" x14ac:dyDescent="0.2">
      <c r="A14" s="1022">
        <v>3</v>
      </c>
      <c r="B14" s="1023" t="s">
        <v>43</v>
      </c>
      <c r="C14" s="1024"/>
      <c r="D14" s="1028">
        <v>2490</v>
      </c>
      <c r="E14" s="1798">
        <f>'Expenditures 15-22'!K56</f>
        <v>0</v>
      </c>
      <c r="F14" s="1026"/>
      <c r="G14" s="1798">
        <f t="shared" si="0"/>
        <v>0</v>
      </c>
      <c r="H14" s="1027">
        <v>0</v>
      </c>
      <c r="I14" s="1026"/>
      <c r="J14" s="1798">
        <f t="shared" si="1"/>
        <v>0</v>
      </c>
    </row>
    <row r="15" spans="1:17" ht="15" customHeight="1" x14ac:dyDescent="0.2">
      <c r="A15" s="1022">
        <v>4</v>
      </c>
      <c r="B15" s="1023" t="s">
        <v>1068</v>
      </c>
      <c r="C15" s="1024"/>
      <c r="D15" s="1025">
        <v>2510</v>
      </c>
      <c r="E15" s="1798">
        <f>'Expenditures 15-22'!K59</f>
        <v>137349</v>
      </c>
      <c r="F15" s="1798">
        <f>'Expenditures 15-22'!K122</f>
        <v>0</v>
      </c>
      <c r="G15" s="1798">
        <f t="shared" si="0"/>
        <v>137349</v>
      </c>
      <c r="H15" s="1027">
        <v>146619</v>
      </c>
      <c r="I15" s="1027">
        <v>0</v>
      </c>
      <c r="J15" s="1798">
        <f t="shared" si="1"/>
        <v>146619</v>
      </c>
    </row>
    <row r="16" spans="1:17" ht="15" customHeight="1" x14ac:dyDescent="0.2">
      <c r="A16" s="1022">
        <v>5</v>
      </c>
      <c r="B16" s="1023" t="s">
        <v>101</v>
      </c>
      <c r="C16" s="1024"/>
      <c r="D16" s="1025">
        <v>2570</v>
      </c>
      <c r="E16" s="1798">
        <f>'Expenditures 15-22'!K64</f>
        <v>0</v>
      </c>
      <c r="F16" s="1026"/>
      <c r="G16" s="1798">
        <f t="shared" si="0"/>
        <v>0</v>
      </c>
      <c r="H16" s="1027">
        <v>0</v>
      </c>
      <c r="I16" s="1026"/>
      <c r="J16" s="1798">
        <f t="shared" si="1"/>
        <v>0</v>
      </c>
    </row>
    <row r="17" spans="1:10" ht="15" customHeight="1" x14ac:dyDescent="0.2">
      <c r="A17" s="1022">
        <v>6</v>
      </c>
      <c r="B17" s="1023" t="s">
        <v>1060</v>
      </c>
      <c r="C17" s="1024"/>
      <c r="D17" s="1025">
        <v>2610</v>
      </c>
      <c r="E17" s="1798">
        <f>'Expenditures 15-22'!K67</f>
        <v>0</v>
      </c>
      <c r="F17" s="1026"/>
      <c r="G17" s="1798">
        <f t="shared" si="0"/>
        <v>0</v>
      </c>
      <c r="H17" s="1027">
        <v>0</v>
      </c>
      <c r="I17" s="1026"/>
      <c r="J17" s="1798">
        <f t="shared" si="1"/>
        <v>0</v>
      </c>
    </row>
    <row r="18" spans="1:10" ht="22.5" customHeight="1" x14ac:dyDescent="0.2">
      <c r="A18" s="1029">
        <v>7</v>
      </c>
      <c r="B18" s="2312" t="s">
        <v>7</v>
      </c>
      <c r="C18" s="2313"/>
      <c r="D18" s="2314"/>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441996</v>
      </c>
      <c r="F19" s="1800">
        <f t="shared" si="2"/>
        <v>0</v>
      </c>
      <c r="G19" s="1800">
        <f t="shared" si="2"/>
        <v>441996</v>
      </c>
      <c r="H19" s="1800">
        <f t="shared" si="2"/>
        <v>462896</v>
      </c>
      <c r="I19" s="1800">
        <f t="shared" si="2"/>
        <v>0</v>
      </c>
      <c r="J19" s="1800">
        <f t="shared" si="2"/>
        <v>462896</v>
      </c>
    </row>
    <row r="20" spans="1:10" ht="13.5" thickTop="1" x14ac:dyDescent="0.2">
      <c r="A20" s="1022">
        <v>9</v>
      </c>
      <c r="B20" s="2315" t="s">
        <v>1981</v>
      </c>
      <c r="C20" s="2315"/>
      <c r="D20" s="2316"/>
      <c r="E20" s="1033"/>
      <c r="F20" s="1033"/>
      <c r="G20" s="1033"/>
      <c r="H20" s="1033"/>
      <c r="I20" s="1033"/>
      <c r="J20" s="1801">
        <f>IF(AND(G19&gt;0,J19&gt;0),(((J19-G19)/G19)),"Enter Budget Data")</f>
        <v>4.7285495796342052E-2</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1"/>
      <c r="D26" s="2321"/>
      <c r="E26" s="1037"/>
      <c r="F26" s="2320"/>
      <c r="G26" s="2320"/>
    </row>
    <row r="27" spans="1:10" x14ac:dyDescent="0.2">
      <c r="B27" s="1034"/>
      <c r="C27" s="1038" t="s">
        <v>1033</v>
      </c>
      <c r="D27" s="1039"/>
      <c r="E27" s="1040"/>
      <c r="F27" s="2317" t="s">
        <v>1509</v>
      </c>
      <c r="G27" s="2317"/>
    </row>
    <row r="28" spans="1:10" ht="28.5" customHeight="1" x14ac:dyDescent="0.2">
      <c r="B28" s="1034"/>
      <c r="C28" s="2319"/>
      <c r="D28" s="2319"/>
      <c r="E28" s="1041"/>
      <c r="F28" s="2319"/>
      <c r="G28" s="2319"/>
    </row>
    <row r="29" spans="1:10" x14ac:dyDescent="0.2">
      <c r="B29" s="1034"/>
      <c r="C29" s="1042" t="s">
        <v>1561</v>
      </c>
      <c r="E29" s="1043"/>
      <c r="F29" s="2318" t="s">
        <v>1510</v>
      </c>
      <c r="G29" s="2318"/>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0" t="s">
        <v>132</v>
      </c>
      <c r="D33" s="2301"/>
      <c r="E33" s="2301"/>
      <c r="F33" s="2301"/>
      <c r="G33" s="2301"/>
      <c r="H33" s="2301"/>
      <c r="I33" s="2301"/>
    </row>
    <row r="34" spans="1:10" ht="10.35" customHeight="1" x14ac:dyDescent="0.2">
      <c r="C34" s="2301"/>
      <c r="D34" s="2301"/>
      <c r="E34" s="2301"/>
      <c r="F34" s="2301"/>
      <c r="G34" s="2301"/>
      <c r="H34" s="2301"/>
      <c r="I34" s="2301"/>
    </row>
    <row r="35" spans="1:10" ht="7.5" customHeight="1" x14ac:dyDescent="0.2">
      <c r="C35" s="1049"/>
    </row>
    <row r="36" spans="1:10" ht="13.5" customHeight="1" x14ac:dyDescent="0.2">
      <c r="B36" s="1048"/>
      <c r="C36" s="2302" t="s">
        <v>1983</v>
      </c>
      <c r="D36" s="2301"/>
      <c r="E36" s="2301"/>
      <c r="F36" s="2301"/>
      <c r="G36" s="2301"/>
      <c r="H36" s="2301"/>
      <c r="I36" s="2301"/>
      <c r="J36" s="1050"/>
    </row>
    <row r="37" spans="1:10" ht="22.5" customHeight="1" x14ac:dyDescent="0.2">
      <c r="C37" s="2301"/>
      <c r="D37" s="2301"/>
      <c r="E37" s="2301"/>
      <c r="F37" s="2301"/>
      <c r="G37" s="2301"/>
      <c r="H37" s="2301"/>
      <c r="I37" s="2301"/>
      <c r="J37" s="1050"/>
    </row>
    <row r="38" spans="1:10" ht="7.5" customHeight="1" x14ac:dyDescent="0.2">
      <c r="C38" s="1049"/>
      <c r="D38" s="1051"/>
      <c r="E38" s="1052"/>
      <c r="F38" s="1053"/>
      <c r="G38" s="1052"/>
    </row>
    <row r="39" spans="1:10" ht="13.5" customHeight="1" x14ac:dyDescent="0.2">
      <c r="B39" s="1048"/>
      <c r="C39" s="2298" t="s">
        <v>882</v>
      </c>
      <c r="D39" s="2299"/>
      <c r="E39" s="2299"/>
      <c r="F39" s="2299"/>
      <c r="G39" s="2299"/>
      <c r="H39" s="2299"/>
      <c r="I39" s="2299"/>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Q23" sqref="Q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Itasca SD 10</v>
      </c>
    </row>
    <row r="65" spans="2:2" x14ac:dyDescent="0.2">
      <c r="B65" s="1057">
        <f>COVER!A13</f>
        <v>19022010002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Q23" sqref="Q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39" t="s">
        <v>1065</v>
      </c>
      <c r="B35" s="2039"/>
      <c r="C35" s="2039"/>
      <c r="D35" s="2039"/>
      <c r="E35" s="20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6" t="s">
        <v>691</v>
      </c>
      <c r="B40" s="2036"/>
      <c r="C40" s="2036"/>
      <c r="D40" s="2036"/>
      <c r="E40" s="2036"/>
    </row>
    <row r="41" spans="1:5" x14ac:dyDescent="0.2">
      <c r="A41" s="2037" t="s">
        <v>1608</v>
      </c>
      <c r="B41" s="2037"/>
      <c r="C41" s="2037"/>
      <c r="D41" s="2037"/>
      <c r="E41" s="2037"/>
    </row>
    <row r="42" spans="1:5" ht="12.75" customHeight="1" x14ac:dyDescent="0.2">
      <c r="A42" s="2038" t="s">
        <v>1022</v>
      </c>
      <c r="B42" s="2038"/>
      <c r="C42" s="2038"/>
      <c r="D42" s="2038"/>
      <c r="E42" s="203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Q23" sqref="Q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2" t="s">
        <v>1685</v>
      </c>
      <c r="B18" s="232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5" r:id="rId4"/>
      </mc:Fallback>
    </mc:AlternateContent>
    <mc:AlternateContent xmlns:mc="http://schemas.openxmlformats.org/markup-compatibility/2006">
      <mc:Choice Requires="x14">
        <oleObject progId="Acrobat Document" dvAspect="DVASPECT_ICON" shapeId="35846" r:id="rId6">
          <objectPr defaultSize="0" r:id="rId7">
            <anchor moveWithCells="1">
              <from>
                <xdr:col>1</xdr:col>
                <xdr:colOff>1095375</xdr:colOff>
                <xdr:row>2</xdr:row>
                <xdr:rowOff>28575</xdr:rowOff>
              </from>
              <to>
                <xdr:col>1</xdr:col>
                <xdr:colOff>2009775</xdr:colOff>
                <xdr:row>6</xdr:row>
                <xdr:rowOff>66675</xdr:rowOff>
              </to>
            </anchor>
          </objectPr>
        </oleObject>
      </mc:Choice>
      <mc:Fallback>
        <oleObject progId="Acrobat Document" dvAspect="DVASPECT_ICON" shapeId="35846" r:id="rId6"/>
      </mc:Fallback>
    </mc:AlternateContent>
    <mc:AlternateContent xmlns:mc="http://schemas.openxmlformats.org/markup-compatibility/2006">
      <mc:Choice Requires="x14">
        <oleObject progId="Acrobat Document" dvAspect="DVASPECT_ICON" shapeId="35847" r:id="rId8">
          <objectPr defaultSize="0" r:id="rId9">
            <anchor moveWithCells="1">
              <from>
                <xdr:col>1</xdr:col>
                <xdr:colOff>2143125</xdr:colOff>
                <xdr:row>2</xdr:row>
                <xdr:rowOff>38100</xdr:rowOff>
              </from>
              <to>
                <xdr:col>1</xdr:col>
                <xdr:colOff>3057525</xdr:colOff>
                <xdr:row>6</xdr:row>
                <xdr:rowOff>76200</xdr:rowOff>
              </to>
            </anchor>
          </objectPr>
        </oleObject>
      </mc:Choice>
      <mc:Fallback>
        <oleObject progId="Acrobat Document" dvAspect="DVASPECT_ICON" shapeId="35847" r:id="rId8"/>
      </mc:Fallback>
    </mc:AlternateContent>
    <mc:AlternateContent xmlns:mc="http://schemas.openxmlformats.org/markup-compatibility/2006">
      <mc:Choice Requires="x14">
        <oleObject progId="Acrobat Document" dvAspect="DVASPECT_ICON" shapeId="35848" r:id="rId10">
          <objectPr defaultSize="0" r:id="rId11">
            <anchor moveWithCells="1">
              <from>
                <xdr:col>1</xdr:col>
                <xdr:colOff>3190875</xdr:colOff>
                <xdr:row>2</xdr:row>
                <xdr:rowOff>57150</xdr:rowOff>
              </from>
              <to>
                <xdr:col>2</xdr:col>
                <xdr:colOff>123825</xdr:colOff>
                <xdr:row>6</xdr:row>
                <xdr:rowOff>95250</xdr:rowOff>
              </to>
            </anchor>
          </objectPr>
        </oleObject>
      </mc:Choice>
      <mc:Fallback>
        <oleObject progId="Acrobat Document" dvAspect="DVASPECT_ICON" shapeId="3584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Q23" sqref="Q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3" t="s">
        <v>1690</v>
      </c>
      <c r="B1" s="2324"/>
      <c r="C1" s="2324"/>
      <c r="D1" s="2324"/>
      <c r="E1" s="2324"/>
      <c r="F1" s="2325"/>
    </row>
    <row r="2" spans="1:8" ht="45" customHeight="1" x14ac:dyDescent="0.2">
      <c r="A2" s="2333" t="s">
        <v>1987</v>
      </c>
      <c r="B2" s="2334"/>
      <c r="C2" s="2334"/>
      <c r="D2" s="2334"/>
      <c r="E2" s="2334"/>
      <c r="F2" s="2335"/>
      <c r="G2" s="1061"/>
      <c r="H2" s="1061"/>
    </row>
    <row r="3" spans="1:8" ht="57" customHeight="1" x14ac:dyDescent="0.2">
      <c r="A3" s="2336" t="s">
        <v>1686</v>
      </c>
      <c r="B3" s="2337"/>
      <c r="C3" s="2337"/>
      <c r="D3" s="2337"/>
      <c r="E3" s="2337"/>
      <c r="F3" s="2338"/>
      <c r="G3" s="1061"/>
      <c r="H3" s="1061"/>
    </row>
    <row r="4" spans="1:8" ht="14.25" customHeight="1" x14ac:dyDescent="0.2">
      <c r="A4" s="2342" t="s">
        <v>1988</v>
      </c>
      <c r="B4" s="2343"/>
      <c r="C4" s="2343"/>
      <c r="D4" s="2343"/>
      <c r="E4" s="2343"/>
      <c r="F4" s="2344"/>
      <c r="G4" s="1061"/>
      <c r="H4" s="1061"/>
    </row>
    <row r="5" spans="1:8" ht="14.25" customHeight="1" x14ac:dyDescent="0.2">
      <c r="A5" s="2345" t="s">
        <v>1984</v>
      </c>
      <c r="B5" s="2346"/>
      <c r="C5" s="2346"/>
      <c r="D5" s="2346"/>
      <c r="E5" s="2346"/>
      <c r="F5" s="2347"/>
      <c r="G5" s="1061"/>
      <c r="H5" s="1061"/>
    </row>
    <row r="6" spans="1:8" s="1062" customFormat="1" ht="41.25" customHeight="1" x14ac:dyDescent="0.2">
      <c r="A6" s="2339" t="s">
        <v>1691</v>
      </c>
      <c r="B6" s="2340"/>
      <c r="C6" s="2340"/>
      <c r="D6" s="2340"/>
      <c r="E6" s="2340"/>
      <c r="F6" s="2341"/>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10761530</v>
      </c>
      <c r="C8" s="1802">
        <f>'Acct Summary 7-8'!D8</f>
        <v>1373475</v>
      </c>
      <c r="D8" s="1802">
        <f>'Acct Summary 7-8'!F8</f>
        <v>477764</v>
      </c>
      <c r="E8" s="1802">
        <f>'Acct Summary 7-8'!I8</f>
        <v>56650</v>
      </c>
      <c r="F8" s="1802">
        <f>SUM(B8:E8)</f>
        <v>12669419</v>
      </c>
    </row>
    <row r="9" spans="1:8" s="1066" customFormat="1" ht="14.25" customHeight="1" thickBot="1" x14ac:dyDescent="0.25">
      <c r="A9" s="1065" t="s">
        <v>1369</v>
      </c>
      <c r="B9" s="1803">
        <f>'Acct Summary 7-8'!C17</f>
        <v>10363328</v>
      </c>
      <c r="C9" s="1803">
        <f>'Acct Summary 7-8'!D17</f>
        <v>1035315</v>
      </c>
      <c r="D9" s="1803">
        <f>'Acct Summary 7-8'!F17</f>
        <v>489655</v>
      </c>
      <c r="E9" s="1802"/>
      <c r="F9" s="1802">
        <f>SUM(B9:E9)</f>
        <v>11888298</v>
      </c>
    </row>
    <row r="10" spans="1:8" s="1066" customFormat="1" ht="14.25" thickTop="1" thickBot="1" x14ac:dyDescent="0.25">
      <c r="A10" s="1067" t="s">
        <v>1370</v>
      </c>
      <c r="B10" s="1804">
        <f>(B8-B9)</f>
        <v>398202</v>
      </c>
      <c r="C10" s="1804">
        <f>(C8-C9)</f>
        <v>338160</v>
      </c>
      <c r="D10" s="1804">
        <f>(D8-D9)</f>
        <v>-11891</v>
      </c>
      <c r="E10" s="1803">
        <f>(E8-E9)</f>
        <v>56650</v>
      </c>
      <c r="F10" s="1805">
        <f>SUM(F8-F9)</f>
        <v>781121</v>
      </c>
    </row>
    <row r="11" spans="1:8" s="1066" customFormat="1" ht="14.25" thickTop="1" thickBot="1" x14ac:dyDescent="0.25">
      <c r="A11" s="1068" t="s">
        <v>1985</v>
      </c>
      <c r="B11" s="1806">
        <f>'Acct Summary 7-8'!C81</f>
        <v>10472580</v>
      </c>
      <c r="C11" s="1806">
        <f>'Acct Summary 7-8'!D81</f>
        <v>1806676</v>
      </c>
      <c r="D11" s="1806">
        <f>'Acct Summary 7-8'!F81</f>
        <v>498256</v>
      </c>
      <c r="E11" s="1806">
        <f>'Acct Summary 7-8'!I81</f>
        <v>3042984</v>
      </c>
      <c r="F11" s="1807">
        <f>SUM(B11:E11)</f>
        <v>15820496</v>
      </c>
    </row>
    <row r="12" spans="1:8" ht="16.5" customHeight="1" thickTop="1" x14ac:dyDescent="0.2">
      <c r="A12" s="1069"/>
      <c r="B12" s="1070"/>
      <c r="C12" s="2327" t="str">
        <f>IF(AND(F10&lt;0,F11&gt;=0,ABS(F10*3)&gt;ABS(F11)),A16,IF(AND(F10&lt;0,F11&gt;0,ABS(F10*3)&lt;=ABS(F11)),A17,IF(AND(F10&lt;0,F11&lt;0),A16,IF(F11=0,A19,A18))))</f>
        <v>Balanced - no deficit reduction plan is required.</v>
      </c>
      <c r="D12" s="2328"/>
      <c r="E12" s="2328"/>
      <c r="F12" s="2329"/>
    </row>
    <row r="13" spans="1:8" ht="19.5" customHeight="1" x14ac:dyDescent="0.2">
      <c r="A13" s="1071"/>
      <c r="B13" s="1072"/>
      <c r="C13" s="2327"/>
      <c r="D13" s="2328"/>
      <c r="E13" s="2328"/>
      <c r="F13" s="2329"/>
      <c r="H13" s="1061"/>
    </row>
    <row r="14" spans="1:8" ht="19.5" customHeight="1" x14ac:dyDescent="0.2">
      <c r="A14" s="1071"/>
      <c r="B14" s="1072"/>
      <c r="C14" s="2327"/>
      <c r="D14" s="2328"/>
      <c r="E14" s="2328"/>
      <c r="F14" s="2329"/>
      <c r="H14" s="1061"/>
    </row>
    <row r="15" spans="1:8" ht="17.25" customHeight="1" x14ac:dyDescent="0.2">
      <c r="A15" s="1071"/>
      <c r="B15" s="1072"/>
      <c r="C15" s="2330"/>
      <c r="D15" s="2331"/>
      <c r="E15" s="2331"/>
      <c r="F15" s="2332"/>
      <c r="H15" s="1061"/>
    </row>
    <row r="16" spans="1:8" s="310" customFormat="1" ht="51.75" hidden="1" customHeight="1" x14ac:dyDescent="0.2">
      <c r="A16" s="2326" t="s">
        <v>1687</v>
      </c>
      <c r="B16" s="2326"/>
      <c r="C16" s="2326"/>
      <c r="D16" s="2326"/>
      <c r="E16" s="2326"/>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Q23" sqref="Q23"/>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48" t="s">
        <v>665</v>
      </c>
      <c r="B3" s="2349"/>
      <c r="C3" s="2349"/>
      <c r="D3" s="2350"/>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59" t="s">
        <v>1504</v>
      </c>
      <c r="D7" s="2360"/>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1" t="s">
        <v>1008</v>
      </c>
      <c r="B15" s="2352"/>
      <c r="C15" s="2352"/>
      <c r="D15" s="2353"/>
    </row>
    <row r="16" spans="1:4" s="657" customFormat="1" ht="24" customHeight="1" x14ac:dyDescent="0.2">
      <c r="A16" s="2354" t="s">
        <v>663</v>
      </c>
      <c r="B16" s="2355"/>
      <c r="C16" s="2355"/>
      <c r="D16" s="2356"/>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3" t="s">
        <v>314</v>
      </c>
      <c r="D21" s="2364"/>
    </row>
    <row r="22" spans="1:10" ht="12.75" x14ac:dyDescent="0.2">
      <c r="A22" s="1126"/>
      <c r="B22" s="1127">
        <v>2</v>
      </c>
      <c r="C22" s="2361" t="s">
        <v>1524</v>
      </c>
      <c r="D22" s="2362"/>
    </row>
    <row r="23" spans="1:10" ht="12.2" customHeight="1" x14ac:dyDescent="0.2">
      <c r="A23" s="1126"/>
      <c r="B23" s="1127"/>
      <c r="C23" s="1128" t="s">
        <v>954</v>
      </c>
      <c r="D23" s="1129" t="str">
        <f>IF(COVER!O11="X","CASH",IF(COVER!O12="X","ACCRUAL ","PLEASE CHECK AN ACCOUNTING BASIS."))</f>
        <v>CASH</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5" t="s">
        <v>536</v>
      </c>
      <c r="D43" s="2366"/>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57" t="s">
        <v>784</v>
      </c>
      <c r="D56" s="2358"/>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57" t="s">
        <v>1696</v>
      </c>
      <c r="D70" s="2358"/>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19022010002</v>
      </c>
    </row>
    <row r="3" spans="1:2" x14ac:dyDescent="0.2">
      <c r="A3" t="s">
        <v>956</v>
      </c>
      <c r="B3" s="138" t="str">
        <f>COVER!A15</f>
        <v>Dupage</v>
      </c>
    </row>
    <row r="4" spans="1:2" x14ac:dyDescent="0.2">
      <c r="A4" t="s">
        <v>1007</v>
      </c>
      <c r="B4" s="138" t="str">
        <f>COVER!A17</f>
        <v>Itasca SD 10</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Brett J. Mathieson</v>
      </c>
    </row>
    <row r="18" spans="1:2" x14ac:dyDescent="0.2">
      <c r="A18" t="s">
        <v>1150</v>
      </c>
      <c r="B18" s="138" t="str">
        <f>COVER!T17</f>
        <v>211 South Wheaton Avenue, Suite 400</v>
      </c>
    </row>
    <row r="19" spans="1:2" x14ac:dyDescent="0.2">
      <c r="A19" t="s">
        <v>886</v>
      </c>
      <c r="B19" s="138" t="str">
        <f>COVER!T25</f>
        <v>bmathieson@mmaadvisors.com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10034192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10472580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10472580</v>
      </c>
      <c r="D92" s="2" t="str">
        <f t="shared" si="0"/>
        <v>Error?</v>
      </c>
    </row>
    <row r="93" spans="1:4" x14ac:dyDescent="0.2">
      <c r="A93" s="5">
        <v>32</v>
      </c>
      <c r="B93" s="138">
        <f>'Assets-Liab 5-6'!C41</f>
        <v>10472580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1806676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1806676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1806676</v>
      </c>
      <c r="D123" s="2" t="str">
        <f t="shared" si="0"/>
        <v>Error?</v>
      </c>
    </row>
    <row r="124" spans="1:4" x14ac:dyDescent="0.2">
      <c r="A124" s="5">
        <v>63</v>
      </c>
      <c r="B124" s="138">
        <f>'Assets-Liab 5-6'!D41</f>
        <v>1806676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427946</v>
      </c>
      <c r="D129" s="2" t="str">
        <f t="shared" si="1"/>
        <v>Error?</v>
      </c>
    </row>
    <row r="130" spans="1:4" x14ac:dyDescent="0.2">
      <c r="A130" s="5">
        <v>69</v>
      </c>
      <c r="B130" s="138">
        <f>'Assets-Liab 5-6'!E12</f>
        <v>0</v>
      </c>
      <c r="D130" s="2" t="str">
        <f t="shared" si="1"/>
        <v>Error?</v>
      </c>
    </row>
    <row r="131" spans="1:4" x14ac:dyDescent="0.2">
      <c r="A131" s="5">
        <v>70</v>
      </c>
      <c r="B131" s="138">
        <f>'Assets-Liab 5-6'!E13</f>
        <v>450256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450256</v>
      </c>
      <c r="D140" s="2" t="str">
        <f t="shared" si="1"/>
        <v>Error?</v>
      </c>
    </row>
    <row r="141" spans="1:4" x14ac:dyDescent="0.2">
      <c r="A141" s="5">
        <v>80</v>
      </c>
      <c r="B141" s="138">
        <f>'Assets-Liab 5-6'!E41</f>
        <v>450256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355369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498256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498256</v>
      </c>
      <c r="D170" s="2" t="str">
        <f t="shared" si="1"/>
        <v>Error?</v>
      </c>
    </row>
    <row r="171" spans="1:4" x14ac:dyDescent="0.2">
      <c r="A171" s="5">
        <v>110</v>
      </c>
      <c r="B171" s="138">
        <f>'Assets-Liab 5-6'!F41</f>
        <v>498256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292254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335986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335986</v>
      </c>
      <c r="D189" s="2" t="str">
        <f t="shared" si="1"/>
        <v>Error?</v>
      </c>
    </row>
    <row r="190" spans="1:4" x14ac:dyDescent="0.2">
      <c r="A190" s="5">
        <v>129</v>
      </c>
      <c r="B190" s="138">
        <f>'Assets-Liab 5-6'!G41</f>
        <v>335986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494328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494328</v>
      </c>
      <c r="D212" s="2" t="str">
        <f t="shared" si="2"/>
        <v>Error?</v>
      </c>
    </row>
    <row r="213" spans="1:4" x14ac:dyDescent="0.2">
      <c r="A213" s="12">
        <v>152</v>
      </c>
      <c r="B213" s="138">
        <f>'Assets-Liab 5-6'!H41</f>
        <v>494328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1797401</v>
      </c>
      <c r="D273" s="2" t="str">
        <f t="shared" si="3"/>
        <v>Error?</v>
      </c>
    </row>
    <row r="274" spans="1:4" x14ac:dyDescent="0.2">
      <c r="A274" s="5">
        <v>213</v>
      </c>
      <c r="B274" s="138">
        <f>'Assets-Liab 5-6'!M17</f>
        <v>21958080</v>
      </c>
      <c r="D274" s="2" t="str">
        <f t="shared" si="3"/>
        <v>Error?</v>
      </c>
    </row>
    <row r="275" spans="1:4" x14ac:dyDescent="0.2">
      <c r="A275" s="5">
        <v>214</v>
      </c>
      <c r="B275" s="138">
        <f>'Assets-Liab 5-6'!M18</f>
        <v>96220</v>
      </c>
      <c r="D275" s="2" t="str">
        <f t="shared" si="3"/>
        <v>Error?</v>
      </c>
    </row>
    <row r="276" spans="1:4" x14ac:dyDescent="0.2">
      <c r="A276" s="5">
        <v>215</v>
      </c>
      <c r="B276" s="138">
        <f>'Assets-Liab 5-6'!M19</f>
        <v>5471568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29323269</v>
      </c>
      <c r="C279" s="2" t="s">
        <v>573</v>
      </c>
      <c r="D279" s="2" t="str">
        <f t="shared" si="3"/>
        <v>Error?</v>
      </c>
    </row>
    <row r="280" spans="1:4" x14ac:dyDescent="0.2">
      <c r="A280" s="5">
        <v>219</v>
      </c>
      <c r="B280" s="138">
        <f>'Assets-Liab 5-6'!M40</f>
        <v>29323269</v>
      </c>
      <c r="D280" s="2" t="str">
        <f t="shared" si="3"/>
        <v>Error?</v>
      </c>
    </row>
    <row r="281" spans="1:4" x14ac:dyDescent="0.2">
      <c r="A281" s="5">
        <v>220</v>
      </c>
      <c r="B281" s="138">
        <f>'Assets-Liab 5-6'!M41</f>
        <v>29323269</v>
      </c>
      <c r="C281" s="2" t="s">
        <v>573</v>
      </c>
      <c r="D281" s="2" t="str">
        <f t="shared" si="3"/>
        <v>Error?</v>
      </c>
    </row>
    <row r="282" spans="1:4" x14ac:dyDescent="0.2">
      <c r="A282" s="5">
        <v>221</v>
      </c>
      <c r="B282" s="138">
        <f>'Assets-Liab 5-6'!N21</f>
        <v>450256</v>
      </c>
      <c r="D282" s="2" t="str">
        <f t="shared" si="3"/>
        <v>Error?</v>
      </c>
    </row>
    <row r="283" spans="1:4" x14ac:dyDescent="0.2">
      <c r="A283" s="5">
        <v>222</v>
      </c>
      <c r="B283" s="138">
        <f>'Assets-Liab 5-6'!N22</f>
        <v>9418066</v>
      </c>
      <c r="D283" s="2" t="str">
        <f t="shared" si="3"/>
        <v>Error?</v>
      </c>
    </row>
    <row r="284" spans="1:4" x14ac:dyDescent="0.2">
      <c r="A284" s="5">
        <v>223</v>
      </c>
      <c r="B284" s="138">
        <f>'Assets-Liab 5-6'!N23</f>
        <v>9868322</v>
      </c>
      <c r="C284" s="2" t="s">
        <v>573</v>
      </c>
      <c r="D284" s="2" t="str">
        <f t="shared" si="3"/>
        <v>Error?</v>
      </c>
    </row>
    <row r="285" spans="1:4" x14ac:dyDescent="0.2">
      <c r="A285" s="5">
        <v>224</v>
      </c>
      <c r="B285" s="138">
        <f>'Assets-Liab 5-6'!N36</f>
        <v>9868322</v>
      </c>
      <c r="D285" s="2" t="str">
        <f t="shared" si="3"/>
        <v>Error?</v>
      </c>
    </row>
    <row r="286" spans="1:4" x14ac:dyDescent="0.2">
      <c r="A286" s="10">
        <v>225</v>
      </c>
      <c r="D286" s="2" t="str">
        <f t="shared" si="3"/>
        <v>OK</v>
      </c>
    </row>
    <row r="287" spans="1:4" x14ac:dyDescent="0.2">
      <c r="A287" s="5">
        <v>226</v>
      </c>
      <c r="B287" s="138">
        <f>'Assets-Liab 5-6'!N37</f>
        <v>9868322</v>
      </c>
      <c r="C287" s="2" t="s">
        <v>573</v>
      </c>
      <c r="D287" s="2" t="str">
        <f t="shared" si="3"/>
        <v>Error?</v>
      </c>
    </row>
    <row r="288" spans="1:4" x14ac:dyDescent="0.2">
      <c r="A288" s="5">
        <v>227</v>
      </c>
      <c r="B288" s="138">
        <f>'Assets-Liab 5-6'!N41</f>
        <v>9868322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3455914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116941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4822642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48961</v>
      </c>
      <c r="D722" s="2" t="str">
        <f t="shared" si="10"/>
        <v>Error?</v>
      </c>
    </row>
    <row r="723" spans="1:4" x14ac:dyDescent="0.2">
      <c r="A723" s="5">
        <v>662</v>
      </c>
      <c r="B723" s="138">
        <f>'Expenditures 15-22'!C38</f>
        <v>98355</v>
      </c>
      <c r="D723" s="2" t="str">
        <f t="shared" si="10"/>
        <v>Error?</v>
      </c>
    </row>
    <row r="724" spans="1:4" x14ac:dyDescent="0.2">
      <c r="A724" s="5">
        <v>663</v>
      </c>
      <c r="B724" s="138">
        <f>'Expenditures 15-22'!C39</f>
        <v>50939</v>
      </c>
      <c r="D724" s="2" t="str">
        <f t="shared" si="10"/>
        <v>Error?</v>
      </c>
    </row>
    <row r="725" spans="1:4" x14ac:dyDescent="0.2">
      <c r="A725" s="5">
        <v>664</v>
      </c>
      <c r="B725" s="138">
        <f>'Expenditures 15-22'!C40</f>
        <v>221854</v>
      </c>
      <c r="D725" s="2" t="str">
        <f t="shared" si="10"/>
        <v>Error?</v>
      </c>
    </row>
    <row r="726" spans="1:4" x14ac:dyDescent="0.2">
      <c r="A726" s="5">
        <v>665</v>
      </c>
      <c r="B726" s="138">
        <f>'Expenditures 15-22'!C41</f>
        <v>15356</v>
      </c>
      <c r="D726" s="2" t="str">
        <f t="shared" si="10"/>
        <v>Error?</v>
      </c>
    </row>
    <row r="727" spans="1:4" x14ac:dyDescent="0.2">
      <c r="A727" s="5">
        <v>666</v>
      </c>
      <c r="B727" s="138">
        <f>'Expenditures 15-22'!C42</f>
        <v>435465</v>
      </c>
      <c r="C727" s="2" t="s">
        <v>573</v>
      </c>
      <c r="D727" s="2" t="str">
        <f t="shared" si="10"/>
        <v>Error?</v>
      </c>
    </row>
    <row r="728" spans="1:4" x14ac:dyDescent="0.2">
      <c r="A728" s="5">
        <v>667</v>
      </c>
      <c r="B728" s="138">
        <f>'Expenditures 15-22'!C44</f>
        <v>22366</v>
      </c>
      <c r="D728" s="2" t="str">
        <f t="shared" si="10"/>
        <v>Error?</v>
      </c>
    </row>
    <row r="729" spans="1:4" x14ac:dyDescent="0.2">
      <c r="A729" s="5">
        <v>668</v>
      </c>
      <c r="B729" s="138">
        <f>'Expenditures 15-22'!C45</f>
        <v>463042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485408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258789</v>
      </c>
      <c r="D733" s="2" t="str">
        <f t="shared" si="10"/>
        <v>Error?</v>
      </c>
    </row>
    <row r="734" spans="1:4" x14ac:dyDescent="0.2">
      <c r="A734" s="5">
        <v>673</v>
      </c>
      <c r="B734" s="138">
        <f>'Expenditures 15-22'!C53</f>
        <v>258789</v>
      </c>
      <c r="C734" s="2" t="s">
        <v>573</v>
      </c>
      <c r="D734" s="2" t="str">
        <f t="shared" si="10"/>
        <v>Error?</v>
      </c>
    </row>
    <row r="735" spans="1:4" x14ac:dyDescent="0.2">
      <c r="A735" s="5">
        <v>674</v>
      </c>
      <c r="B735" s="138">
        <f>'Expenditures 15-22'!C55</f>
        <v>540039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540039</v>
      </c>
      <c r="C737" s="2" t="s">
        <v>573</v>
      </c>
      <c r="D737" s="2" t="str">
        <f t="shared" si="10"/>
        <v>Error?</v>
      </c>
    </row>
    <row r="738" spans="1:4" x14ac:dyDescent="0.2">
      <c r="A738" s="5">
        <v>677</v>
      </c>
      <c r="B738" s="138">
        <f>'Expenditures 15-22'!C59</f>
        <v>117078</v>
      </c>
      <c r="D738" s="2" t="str">
        <f t="shared" si="10"/>
        <v>Error?</v>
      </c>
    </row>
    <row r="739" spans="1:4" x14ac:dyDescent="0.2">
      <c r="A739" s="5">
        <v>678</v>
      </c>
      <c r="B739" s="138">
        <f>'Expenditures 15-22'!C60</f>
        <v>121588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238666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1958367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6781009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584593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18882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889929</v>
      </c>
      <c r="C778" s="2" t="s">
        <v>573</v>
      </c>
      <c r="D778" s="2" t="str">
        <f t="shared" si="11"/>
        <v>Error?</v>
      </c>
    </row>
    <row r="779" spans="1:4" x14ac:dyDescent="0.2">
      <c r="A779" s="5">
        <v>718</v>
      </c>
      <c r="B779" s="138">
        <f>'Expenditures 15-22'!D36</f>
        <v>438</v>
      </c>
      <c r="D779" s="2" t="str">
        <f t="shared" si="11"/>
        <v>Error?</v>
      </c>
    </row>
    <row r="780" spans="1:4" x14ac:dyDescent="0.2">
      <c r="A780" s="5">
        <v>719</v>
      </c>
      <c r="B780" s="138">
        <f>'Expenditures 15-22'!D37</f>
        <v>10065</v>
      </c>
      <c r="D780" s="2" t="str">
        <f t="shared" si="11"/>
        <v>Error?</v>
      </c>
    </row>
    <row r="781" spans="1:4" x14ac:dyDescent="0.2">
      <c r="A781" s="5">
        <v>720</v>
      </c>
      <c r="B781" s="138">
        <f>'Expenditures 15-22'!D38</f>
        <v>20557</v>
      </c>
      <c r="D781" s="2" t="str">
        <f t="shared" si="11"/>
        <v>Error?</v>
      </c>
    </row>
    <row r="782" spans="1:4" x14ac:dyDescent="0.2">
      <c r="A782" s="5">
        <v>721</v>
      </c>
      <c r="B782" s="138">
        <f>'Expenditures 15-22'!D39</f>
        <v>10618</v>
      </c>
      <c r="D782" s="2" t="str">
        <f t="shared" si="11"/>
        <v>Error?</v>
      </c>
    </row>
    <row r="783" spans="1:4" x14ac:dyDescent="0.2">
      <c r="A783" s="5">
        <v>722</v>
      </c>
      <c r="B783" s="138">
        <f>'Expenditures 15-22'!D40</f>
        <v>32346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74024</v>
      </c>
      <c r="C785" s="2" t="s">
        <v>573</v>
      </c>
      <c r="D785" s="2" t="str">
        <f t="shared" si="11"/>
        <v>Error?</v>
      </c>
    </row>
    <row r="786" spans="1:4" x14ac:dyDescent="0.2">
      <c r="A786" s="5">
        <v>725</v>
      </c>
      <c r="B786" s="138">
        <f>'Expenditures 15-22'!D44</f>
        <v>13868</v>
      </c>
      <c r="D786" s="2" t="str">
        <f t="shared" si="11"/>
        <v>Error?</v>
      </c>
    </row>
    <row r="787" spans="1:4" x14ac:dyDescent="0.2">
      <c r="A787" s="5">
        <v>726</v>
      </c>
      <c r="B787" s="138">
        <f>'Expenditures 15-22'!D45</f>
        <v>87472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101340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43429</v>
      </c>
      <c r="D791" s="2" t="str">
        <f t="shared" si="11"/>
        <v>Error?</v>
      </c>
    </row>
    <row r="792" spans="1:4" x14ac:dyDescent="0.2">
      <c r="A792" s="5">
        <v>731</v>
      </c>
      <c r="B792" s="138">
        <f>'Expenditures 15-22'!D53</f>
        <v>44504</v>
      </c>
      <c r="C792" s="2" t="s">
        <v>573</v>
      </c>
      <c r="D792" s="2" t="str">
        <f t="shared" si="11"/>
        <v>Error?</v>
      </c>
    </row>
    <row r="793" spans="1:4" x14ac:dyDescent="0.2">
      <c r="A793" s="5">
        <v>732</v>
      </c>
      <c r="B793" s="138">
        <f>'Expenditures 15-22'!D55</f>
        <v>148460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148460</v>
      </c>
      <c r="C795" s="2" t="s">
        <v>573</v>
      </c>
      <c r="D795" s="2" t="str">
        <f t="shared" si="11"/>
        <v>Error?</v>
      </c>
    </row>
    <row r="796" spans="1:4" x14ac:dyDescent="0.2">
      <c r="A796" s="5">
        <v>735</v>
      </c>
      <c r="B796" s="138">
        <f>'Expenditures 15-22'!D59</f>
        <v>19780</v>
      </c>
      <c r="D796" s="2" t="str">
        <f t="shared" si="11"/>
        <v>Error?</v>
      </c>
    </row>
    <row r="797" spans="1:4" x14ac:dyDescent="0.2">
      <c r="A797" s="5">
        <v>736</v>
      </c>
      <c r="B797" s="138">
        <f>'Expenditures 15-22'!D60</f>
        <v>23159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42939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411267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1301196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71359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74225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56071</v>
      </c>
      <c r="D839" s="2" t="str">
        <f t="shared" si="12"/>
        <v>Error?</v>
      </c>
    </row>
    <row r="840" spans="1:4" x14ac:dyDescent="0.2">
      <c r="A840" s="5">
        <v>779</v>
      </c>
      <c r="B840" s="138">
        <f>'Expenditures 15-22'!E39</f>
        <v>350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1400</v>
      </c>
      <c r="D842" s="2" t="str">
        <f t="shared" si="12"/>
        <v>Error?</v>
      </c>
    </row>
    <row r="843" spans="1:4" x14ac:dyDescent="0.2">
      <c r="A843" s="5">
        <v>782</v>
      </c>
      <c r="B843" s="138">
        <f>'Expenditures 15-22'!E42</f>
        <v>57821</v>
      </c>
      <c r="C843" s="2" t="s">
        <v>573</v>
      </c>
      <c r="D843" s="2" t="str">
        <f t="shared" si="12"/>
        <v>Error?</v>
      </c>
    </row>
    <row r="844" spans="1:4" x14ac:dyDescent="0.2">
      <c r="A844" s="5">
        <v>783</v>
      </c>
      <c r="B844" s="138">
        <f>'Expenditures 15-22'!E44</f>
        <v>41284</v>
      </c>
      <c r="D844" s="2" t="str">
        <f t="shared" si="12"/>
        <v>Error?</v>
      </c>
    </row>
    <row r="845" spans="1:4" x14ac:dyDescent="0.2">
      <c r="A845" s="5">
        <v>784</v>
      </c>
      <c r="B845" s="138">
        <f>'Expenditures 15-22'!E45</f>
        <v>18906</v>
      </c>
      <c r="D845" s="2" t="str">
        <f t="shared" si="12"/>
        <v>Error?</v>
      </c>
    </row>
    <row r="846" spans="1:4" x14ac:dyDescent="0.2">
      <c r="A846" s="5">
        <v>785</v>
      </c>
      <c r="B846" s="138">
        <f>'Expenditures 15-22'!E46</f>
        <v>25129</v>
      </c>
      <c r="D846" s="2" t="str">
        <f t="shared" si="12"/>
        <v>Error?</v>
      </c>
    </row>
    <row r="847" spans="1:4" x14ac:dyDescent="0.2">
      <c r="A847" s="5">
        <v>786</v>
      </c>
      <c r="B847" s="138">
        <f>'Expenditures 15-22'!E47</f>
        <v>85319</v>
      </c>
      <c r="C847" s="2" t="s">
        <v>573</v>
      </c>
      <c r="D847" s="2" t="str">
        <f t="shared" si="12"/>
        <v>Error?</v>
      </c>
    </row>
    <row r="848" spans="1:4" x14ac:dyDescent="0.2">
      <c r="A848" s="5">
        <v>787</v>
      </c>
      <c r="B848" s="138">
        <f>'Expenditures 15-22'!E49</f>
        <v>166465</v>
      </c>
      <c r="D848" s="2" t="str">
        <f t="shared" si="12"/>
        <v>Error?</v>
      </c>
    </row>
    <row r="849" spans="1:4" x14ac:dyDescent="0.2">
      <c r="A849" s="5">
        <v>788</v>
      </c>
      <c r="B849" s="138">
        <f>'Expenditures 15-22'!E50</f>
        <v>1193</v>
      </c>
      <c r="D849" s="2" t="str">
        <f t="shared" si="12"/>
        <v>Error?</v>
      </c>
    </row>
    <row r="850" spans="1:4" x14ac:dyDescent="0.2">
      <c r="A850" s="5">
        <v>789</v>
      </c>
      <c r="B850" s="138">
        <f>'Expenditures 15-22'!E53</f>
        <v>167658</v>
      </c>
      <c r="C850" s="2" t="s">
        <v>573</v>
      </c>
      <c r="D850" s="2" t="str">
        <f t="shared" si="12"/>
        <v>Error?</v>
      </c>
    </row>
    <row r="851" spans="1:4" x14ac:dyDescent="0.2">
      <c r="A851" s="5">
        <v>790</v>
      </c>
      <c r="B851" s="138">
        <f>'Expenditures 15-22'!E55</f>
        <v>7376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7376</v>
      </c>
      <c r="C853" s="2" t="s">
        <v>573</v>
      </c>
      <c r="D853" s="2" t="str">
        <f t="shared" si="12"/>
        <v>Error?</v>
      </c>
    </row>
    <row r="854" spans="1:4" x14ac:dyDescent="0.2">
      <c r="A854" s="5">
        <v>793</v>
      </c>
      <c r="B854" s="138">
        <f>'Expenditures 15-22'!E59</f>
        <v>391</v>
      </c>
      <c r="D854" s="2" t="str">
        <f t="shared" si="12"/>
        <v>Error?</v>
      </c>
    </row>
    <row r="855" spans="1:4" x14ac:dyDescent="0.2">
      <c r="A855" s="5">
        <v>794</v>
      </c>
      <c r="B855" s="138">
        <f>'Expenditures 15-22'!E60</f>
        <v>22015</v>
      </c>
      <c r="D855" s="2" t="str">
        <f t="shared" si="12"/>
        <v>Error?</v>
      </c>
    </row>
    <row r="856" spans="1:4" x14ac:dyDescent="0.2">
      <c r="A856" s="5">
        <v>795</v>
      </c>
      <c r="B856" s="138">
        <f>'Expenditures 15-22'!E61</f>
        <v>32389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54795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372969</v>
      </c>
      <c r="C871" s="2" t="s">
        <v>573</v>
      </c>
      <c r="D871" s="2" t="str">
        <f t="shared" si="12"/>
        <v>Error?</v>
      </c>
    </row>
    <row r="872" spans="1:4" x14ac:dyDescent="0.2">
      <c r="A872" s="5">
        <v>811</v>
      </c>
      <c r="B872" s="138">
        <f>'Expenditures 15-22'!E75</f>
        <v>1189</v>
      </c>
      <c r="D872" s="2" t="str">
        <f t="shared" si="12"/>
        <v>Error?</v>
      </c>
    </row>
    <row r="873" spans="1:4" x14ac:dyDescent="0.2">
      <c r="A873" s="5">
        <v>812</v>
      </c>
      <c r="B873" s="138">
        <f>'Expenditures 15-22'!E114</f>
        <v>448383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299019</v>
      </c>
      <c r="D879" s="2" t="str">
        <f t="shared" si="12"/>
        <v>Error?</v>
      </c>
    </row>
    <row r="880" spans="1:4" x14ac:dyDescent="0.2">
      <c r="A880" s="5">
        <v>819</v>
      </c>
      <c r="B880" s="138">
        <f>'Expenditures 15-22'!F16</f>
        <v>1200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413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305901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2556</v>
      </c>
      <c r="D897" s="2" t="str">
        <f t="shared" si="13"/>
        <v>Error?</v>
      </c>
    </row>
    <row r="898" spans="1:4" x14ac:dyDescent="0.2">
      <c r="A898" s="5">
        <v>837</v>
      </c>
      <c r="B898" s="138">
        <f>'Expenditures 15-22'!F39</f>
        <v>100</v>
      </c>
      <c r="D898" s="2" t="str">
        <f t="shared" si="13"/>
        <v>Error?</v>
      </c>
    </row>
    <row r="899" spans="1:4" x14ac:dyDescent="0.2">
      <c r="A899" s="5">
        <v>838</v>
      </c>
      <c r="B899" s="138">
        <f>'Expenditures 15-22'!F40</f>
        <v>1284</v>
      </c>
      <c r="D899" s="2" t="str">
        <f t="shared" si="13"/>
        <v>Error?</v>
      </c>
    </row>
    <row r="900" spans="1:4" x14ac:dyDescent="0.2">
      <c r="A900" s="5">
        <v>839</v>
      </c>
      <c r="B900" s="138">
        <f>'Expenditures 15-22'!F41</f>
        <v>16645</v>
      </c>
      <c r="D900" s="2" t="str">
        <f t="shared" si="13"/>
        <v>Error?</v>
      </c>
    </row>
    <row r="901" spans="1:4" x14ac:dyDescent="0.2">
      <c r="A901" s="5">
        <v>840</v>
      </c>
      <c r="B901" s="138">
        <f>'Expenditures 15-22'!F42</f>
        <v>20585</v>
      </c>
      <c r="C901" s="2" t="s">
        <v>573</v>
      </c>
      <c r="D901" s="2" t="str">
        <f t="shared" si="13"/>
        <v>Error?</v>
      </c>
    </row>
    <row r="902" spans="1:4" x14ac:dyDescent="0.2">
      <c r="A902" s="5">
        <v>841</v>
      </c>
      <c r="B902" s="138">
        <f>'Expenditures 15-22'!F44</f>
        <v>62855</v>
      </c>
      <c r="D902" s="2" t="str">
        <f t="shared" si="13"/>
        <v>Error?</v>
      </c>
    </row>
    <row r="903" spans="1:4" x14ac:dyDescent="0.2">
      <c r="A903" s="5">
        <v>842</v>
      </c>
      <c r="B903" s="138">
        <f>'Expenditures 15-22'!F45</f>
        <v>392613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455468</v>
      </c>
      <c r="C905" s="2" t="s">
        <v>573</v>
      </c>
      <c r="D905" s="2" t="str">
        <f t="shared" si="13"/>
        <v>Error?</v>
      </c>
    </row>
    <row r="906" spans="1:4" x14ac:dyDescent="0.2">
      <c r="A906" s="5">
        <v>845</v>
      </c>
      <c r="B906" s="138">
        <f>'Expenditures 15-22'!F49</f>
        <v>3394</v>
      </c>
      <c r="D906" s="2" t="str">
        <f t="shared" si="13"/>
        <v>Error?</v>
      </c>
    </row>
    <row r="907" spans="1:4" x14ac:dyDescent="0.2">
      <c r="A907" s="5">
        <v>846</v>
      </c>
      <c r="B907" s="138">
        <f>'Expenditures 15-22'!F50</f>
        <v>36</v>
      </c>
      <c r="D907" s="2" t="str">
        <f t="shared" si="13"/>
        <v>Error?</v>
      </c>
    </row>
    <row r="908" spans="1:4" x14ac:dyDescent="0.2">
      <c r="A908" s="5">
        <v>847</v>
      </c>
      <c r="B908" s="138">
        <f>'Expenditures 15-22'!F53</f>
        <v>3430</v>
      </c>
      <c r="C908" s="2" t="s">
        <v>573</v>
      </c>
      <c r="D908" s="2" t="str">
        <f t="shared" si="13"/>
        <v>Error?</v>
      </c>
    </row>
    <row r="909" spans="1:4" x14ac:dyDescent="0.2">
      <c r="A909" s="5">
        <v>848</v>
      </c>
      <c r="B909" s="138">
        <f>'Expenditures 15-22'!F55</f>
        <v>711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711</v>
      </c>
      <c r="C911" s="2" t="s">
        <v>573</v>
      </c>
      <c r="D911" s="2" t="str">
        <f t="shared" si="13"/>
        <v>Error?</v>
      </c>
    </row>
    <row r="912" spans="1:4" x14ac:dyDescent="0.2">
      <c r="A912" s="5">
        <v>851</v>
      </c>
      <c r="B912" s="138">
        <f>'Expenditures 15-22'!F59</f>
        <v>25</v>
      </c>
      <c r="D912" s="2" t="str">
        <f t="shared" si="13"/>
        <v>Error?</v>
      </c>
    </row>
    <row r="913" spans="1:4" x14ac:dyDescent="0.2">
      <c r="A913" s="5">
        <v>852</v>
      </c>
      <c r="B913" s="138">
        <f>'Expenditures 15-22'!F60</f>
        <v>4785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39445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44255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282</v>
      </c>
      <c r="D928" s="2" t="str">
        <f t="shared" si="13"/>
        <v>Error?</v>
      </c>
    </row>
    <row r="929" spans="1:4" x14ac:dyDescent="0.2">
      <c r="A929" s="5">
        <v>868</v>
      </c>
      <c r="B929" s="138">
        <f>'Expenditures 15-22'!F74</f>
        <v>524731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830632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3488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6551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607</v>
      </c>
      <c r="D1018" s="2" t="str">
        <f t="shared" si="14"/>
        <v>Error?</v>
      </c>
    </row>
    <row r="1019" spans="1:4" x14ac:dyDescent="0.2">
      <c r="A1019" s="5">
        <v>958</v>
      </c>
      <c r="B1019" s="138">
        <f>'Expenditures 15-22'!H45</f>
        <v>399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1006</v>
      </c>
      <c r="C1021" s="2" t="s">
        <v>573</v>
      </c>
      <c r="D1021" s="2" t="str">
        <f t="shared" si="14"/>
        <v>Error?</v>
      </c>
    </row>
    <row r="1022" spans="1:4" x14ac:dyDescent="0.2">
      <c r="A1022" s="5">
        <v>961</v>
      </c>
      <c r="B1022" s="138">
        <f>'Expenditures 15-22'!H49</f>
        <v>15088</v>
      </c>
      <c r="D1022" s="2" t="str">
        <f t="shared" si="14"/>
        <v>Error?</v>
      </c>
    </row>
    <row r="1023" spans="1:4" x14ac:dyDescent="0.2">
      <c r="A1023" s="5">
        <v>962</v>
      </c>
      <c r="B1023" s="138">
        <f>'Expenditures 15-22'!H50</f>
        <v>125</v>
      </c>
      <c r="D1023" s="2" t="str">
        <f t="shared" ref="D1023:D1086" si="15">IF(ISBLANK(B1023),"OK",IF(A1023-B1023=0,"OK","Error?"))</f>
        <v>Error?</v>
      </c>
    </row>
    <row r="1024" spans="1:4" x14ac:dyDescent="0.2">
      <c r="A1024" s="5">
        <v>963</v>
      </c>
      <c r="B1024" s="138">
        <f>'Expenditures 15-22'!H53</f>
        <v>15213</v>
      </c>
      <c r="C1024" s="2" t="s">
        <v>573</v>
      </c>
      <c r="D1024" s="2" t="str">
        <f t="shared" si="15"/>
        <v>Error?</v>
      </c>
    </row>
    <row r="1025" spans="1:4" x14ac:dyDescent="0.2">
      <c r="A1025" s="5">
        <v>964</v>
      </c>
      <c r="B1025" s="138">
        <f>'Expenditures 15-22'!H55</f>
        <v>3087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3087</v>
      </c>
      <c r="C1027" s="2" t="s">
        <v>573</v>
      </c>
      <c r="D1027" s="2" t="str">
        <f t="shared" si="15"/>
        <v>Error?</v>
      </c>
    </row>
    <row r="1028" spans="1:4" x14ac:dyDescent="0.2">
      <c r="A1028" s="5">
        <v>967</v>
      </c>
      <c r="B1028" s="138">
        <f>'Expenditures 15-22'!H59</f>
        <v>75</v>
      </c>
      <c r="D1028" s="2" t="str">
        <f t="shared" si="15"/>
        <v>Error?</v>
      </c>
    </row>
    <row r="1029" spans="1:4" x14ac:dyDescent="0.2">
      <c r="A1029" s="5">
        <v>968</v>
      </c>
      <c r="B1029" s="138">
        <f>'Expenditures 15-22'!H60</f>
        <v>1170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20551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864000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891102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4440805</v>
      </c>
      <c r="C1093" s="2" t="s">
        <v>573</v>
      </c>
      <c r="D1093" s="2" t="str">
        <f t="shared" si="16"/>
        <v>Error?</v>
      </c>
    </row>
    <row r="1094" spans="1:4" x14ac:dyDescent="0.2">
      <c r="A1094" s="5">
        <v>1033</v>
      </c>
      <c r="B1094" s="138">
        <f>'Expenditures 15-22'!K16</f>
        <v>1200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136236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3146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6129168</v>
      </c>
      <c r="C1108" s="2" t="s">
        <v>573</v>
      </c>
      <c r="D1108" s="2" t="str">
        <f t="shared" si="16"/>
        <v>Error?</v>
      </c>
    </row>
    <row r="1109" spans="1:4" x14ac:dyDescent="0.2">
      <c r="A1109" s="5">
        <v>1048</v>
      </c>
      <c r="B1109" s="138">
        <f>'Expenditures 15-22'!K36</f>
        <v>438</v>
      </c>
      <c r="C1109" s="2" t="s">
        <v>573</v>
      </c>
      <c r="D1109" s="2" t="str">
        <f t="shared" si="16"/>
        <v>Error?</v>
      </c>
    </row>
    <row r="1110" spans="1:4" x14ac:dyDescent="0.2">
      <c r="A1110" s="5">
        <v>1049</v>
      </c>
      <c r="B1110" s="138">
        <f>'Expenditures 15-22'!K37</f>
        <v>59026</v>
      </c>
      <c r="C1110" s="2" t="s">
        <v>573</v>
      </c>
      <c r="D1110" s="2" t="str">
        <f t="shared" si="16"/>
        <v>Error?</v>
      </c>
    </row>
    <row r="1111" spans="1:4" x14ac:dyDescent="0.2">
      <c r="A1111" s="5">
        <v>1050</v>
      </c>
      <c r="B1111" s="138">
        <f>'Expenditures 15-22'!K38</f>
        <v>177539</v>
      </c>
      <c r="C1111" s="2" t="s">
        <v>573</v>
      </c>
      <c r="D1111" s="2" t="str">
        <f t="shared" si="16"/>
        <v>Error?</v>
      </c>
    </row>
    <row r="1112" spans="1:4" x14ac:dyDescent="0.2">
      <c r="A1112" s="5">
        <v>1051</v>
      </c>
      <c r="B1112" s="138">
        <f>'Expenditures 15-22'!K39</f>
        <v>62007</v>
      </c>
      <c r="C1112" s="2" t="s">
        <v>573</v>
      </c>
      <c r="D1112" s="2" t="str">
        <f t="shared" si="16"/>
        <v>Error?</v>
      </c>
    </row>
    <row r="1113" spans="1:4" x14ac:dyDescent="0.2">
      <c r="A1113" s="5">
        <v>1052</v>
      </c>
      <c r="B1113" s="138">
        <f>'Expenditures 15-22'!K40</f>
        <v>255484</v>
      </c>
      <c r="C1113" s="2" t="s">
        <v>573</v>
      </c>
      <c r="D1113" s="2" t="str">
        <f t="shared" si="16"/>
        <v>Error?</v>
      </c>
    </row>
    <row r="1114" spans="1:4" x14ac:dyDescent="0.2">
      <c r="A1114" s="5">
        <v>1053</v>
      </c>
      <c r="B1114" s="138">
        <f>'Expenditures 15-22'!K41</f>
        <v>33401</v>
      </c>
      <c r="C1114" s="2" t="s">
        <v>573</v>
      </c>
      <c r="D1114" s="2" t="str">
        <f t="shared" si="16"/>
        <v>Error?</v>
      </c>
    </row>
    <row r="1115" spans="1:4" x14ac:dyDescent="0.2">
      <c r="A1115" s="5">
        <v>1054</v>
      </c>
      <c r="B1115" s="138">
        <f>'Expenditures 15-22'!K42</f>
        <v>587895</v>
      </c>
      <c r="C1115" s="2" t="s">
        <v>573</v>
      </c>
      <c r="D1115" s="2" t="str">
        <f t="shared" si="16"/>
        <v>Error?</v>
      </c>
    </row>
    <row r="1116" spans="1:4" x14ac:dyDescent="0.2">
      <c r="A1116" s="5">
        <v>1055</v>
      </c>
      <c r="B1116" s="138">
        <f>'Expenditures 15-22'!K44</f>
        <v>161135</v>
      </c>
      <c r="C1116" s="2" t="s">
        <v>573</v>
      </c>
      <c r="D1116" s="2" t="str">
        <f t="shared" si="16"/>
        <v>Error?</v>
      </c>
    </row>
    <row r="1117" spans="1:4" x14ac:dyDescent="0.2">
      <c r="A1117" s="5">
        <v>1056</v>
      </c>
      <c r="B1117" s="138">
        <f>'Expenditures 15-22'!K45</f>
        <v>1023363</v>
      </c>
      <c r="C1117" s="2" t="s">
        <v>573</v>
      </c>
      <c r="D1117" s="2" t="str">
        <f t="shared" si="16"/>
        <v>Error?</v>
      </c>
    </row>
    <row r="1118" spans="1:4" x14ac:dyDescent="0.2">
      <c r="A1118" s="5">
        <v>1057</v>
      </c>
      <c r="B1118" s="138">
        <f>'Expenditures 15-22'!K46</f>
        <v>25129</v>
      </c>
      <c r="C1118" s="2" t="s">
        <v>573</v>
      </c>
      <c r="D1118" s="2" t="str">
        <f t="shared" si="16"/>
        <v>Error?</v>
      </c>
    </row>
    <row r="1119" spans="1:4" x14ac:dyDescent="0.2">
      <c r="A1119" s="5">
        <v>1058</v>
      </c>
      <c r="B1119" s="138">
        <f>'Expenditures 15-22'!K47</f>
        <v>1209627</v>
      </c>
      <c r="C1119" s="2" t="s">
        <v>573</v>
      </c>
      <c r="D1119" s="2" t="str">
        <f t="shared" si="16"/>
        <v>Error?</v>
      </c>
    </row>
    <row r="1120" spans="1:4" x14ac:dyDescent="0.2">
      <c r="A1120" s="5">
        <v>1059</v>
      </c>
      <c r="B1120" s="138">
        <f>'Expenditures 15-22'!K49</f>
        <v>184947</v>
      </c>
      <c r="C1120" s="2" t="s">
        <v>573</v>
      </c>
      <c r="D1120" s="2" t="str">
        <f t="shared" si="16"/>
        <v>Error?</v>
      </c>
    </row>
    <row r="1121" spans="1:4" x14ac:dyDescent="0.2">
      <c r="A1121" s="5">
        <v>1060</v>
      </c>
      <c r="B1121" s="138">
        <f>'Expenditures 15-22'!K50</f>
        <v>303572</v>
      </c>
      <c r="C1121" s="2" t="s">
        <v>573</v>
      </c>
      <c r="D1121" s="2" t="str">
        <f t="shared" si="16"/>
        <v>Error?</v>
      </c>
    </row>
    <row r="1122" spans="1:4" x14ac:dyDescent="0.2">
      <c r="A1122" s="5">
        <v>1061</v>
      </c>
      <c r="B1122" s="138">
        <f>'Expenditures 15-22'!K53</f>
        <v>489594</v>
      </c>
      <c r="C1122" s="2" t="s">
        <v>573</v>
      </c>
      <c r="D1122" s="2" t="str">
        <f t="shared" si="16"/>
        <v>Error?</v>
      </c>
    </row>
    <row r="1123" spans="1:4" x14ac:dyDescent="0.2">
      <c r="A1123" s="5">
        <v>1062</v>
      </c>
      <c r="B1123" s="138">
        <f>'Expenditures 15-22'!K55</f>
        <v>699673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699673</v>
      </c>
      <c r="C1125" s="2" t="s">
        <v>573</v>
      </c>
      <c r="D1125" s="2" t="str">
        <f t="shared" si="16"/>
        <v>Error?</v>
      </c>
    </row>
    <row r="1126" spans="1:4" x14ac:dyDescent="0.2">
      <c r="A1126" s="5">
        <v>1065</v>
      </c>
      <c r="B1126" s="138">
        <f>'Expenditures 15-22'!K59</f>
        <v>137349</v>
      </c>
      <c r="C1126" s="2" t="s">
        <v>573</v>
      </c>
      <c r="D1126" s="2" t="str">
        <f t="shared" si="16"/>
        <v>Error?</v>
      </c>
    </row>
    <row r="1127" spans="1:4" x14ac:dyDescent="0.2">
      <c r="A1127" s="5">
        <v>1066</v>
      </c>
      <c r="B1127" s="138">
        <f>'Expenditures 15-22'!K60</f>
        <v>172717</v>
      </c>
      <c r="C1127" s="2" t="s">
        <v>573</v>
      </c>
      <c r="D1127" s="2" t="str">
        <f t="shared" si="16"/>
        <v>Error?</v>
      </c>
    </row>
    <row r="1128" spans="1:4" x14ac:dyDescent="0.2">
      <c r="A1128" s="5">
        <v>1067</v>
      </c>
      <c r="B1128" s="138">
        <f>'Expenditures 15-22'!K61</f>
        <v>32389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39445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381900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282</v>
      </c>
      <c r="C1142" s="2" t="s">
        <v>573</v>
      </c>
      <c r="D1142" s="2" t="str">
        <f t="shared" si="16"/>
        <v>Error?</v>
      </c>
    </row>
    <row r="1143" spans="1:4" x14ac:dyDescent="0.2">
      <c r="A1143" s="5">
        <v>1082</v>
      </c>
      <c r="B1143" s="138">
        <f>'Expenditures 15-22'!K74</f>
        <v>3368971</v>
      </c>
      <c r="C1143" s="2" t="s">
        <v>573</v>
      </c>
      <c r="D1143" s="2" t="str">
        <f t="shared" si="16"/>
        <v>Error?</v>
      </c>
    </row>
    <row r="1144" spans="1:4" x14ac:dyDescent="0.2">
      <c r="A1144" s="5">
        <v>1083</v>
      </c>
      <c r="B1144" s="138">
        <f>'Expenditures 15-22'!K75</f>
        <v>1189</v>
      </c>
      <c r="C1144" s="2" t="s">
        <v>573</v>
      </c>
      <c r="D1144" s="2" t="str">
        <f t="shared" si="16"/>
        <v>Error?</v>
      </c>
    </row>
    <row r="1145" spans="1:4" x14ac:dyDescent="0.2">
      <c r="A1145" s="5">
        <v>1084</v>
      </c>
      <c r="B1145" s="138">
        <f>'Expenditures 15-22'!K102</f>
        <v>864000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10363328</v>
      </c>
      <c r="C1152" s="2" t="s">
        <v>573</v>
      </c>
      <c r="D1152" s="2" t="str">
        <f t="shared" si="17"/>
        <v>Error?</v>
      </c>
    </row>
    <row r="1153" spans="1:4" x14ac:dyDescent="0.2">
      <c r="A1153" s="5">
        <v>1092</v>
      </c>
      <c r="B1153" s="138">
        <f>'Expenditures 15-22'!K115</f>
        <v>398202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421405</v>
      </c>
      <c r="D1221" s="2" t="str">
        <f t="shared" si="18"/>
        <v>Error?</v>
      </c>
    </row>
    <row r="1222" spans="1:4" x14ac:dyDescent="0.2">
      <c r="A1222" s="10">
        <v>1161</v>
      </c>
      <c r="D1222" s="2" t="str">
        <f t="shared" si="18"/>
        <v>OK</v>
      </c>
    </row>
    <row r="1223" spans="1:4" x14ac:dyDescent="0.2">
      <c r="A1223" s="5">
        <v>1162</v>
      </c>
      <c r="B1223" s="138">
        <f>'Expenditures 15-22'!C127</f>
        <v>421405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421405</v>
      </c>
      <c r="C1225" s="2" t="s">
        <v>573</v>
      </c>
      <c r="D1225" s="2" t="str">
        <f t="shared" si="18"/>
        <v>Error?</v>
      </c>
    </row>
    <row r="1226" spans="1:4" x14ac:dyDescent="0.2">
      <c r="A1226" s="5">
        <v>1165</v>
      </c>
      <c r="B1226" s="138">
        <f>'Expenditures 15-22'!C151</f>
        <v>421405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88322</v>
      </c>
      <c r="D1229" s="2" t="str">
        <f t="shared" si="18"/>
        <v>Error?</v>
      </c>
    </row>
    <row r="1230" spans="1:4" x14ac:dyDescent="0.2">
      <c r="A1230" s="10">
        <v>1169</v>
      </c>
      <c r="D1230" s="2" t="str">
        <f t="shared" si="18"/>
        <v>OK</v>
      </c>
    </row>
    <row r="1231" spans="1:4" x14ac:dyDescent="0.2">
      <c r="A1231" s="5">
        <v>1170</v>
      </c>
      <c r="B1231" s="138">
        <f>'Expenditures 15-22'!D127</f>
        <v>88322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88322</v>
      </c>
      <c r="C1233" s="2" t="s">
        <v>573</v>
      </c>
      <c r="D1233" s="2" t="str">
        <f t="shared" si="18"/>
        <v>Error?</v>
      </c>
    </row>
    <row r="1234" spans="1:4" x14ac:dyDescent="0.2">
      <c r="A1234" s="5">
        <v>1173</v>
      </c>
      <c r="B1234" s="138">
        <f>'Expenditures 15-22'!D151</f>
        <v>88322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8587</v>
      </c>
      <c r="D1236" s="2" t="str">
        <f t="shared" si="18"/>
        <v>Error?</v>
      </c>
    </row>
    <row r="1237" spans="1:4" x14ac:dyDescent="0.2">
      <c r="A1237" s="5">
        <v>1176</v>
      </c>
      <c r="B1237" s="138">
        <f>'Expenditures 15-22'!E124</f>
        <v>279602</v>
      </c>
      <c r="D1237" s="2" t="str">
        <f t="shared" si="18"/>
        <v>Error?</v>
      </c>
    </row>
    <row r="1238" spans="1:4" x14ac:dyDescent="0.2">
      <c r="A1238" s="10">
        <v>1177</v>
      </c>
      <c r="D1238" s="2" t="str">
        <f t="shared" si="18"/>
        <v>OK</v>
      </c>
    </row>
    <row r="1239" spans="1:4" x14ac:dyDescent="0.2">
      <c r="A1239" s="5">
        <v>1178</v>
      </c>
      <c r="B1239" s="138">
        <f>'Expenditures 15-22'!E127</f>
        <v>288189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288189</v>
      </c>
      <c r="C1241" s="2" t="s">
        <v>573</v>
      </c>
      <c r="D1241" s="2" t="str">
        <f t="shared" si="18"/>
        <v>Error?</v>
      </c>
    </row>
    <row r="1242" spans="1:4" x14ac:dyDescent="0.2">
      <c r="A1242" s="5">
        <v>1181</v>
      </c>
      <c r="B1242" s="138">
        <f>'Expenditures 15-22'!E151</f>
        <v>288189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235682</v>
      </c>
      <c r="D1245" s="2" t="str">
        <f t="shared" si="18"/>
        <v>Error?</v>
      </c>
    </row>
    <row r="1246" spans="1:4" x14ac:dyDescent="0.2">
      <c r="A1246" s="10">
        <v>1185</v>
      </c>
      <c r="D1246" s="2" t="str">
        <f t="shared" si="18"/>
        <v>OK</v>
      </c>
    </row>
    <row r="1247" spans="1:4" x14ac:dyDescent="0.2">
      <c r="A1247" s="5">
        <v>1186</v>
      </c>
      <c r="B1247" s="138">
        <f>'Expenditures 15-22'!F127</f>
        <v>235682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235682</v>
      </c>
      <c r="C1249" s="2" t="s">
        <v>573</v>
      </c>
      <c r="D1249" s="2" t="str">
        <f t="shared" si="18"/>
        <v>Error?</v>
      </c>
    </row>
    <row r="1250" spans="1:4" x14ac:dyDescent="0.2">
      <c r="A1250" s="5">
        <v>1189</v>
      </c>
      <c r="B1250" s="138">
        <f>'Expenditures 15-22'!F151</f>
        <v>235682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615</v>
      </c>
      <c r="D1262" s="2" t="str">
        <f t="shared" si="18"/>
        <v>Error?</v>
      </c>
    </row>
    <row r="1263" spans="1:4" x14ac:dyDescent="0.2">
      <c r="A1263" s="10">
        <v>1202</v>
      </c>
      <c r="D1263" s="2" t="str">
        <f t="shared" si="18"/>
        <v>OK</v>
      </c>
    </row>
    <row r="1264" spans="1:4" x14ac:dyDescent="0.2">
      <c r="A1264" s="5">
        <v>1203</v>
      </c>
      <c r="B1264" s="138">
        <f>'Expenditures 15-22'!H127</f>
        <v>615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615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615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9689</v>
      </c>
      <c r="C1275" s="2" t="s">
        <v>573</v>
      </c>
      <c r="D1275" s="2" t="str">
        <f t="shared" si="18"/>
        <v>Error?</v>
      </c>
    </row>
    <row r="1276" spans="1:4" x14ac:dyDescent="0.2">
      <c r="A1276" s="5">
        <v>1215</v>
      </c>
      <c r="B1276" s="138">
        <f>'Expenditures 15-22'!K124</f>
        <v>1025626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1035315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1035315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1035315</v>
      </c>
      <c r="C1288" s="2" t="s">
        <v>573</v>
      </c>
      <c r="D1288" s="2" t="str">
        <f t="shared" si="19"/>
        <v>Error?</v>
      </c>
    </row>
    <row r="1289" spans="1:4" x14ac:dyDescent="0.2">
      <c r="A1289" s="5">
        <v>1228</v>
      </c>
      <c r="B1289" s="138">
        <f>'Expenditures 15-22'!K152</f>
        <v>338160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428679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447800</v>
      </c>
      <c r="D1315" s="2" t="str">
        <f t="shared" si="19"/>
        <v>Error?</v>
      </c>
    </row>
    <row r="1316" spans="1:4" x14ac:dyDescent="0.2">
      <c r="A1316" s="5">
        <v>1255</v>
      </c>
      <c r="B1316" s="138">
        <f>'Expenditures 15-22'!H171</f>
        <v>984</v>
      </c>
      <c r="D1316" s="2" t="str">
        <f t="shared" si="19"/>
        <v>Error?</v>
      </c>
    </row>
    <row r="1317" spans="1:4" x14ac:dyDescent="0.2">
      <c r="A1317" s="5">
        <v>1256</v>
      </c>
      <c r="B1317" s="138">
        <f>'Expenditures 15-22'!H172</f>
        <v>877463</v>
      </c>
      <c r="C1317" s="2" t="s">
        <v>573</v>
      </c>
      <c r="D1317" s="2" t="str">
        <f t="shared" si="19"/>
        <v>Error?</v>
      </c>
    </row>
    <row r="1318" spans="1:4" x14ac:dyDescent="0.2">
      <c r="A1318" s="5">
        <v>1257</v>
      </c>
      <c r="B1318" s="138">
        <f>'Expenditures 15-22'!H174</f>
        <v>877463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428679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447800</v>
      </c>
      <c r="C1329" s="2" t="s">
        <v>573</v>
      </c>
      <c r="D1329" s="2" t="str">
        <f t="shared" si="19"/>
        <v>Error?</v>
      </c>
    </row>
    <row r="1330" spans="1:4" x14ac:dyDescent="0.2">
      <c r="A1330" s="5">
        <v>1269</v>
      </c>
      <c r="B1330" s="138">
        <f>'Expenditures 15-22'!K171</f>
        <v>984</v>
      </c>
      <c r="C1330" s="2" t="s">
        <v>573</v>
      </c>
      <c r="D1330" s="2" t="str">
        <f t="shared" si="19"/>
        <v>Error?</v>
      </c>
    </row>
    <row r="1331" spans="1:4" x14ac:dyDescent="0.2">
      <c r="A1331" s="5">
        <v>1270</v>
      </c>
      <c r="B1331" s="138">
        <f>'Expenditures 15-22'!K172</f>
        <v>877463</v>
      </c>
      <c r="C1331" s="2" t="s">
        <v>573</v>
      </c>
      <c r="D1331" s="2" t="str">
        <f t="shared" si="19"/>
        <v>Error?</v>
      </c>
    </row>
    <row r="1332" spans="1:4" x14ac:dyDescent="0.2">
      <c r="A1332" s="5">
        <v>1271</v>
      </c>
      <c r="B1332" s="138">
        <f>'Expenditures 15-22'!K174</f>
        <v>877463</v>
      </c>
      <c r="C1332" s="2" t="s">
        <v>573</v>
      </c>
      <c r="D1332" s="2" t="str">
        <f t="shared" si="19"/>
        <v>Error?</v>
      </c>
    </row>
    <row r="1333" spans="1:4" x14ac:dyDescent="0.2">
      <c r="A1333" s="5">
        <v>1272</v>
      </c>
      <c r="B1333" s="138">
        <f>'Expenditures 15-22'!K175</f>
        <v>-63128</v>
      </c>
      <c r="C1333" s="2" t="s">
        <v>573</v>
      </c>
      <c r="D1333" s="2" t="str">
        <f t="shared" si="19"/>
        <v>Error?</v>
      </c>
    </row>
    <row r="1334" spans="1:4" x14ac:dyDescent="0.2">
      <c r="A1334" s="10">
        <v>1273</v>
      </c>
      <c r="D1334" s="2" t="str">
        <f t="shared" si="19"/>
        <v>OK</v>
      </c>
    </row>
    <row r="1335" spans="1:4" x14ac:dyDescent="0.2">
      <c r="A1335" s="5">
        <v>1274</v>
      </c>
      <c r="B1335" s="138">
        <f>'Expenditures 15-22'!C182</f>
        <v>11946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11946</v>
      </c>
      <c r="C1339" s="2" t="s">
        <v>573</v>
      </c>
      <c r="D1339" s="2" t="str">
        <f t="shared" si="19"/>
        <v>Error?</v>
      </c>
    </row>
    <row r="1340" spans="1:4" x14ac:dyDescent="0.2">
      <c r="A1340" s="5">
        <v>1279</v>
      </c>
      <c r="B1340" s="138">
        <f>'Expenditures 15-22'!C210</f>
        <v>11946</v>
      </c>
      <c r="C1340" s="2" t="s">
        <v>573</v>
      </c>
      <c r="D1340" s="2" t="str">
        <f t="shared" si="19"/>
        <v>Error?</v>
      </c>
    </row>
    <row r="1341" spans="1:4" x14ac:dyDescent="0.2">
      <c r="A1341" s="5">
        <v>1280</v>
      </c>
      <c r="B1341" s="138">
        <f>'Expenditures 15-22'!D182</f>
        <v>2462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2462</v>
      </c>
      <c r="C1345" s="2" t="s">
        <v>573</v>
      </c>
      <c r="D1345" s="2" t="str">
        <f t="shared" si="20"/>
        <v>Error?</v>
      </c>
    </row>
    <row r="1346" spans="1:4" x14ac:dyDescent="0.2">
      <c r="A1346" s="5">
        <v>1285</v>
      </c>
      <c r="B1346" s="138">
        <f>'Expenditures 15-22'!D210</f>
        <v>2462</v>
      </c>
      <c r="C1346" s="2" t="s">
        <v>573</v>
      </c>
      <c r="D1346" s="2" t="str">
        <f t="shared" si="20"/>
        <v>Error?</v>
      </c>
    </row>
    <row r="1347" spans="1:4" x14ac:dyDescent="0.2">
      <c r="A1347" s="5">
        <v>1286</v>
      </c>
      <c r="B1347" s="138">
        <f>'Expenditures 15-22'!E182</f>
        <v>475232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475232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475232</v>
      </c>
      <c r="C1353" s="2" t="s">
        <v>573</v>
      </c>
      <c r="D1353" s="2" t="str">
        <f t="shared" si="20"/>
        <v>Error?</v>
      </c>
    </row>
    <row r="1354" spans="1:4" x14ac:dyDescent="0.2">
      <c r="A1354" s="5">
        <v>1293</v>
      </c>
      <c r="B1354" s="138">
        <f>'Expenditures 15-22'!F182</f>
        <v>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v>
      </c>
      <c r="C1358" s="2" t="s">
        <v>573</v>
      </c>
      <c r="D1358" s="2" t="str">
        <f t="shared" si="20"/>
        <v>Error?</v>
      </c>
    </row>
    <row r="1359" spans="1:4" x14ac:dyDescent="0.2">
      <c r="A1359" s="5">
        <v>1298</v>
      </c>
      <c r="B1359" s="138">
        <f>'Expenditures 15-22'!F210</f>
        <v>15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489655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489655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489655</v>
      </c>
      <c r="C1388" s="2" t="s">
        <v>573</v>
      </c>
      <c r="D1388" s="2" t="str">
        <f t="shared" si="20"/>
        <v>Error?</v>
      </c>
    </row>
    <row r="1389" spans="1:4" x14ac:dyDescent="0.2">
      <c r="A1389" s="5">
        <v>1328</v>
      </c>
      <c r="B1389" s="138">
        <f>'Expenditures 15-22'!K211</f>
        <v>-11891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129270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708</v>
      </c>
      <c r="D1412" s="2" t="str">
        <f t="shared" si="21"/>
        <v>Error?</v>
      </c>
    </row>
    <row r="1413" spans="1:4" x14ac:dyDescent="0.2">
      <c r="A1413" s="5">
        <v>1352</v>
      </c>
      <c r="B1413" s="138">
        <f>'Expenditures 15-22'!D234</f>
        <v>13059</v>
      </c>
      <c r="D1413" s="2" t="str">
        <f t="shared" si="21"/>
        <v>Error?</v>
      </c>
    </row>
    <row r="1414" spans="1:4" x14ac:dyDescent="0.2">
      <c r="A1414" s="5">
        <v>1353</v>
      </c>
      <c r="B1414" s="138">
        <f>'Expenditures 15-22'!D235</f>
        <v>739</v>
      </c>
      <c r="D1414" s="2" t="str">
        <f t="shared" si="21"/>
        <v>Error?</v>
      </c>
    </row>
    <row r="1415" spans="1:4" x14ac:dyDescent="0.2">
      <c r="A1415" s="5">
        <v>1354</v>
      </c>
      <c r="B1415" s="138">
        <f>'Expenditures 15-22'!D236</f>
        <v>3145</v>
      </c>
      <c r="D1415" s="2" t="str">
        <f t="shared" si="21"/>
        <v>Error?</v>
      </c>
    </row>
    <row r="1416" spans="1:4" x14ac:dyDescent="0.2">
      <c r="A1416" s="5">
        <v>1355</v>
      </c>
      <c r="B1416" s="138">
        <f>'Expenditures 15-22'!D237</f>
        <v>1175</v>
      </c>
      <c r="D1416" s="2" t="str">
        <f t="shared" si="21"/>
        <v>Error?</v>
      </c>
    </row>
    <row r="1417" spans="1:4" x14ac:dyDescent="0.2">
      <c r="A1417" s="5">
        <v>1356</v>
      </c>
      <c r="B1417" s="138">
        <f>'Expenditures 15-22'!D238</f>
        <v>18826</v>
      </c>
      <c r="C1417" s="2" t="s">
        <v>573</v>
      </c>
      <c r="D1417" s="2" t="str">
        <f t="shared" si="21"/>
        <v>Error?</v>
      </c>
    </row>
    <row r="1418" spans="1:4" x14ac:dyDescent="0.2">
      <c r="A1418" s="5">
        <v>1357</v>
      </c>
      <c r="B1418" s="138">
        <f>'Expenditures 15-22'!D240</f>
        <v>1754</v>
      </c>
      <c r="D1418" s="2" t="str">
        <f t="shared" si="21"/>
        <v>Error?</v>
      </c>
    </row>
    <row r="1419" spans="1:4" x14ac:dyDescent="0.2">
      <c r="A1419" s="5">
        <v>1358</v>
      </c>
      <c r="B1419" s="138">
        <f>'Expenditures 15-22'!D241</f>
        <v>42833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44587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9604</v>
      </c>
      <c r="D1423" s="2" t="str">
        <f t="shared" si="21"/>
        <v>Error?</v>
      </c>
    </row>
    <row r="1424" spans="1:4" x14ac:dyDescent="0.2">
      <c r="A1424" s="5">
        <v>1363</v>
      </c>
      <c r="B1424" s="138">
        <f>'Expenditures 15-22'!D257</f>
        <v>9604</v>
      </c>
      <c r="C1424" s="2" t="s">
        <v>573</v>
      </c>
      <c r="D1424" s="2" t="str">
        <f t="shared" si="21"/>
        <v>Error?</v>
      </c>
    </row>
    <row r="1425" spans="1:4" x14ac:dyDescent="0.2">
      <c r="A1425" s="5">
        <v>1364</v>
      </c>
      <c r="B1425" s="138">
        <f>'Expenditures 15-22'!D259</f>
        <v>26490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26490</v>
      </c>
      <c r="C1427" s="2" t="s">
        <v>573</v>
      </c>
      <c r="D1427" s="2" t="str">
        <f t="shared" si="21"/>
        <v>Error?</v>
      </c>
    </row>
    <row r="1428" spans="1:4" x14ac:dyDescent="0.2">
      <c r="A1428" s="5">
        <v>1367</v>
      </c>
      <c r="B1428" s="138">
        <f>'Expenditures 15-22'!D263</f>
        <v>23183</v>
      </c>
      <c r="D1428" s="2" t="str">
        <f t="shared" si="21"/>
        <v>Error?</v>
      </c>
    </row>
    <row r="1429" spans="1:4" x14ac:dyDescent="0.2">
      <c r="A1429" s="5">
        <v>1368</v>
      </c>
      <c r="B1429" s="138">
        <f>'Expenditures 15-22'!D264</f>
        <v>1306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60605</v>
      </c>
      <c r="D1431" s="2" t="str">
        <f t="shared" si="21"/>
        <v>Error?</v>
      </c>
    </row>
    <row r="1432" spans="1:4" x14ac:dyDescent="0.2">
      <c r="A1432" s="5">
        <v>1371</v>
      </c>
      <c r="B1432" s="138">
        <f>'Expenditures 15-22'!D267</f>
        <v>1879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86973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186480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315750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1665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129270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708</v>
      </c>
      <c r="C1476" s="2" t="s">
        <v>573</v>
      </c>
      <c r="D1476" s="2" t="str">
        <f t="shared" si="22"/>
        <v>Error?</v>
      </c>
    </row>
    <row r="1477" spans="1:4" x14ac:dyDescent="0.2">
      <c r="A1477" s="5">
        <v>1416</v>
      </c>
      <c r="B1477" s="138">
        <f>'Expenditures 15-22'!K234</f>
        <v>13059</v>
      </c>
      <c r="C1477" s="2" t="s">
        <v>573</v>
      </c>
      <c r="D1477" s="2" t="str">
        <f t="shared" si="22"/>
        <v>Error?</v>
      </c>
    </row>
    <row r="1478" spans="1:4" x14ac:dyDescent="0.2">
      <c r="A1478" s="5">
        <v>1417</v>
      </c>
      <c r="B1478" s="138">
        <f>'Expenditures 15-22'!K235</f>
        <v>739</v>
      </c>
      <c r="C1478" s="2" t="s">
        <v>573</v>
      </c>
      <c r="D1478" s="2" t="str">
        <f t="shared" si="22"/>
        <v>Error?</v>
      </c>
    </row>
    <row r="1479" spans="1:4" x14ac:dyDescent="0.2">
      <c r="A1479" s="5">
        <v>1418</v>
      </c>
      <c r="B1479" s="138">
        <f>'Expenditures 15-22'!K236</f>
        <v>3145</v>
      </c>
      <c r="C1479" s="2" t="s">
        <v>573</v>
      </c>
      <c r="D1479" s="2" t="str">
        <f t="shared" si="22"/>
        <v>Error?</v>
      </c>
    </row>
    <row r="1480" spans="1:4" x14ac:dyDescent="0.2">
      <c r="A1480" s="5">
        <v>1419</v>
      </c>
      <c r="B1480" s="138">
        <f>'Expenditures 15-22'!K237</f>
        <v>1175</v>
      </c>
      <c r="C1480" s="2" t="s">
        <v>573</v>
      </c>
      <c r="D1480" s="2" t="str">
        <f t="shared" si="22"/>
        <v>Error?</v>
      </c>
    </row>
    <row r="1481" spans="1:4" x14ac:dyDescent="0.2">
      <c r="A1481" s="5">
        <v>1420</v>
      </c>
      <c r="B1481" s="138">
        <f>'Expenditures 15-22'!K238</f>
        <v>18826</v>
      </c>
      <c r="C1481" s="2" t="s">
        <v>573</v>
      </c>
      <c r="D1481" s="2" t="str">
        <f t="shared" si="22"/>
        <v>Error?</v>
      </c>
    </row>
    <row r="1482" spans="1:4" x14ac:dyDescent="0.2">
      <c r="A1482" s="5">
        <v>1421</v>
      </c>
      <c r="B1482" s="138">
        <f>'Expenditures 15-22'!K240</f>
        <v>1754</v>
      </c>
      <c r="C1482" s="2" t="s">
        <v>573</v>
      </c>
      <c r="D1482" s="2" t="str">
        <f t="shared" si="22"/>
        <v>Error?</v>
      </c>
    </row>
    <row r="1483" spans="1:4" x14ac:dyDescent="0.2">
      <c r="A1483" s="5">
        <v>1422</v>
      </c>
      <c r="B1483" s="138">
        <f>'Expenditures 15-22'!K241</f>
        <v>42833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44587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9604</v>
      </c>
      <c r="C1487" s="2" t="s">
        <v>573</v>
      </c>
      <c r="D1487" s="2" t="str">
        <f t="shared" si="22"/>
        <v>Error?</v>
      </c>
    </row>
    <row r="1488" spans="1:4" x14ac:dyDescent="0.2">
      <c r="A1488" s="5">
        <v>1427</v>
      </c>
      <c r="B1488" s="138">
        <f>'Expenditures 15-22'!K257</f>
        <v>9604</v>
      </c>
      <c r="C1488" s="2" t="s">
        <v>573</v>
      </c>
      <c r="D1488" s="2" t="str">
        <f t="shared" si="22"/>
        <v>Error?</v>
      </c>
    </row>
    <row r="1489" spans="1:4" x14ac:dyDescent="0.2">
      <c r="A1489" s="5">
        <v>1428</v>
      </c>
      <c r="B1489" s="138">
        <f>'Expenditures 15-22'!K259</f>
        <v>26490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26490</v>
      </c>
      <c r="C1491" s="2" t="s">
        <v>573</v>
      </c>
      <c r="D1491" s="2" t="str">
        <f t="shared" si="22"/>
        <v>Error?</v>
      </c>
    </row>
    <row r="1492" spans="1:4" x14ac:dyDescent="0.2">
      <c r="A1492" s="5">
        <v>1431</v>
      </c>
      <c r="B1492" s="138">
        <f>'Expenditures 15-22'!K263</f>
        <v>23183</v>
      </c>
      <c r="C1492" s="2" t="s">
        <v>573</v>
      </c>
      <c r="D1492" s="2" t="str">
        <f t="shared" si="22"/>
        <v>Error?</v>
      </c>
    </row>
    <row r="1493" spans="1:4" x14ac:dyDescent="0.2">
      <c r="A1493" s="5">
        <v>1432</v>
      </c>
      <c r="B1493" s="138">
        <f>'Expenditures 15-22'!K264</f>
        <v>1306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60605</v>
      </c>
      <c r="C1495" s="2" t="s">
        <v>573</v>
      </c>
      <c r="D1495" s="2" t="str">
        <f t="shared" si="22"/>
        <v>Error?</v>
      </c>
    </row>
    <row r="1496" spans="1:4" x14ac:dyDescent="0.2">
      <c r="A1496" s="5">
        <v>1435</v>
      </c>
      <c r="B1496" s="138">
        <f>'Expenditures 15-22'!K267</f>
        <v>1879</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86973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186480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315750</v>
      </c>
      <c r="C1517" s="2" t="s">
        <v>573</v>
      </c>
      <c r="D1517" s="2" t="str">
        <f t="shared" si="22"/>
        <v>Error?</v>
      </c>
    </row>
    <row r="1518" spans="1:4" x14ac:dyDescent="0.2">
      <c r="A1518" s="5">
        <v>1457</v>
      </c>
      <c r="B1518" s="138">
        <f>'Expenditures 15-22'!K296</f>
        <v>5138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13700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13700</v>
      </c>
      <c r="C1535" s="2" t="s">
        <v>573</v>
      </c>
      <c r="D1535" s="2" t="str">
        <f t="shared" ref="D1535:D1598" si="23">IF(ISBLANK(B1535),"OK",IF(A1535-B1535=0,"OK","Error?"))</f>
        <v>Error?</v>
      </c>
    </row>
    <row r="1536" spans="1:4" x14ac:dyDescent="0.2">
      <c r="A1536" s="5">
        <v>1475</v>
      </c>
      <c r="B1536" s="138">
        <f>'Expenditures 15-22'!E312</f>
        <v>13700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13700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13700</v>
      </c>
      <c r="C1559" s="2" t="s">
        <v>573</v>
      </c>
      <c r="D1559" s="2" t="str">
        <f t="shared" si="23"/>
        <v>Error?</v>
      </c>
    </row>
    <row r="1560" spans="1:4" x14ac:dyDescent="0.2">
      <c r="A1560" s="5">
        <v>1499</v>
      </c>
      <c r="B1560" s="138">
        <f>'Expenditures 15-22'!K312</f>
        <v>13700</v>
      </c>
      <c r="C1560" s="2" t="s">
        <v>573</v>
      </c>
      <c r="D1560" s="2" t="str">
        <f t="shared" si="23"/>
        <v>Error?</v>
      </c>
    </row>
    <row r="1561" spans="1:4" x14ac:dyDescent="0.2">
      <c r="A1561" s="5">
        <v>1500</v>
      </c>
      <c r="B1561" s="138">
        <f>'Expenditures 15-22'!K313</f>
        <v>-5672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10137078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10472580</v>
      </c>
      <c r="C1630" s="2" t="s">
        <v>573</v>
      </c>
      <c r="D1630" s="2" t="str">
        <f t="shared" si="24"/>
        <v>Error?</v>
      </c>
    </row>
    <row r="1631" spans="1:4" x14ac:dyDescent="0.2">
      <c r="A1631" s="5">
        <v>1570</v>
      </c>
      <c r="B1631" s="138">
        <f>'Acct Summary 7-8'!D79</f>
        <v>1968516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1806676</v>
      </c>
      <c r="C1644" s="2" t="s">
        <v>573</v>
      </c>
      <c r="D1644" s="2" t="str">
        <f t="shared" si="24"/>
        <v>Error?</v>
      </c>
    </row>
    <row r="1645" spans="1:4" x14ac:dyDescent="0.2">
      <c r="A1645" s="5">
        <v>1584</v>
      </c>
      <c r="B1645" s="138">
        <f>'Acct Summary 7-8'!E79</f>
        <v>450684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450256</v>
      </c>
      <c r="C1658" s="2" t="s">
        <v>573</v>
      </c>
      <c r="D1658" s="2" t="str">
        <f t="shared" si="24"/>
        <v>Error?</v>
      </c>
    </row>
    <row r="1659" spans="1:4" x14ac:dyDescent="0.2">
      <c r="A1659" s="5">
        <v>1598</v>
      </c>
      <c r="B1659" s="138">
        <f>'Acct Summary 7-8'!F79</f>
        <v>510147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498256</v>
      </c>
      <c r="C1672" s="2" t="s">
        <v>573</v>
      </c>
      <c r="D1672" s="2" t="str">
        <f t="shared" si="25"/>
        <v>Error?</v>
      </c>
    </row>
    <row r="1673" spans="1:4" x14ac:dyDescent="0.2">
      <c r="A1673" s="5">
        <v>1612</v>
      </c>
      <c r="B1673" s="138">
        <f>'Acct Summary 7-8'!G79</f>
        <v>330848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335986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494328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8841537</v>
      </c>
      <c r="C1744" s="2" t="s">
        <v>573</v>
      </c>
      <c r="D1744" s="2" t="str">
        <f t="shared" si="26"/>
        <v>Error?</v>
      </c>
    </row>
    <row r="1745" spans="1:5" x14ac:dyDescent="0.2">
      <c r="A1745" s="5">
        <v>1684</v>
      </c>
      <c r="B1745" s="138">
        <f>'Tax Sched 23'!B5</f>
        <v>1340941</v>
      </c>
      <c r="C1745" s="2" t="s">
        <v>573</v>
      </c>
      <c r="D1745" s="2" t="str">
        <f t="shared" si="26"/>
        <v>Error?</v>
      </c>
    </row>
    <row r="1746" spans="1:5" x14ac:dyDescent="0.2">
      <c r="A1746" s="5">
        <v>1685</v>
      </c>
      <c r="B1746" s="138">
        <f>'Tax Sched 23'!B6</f>
        <v>796658</v>
      </c>
      <c r="C1746" s="2" t="s">
        <v>573</v>
      </c>
      <c r="D1746" s="2" t="str">
        <f t="shared" si="26"/>
        <v>Error?</v>
      </c>
    </row>
    <row r="1747" spans="1:5" x14ac:dyDescent="0.2">
      <c r="A1747" s="5">
        <v>1686</v>
      </c>
      <c r="B1747" s="138">
        <f>'Tax Sched 23'!B7</f>
        <v>381324</v>
      </c>
      <c r="C1747" s="2" t="s">
        <v>573</v>
      </c>
      <c r="D1747" s="2" t="str">
        <f t="shared" si="26"/>
        <v>Error?</v>
      </c>
    </row>
    <row r="1748" spans="1:5" x14ac:dyDescent="0.2">
      <c r="A1748" s="5">
        <v>1687</v>
      </c>
      <c r="B1748" s="138">
        <f>'Tax Sched 23'!B8</f>
        <v>135468</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113087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11779823</v>
      </c>
      <c r="C1759" s="2" t="s">
        <v>573</v>
      </c>
      <c r="D1759" s="2" t="str">
        <f t="shared" si="26"/>
        <v>Error?</v>
      </c>
    </row>
    <row r="1760" spans="1:5" x14ac:dyDescent="0.2">
      <c r="A1760" s="5">
        <v>1699</v>
      </c>
      <c r="B1760" s="138">
        <f>'Tax Sched 23'!D4</f>
        <v>4212744</v>
      </c>
      <c r="C1760" s="2" t="s">
        <v>573</v>
      </c>
      <c r="D1760" s="2" t="str">
        <f t="shared" si="26"/>
        <v>Error?</v>
      </c>
    </row>
    <row r="1761" spans="1:5" x14ac:dyDescent="0.2">
      <c r="A1761" s="5">
        <v>1700</v>
      </c>
      <c r="B1761" s="138">
        <f>'Tax Sched 23'!D5</f>
        <v>641290</v>
      </c>
      <c r="C1761" s="2" t="s">
        <v>573</v>
      </c>
      <c r="D1761" s="2" t="str">
        <f t="shared" si="26"/>
        <v>Error?</v>
      </c>
    </row>
    <row r="1762" spans="1:5" s="8" customFormat="1" x14ac:dyDescent="0.2">
      <c r="A1762" s="5">
        <v>1701</v>
      </c>
      <c r="B1762" s="138">
        <f>'Tax Sched 23'!D6</f>
        <v>382415</v>
      </c>
      <c r="C1762" s="2" t="s">
        <v>573</v>
      </c>
      <c r="D1762" s="2" t="str">
        <f t="shared" si="26"/>
        <v>Error?</v>
      </c>
      <c r="E1762" s="9"/>
    </row>
    <row r="1763" spans="1:5" x14ac:dyDescent="0.2">
      <c r="A1763" s="5">
        <v>1702</v>
      </c>
      <c r="B1763" s="138">
        <f>'Tax Sched 23'!D7</f>
        <v>179134</v>
      </c>
      <c r="C1763" s="2" t="s">
        <v>573</v>
      </c>
      <c r="D1763" s="2" t="str">
        <f t="shared" si="26"/>
        <v>Error?</v>
      </c>
    </row>
    <row r="1764" spans="1:5" x14ac:dyDescent="0.2">
      <c r="A1764" s="5">
        <v>1703</v>
      </c>
      <c r="B1764" s="138">
        <f>'Tax Sched 23'!D8</f>
        <v>64578</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53909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5615495</v>
      </c>
      <c r="C1775" s="2" t="s">
        <v>573</v>
      </c>
      <c r="D1775" s="2" t="str">
        <f t="shared" si="26"/>
        <v>Error?</v>
      </c>
    </row>
    <row r="1776" spans="1:5" x14ac:dyDescent="0.2">
      <c r="A1776" s="5">
        <v>1715</v>
      </c>
      <c r="B1776" s="138">
        <f>'Tax Sched 23'!C4</f>
        <v>4628793</v>
      </c>
      <c r="D1776" s="2" t="str">
        <f t="shared" si="26"/>
        <v>Error?</v>
      </c>
    </row>
    <row r="1777" spans="1:4" x14ac:dyDescent="0.2">
      <c r="A1777" s="5">
        <v>1716</v>
      </c>
      <c r="B1777" s="138">
        <f>'Tax Sched 23'!C5</f>
        <v>699651</v>
      </c>
      <c r="D1777" s="2" t="str">
        <f t="shared" si="26"/>
        <v>Error?</v>
      </c>
    </row>
    <row r="1778" spans="1:4" x14ac:dyDescent="0.2">
      <c r="A1778" s="5">
        <v>1717</v>
      </c>
      <c r="B1778" s="138">
        <f>'Tax Sched 23'!C6</f>
        <v>414243</v>
      </c>
      <c r="D1778" s="2" t="str">
        <f t="shared" si="26"/>
        <v>Error?</v>
      </c>
    </row>
    <row r="1779" spans="1:4" x14ac:dyDescent="0.2">
      <c r="A1779" s="5">
        <v>1718</v>
      </c>
      <c r="B1779" s="138">
        <f>'Tax Sched 23'!C7</f>
        <v>202190</v>
      </c>
      <c r="D1779" s="2" t="str">
        <f t="shared" si="26"/>
        <v>Error?</v>
      </c>
    </row>
    <row r="1780" spans="1:4" x14ac:dyDescent="0.2">
      <c r="A1780" s="5">
        <v>1719</v>
      </c>
      <c r="B1780" s="138">
        <f>'Tax Sched 23'!C8</f>
        <v>70890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59178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6164328</v>
      </c>
      <c r="C1791" s="2" t="s">
        <v>573</v>
      </c>
      <c r="D1791" s="2" t="str">
        <f t="shared" ref="D1791:D1854" si="27">IF(ISBLANK(B1791),"OK",IF(A1791-B1791=0,"OK","Error?"))</f>
        <v>Error?</v>
      </c>
    </row>
    <row r="1792" spans="1:4" x14ac:dyDescent="0.2">
      <c r="A1792" s="5">
        <v>1731</v>
      </c>
      <c r="B1792" s="138">
        <f>'Tax Sched 23'!F4</f>
        <v>4666857</v>
      </c>
      <c r="C1792" s="2" t="s">
        <v>573</v>
      </c>
      <c r="D1792" s="2" t="str">
        <f t="shared" si="27"/>
        <v>Error?</v>
      </c>
    </row>
    <row r="1793" spans="1:4" x14ac:dyDescent="0.2">
      <c r="A1793" s="5">
        <v>1732</v>
      </c>
      <c r="B1793" s="138">
        <f>'Tax Sched 23'!F5</f>
        <v>705423</v>
      </c>
      <c r="C1793" s="2" t="s">
        <v>573</v>
      </c>
      <c r="D1793" s="2" t="str">
        <f t="shared" si="27"/>
        <v>Error?</v>
      </c>
    </row>
    <row r="1794" spans="1:4" x14ac:dyDescent="0.2">
      <c r="A1794" s="5">
        <v>1733</v>
      </c>
      <c r="B1794" s="138">
        <f>'Tax Sched 23'!F6</f>
        <v>418211</v>
      </c>
      <c r="C1794" s="2" t="s">
        <v>573</v>
      </c>
      <c r="D1794" s="2" t="str">
        <f t="shared" si="27"/>
        <v>Error?</v>
      </c>
    </row>
    <row r="1795" spans="1:4" x14ac:dyDescent="0.2">
      <c r="A1795" s="5">
        <v>1734</v>
      </c>
      <c r="B1795" s="138">
        <f>'Tax Sched 23'!F7</f>
        <v>203393</v>
      </c>
      <c r="C1795" s="2" t="s">
        <v>573</v>
      </c>
      <c r="D1795" s="2" t="str">
        <f t="shared" si="27"/>
        <v>Error?</v>
      </c>
    </row>
    <row r="1796" spans="1:4" x14ac:dyDescent="0.2">
      <c r="A1796" s="5">
        <v>1735</v>
      </c>
      <c r="B1796" s="138">
        <f>'Tax Sched 23'!F8</f>
        <v>71583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59822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6214952</v>
      </c>
      <c r="C1807" s="2" t="s">
        <v>573</v>
      </c>
      <c r="D1807" s="2" t="str">
        <f t="shared" si="27"/>
        <v>Error?</v>
      </c>
    </row>
    <row r="1808" spans="1:4" x14ac:dyDescent="0.2">
      <c r="A1808" s="5">
        <v>1747</v>
      </c>
      <c r="B1808" s="138">
        <f>'Tax Sched 23'!E4</f>
        <v>9295650</v>
      </c>
      <c r="D1808" s="2" t="str">
        <f t="shared" si="27"/>
        <v>Error?</v>
      </c>
    </row>
    <row r="1809" spans="1:4" x14ac:dyDescent="0.2">
      <c r="A1809" s="5">
        <v>1748</v>
      </c>
      <c r="B1809" s="138">
        <f>'Tax Sched 23'!E5</f>
        <v>1405074</v>
      </c>
      <c r="D1809" s="2" t="str">
        <f t="shared" si="27"/>
        <v>Error?</v>
      </c>
    </row>
    <row r="1810" spans="1:4" x14ac:dyDescent="0.2">
      <c r="A1810" s="5">
        <v>1749</v>
      </c>
      <c r="B1810" s="138">
        <f>'Tax Sched 23'!E6</f>
        <v>832454</v>
      </c>
      <c r="D1810" s="2" t="str">
        <f t="shared" si="27"/>
        <v>Error?</v>
      </c>
    </row>
    <row r="1811" spans="1:4" x14ac:dyDescent="0.2">
      <c r="A1811" s="5">
        <v>1750</v>
      </c>
      <c r="B1811" s="138">
        <f>'Tax Sched 23'!E7</f>
        <v>405583</v>
      </c>
      <c r="D1811" s="2" t="str">
        <f t="shared" si="27"/>
        <v>Error?</v>
      </c>
    </row>
    <row r="1812" spans="1:4" x14ac:dyDescent="0.2">
      <c r="A1812" s="5">
        <v>1751</v>
      </c>
      <c r="B1812" s="138">
        <f>'Tax Sched 23'!E8</f>
        <v>142473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119000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12379280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10316122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113087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113087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113087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1797401</v>
      </c>
      <c r="D2008" s="2" t="str">
        <f t="shared" si="30"/>
        <v>Error?</v>
      </c>
    </row>
    <row r="2009" spans="1:4" x14ac:dyDescent="0.2">
      <c r="A2009" s="5">
        <v>1948</v>
      </c>
      <c r="B2009" s="138">
        <f>'Cap Outlay Deprec 26'!C8</f>
        <v>21958080</v>
      </c>
      <c r="D2009" s="2" t="str">
        <f t="shared" si="30"/>
        <v>Error?</v>
      </c>
    </row>
    <row r="2010" spans="1:4" x14ac:dyDescent="0.2">
      <c r="A2010" s="5">
        <v>1949</v>
      </c>
      <c r="B2010" s="138">
        <f>'Cap Outlay Deprec 26'!C10</f>
        <v>96220</v>
      </c>
      <c r="D2010" s="2" t="str">
        <f t="shared" si="30"/>
        <v>Error?</v>
      </c>
    </row>
    <row r="2011" spans="1:4" x14ac:dyDescent="0.2">
      <c r="A2011" s="5">
        <v>1950</v>
      </c>
      <c r="B2011" s="138">
        <f>'Cap Outlay Deprec 26'!C12</f>
        <v>5468080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29319781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3488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1797401</v>
      </c>
      <c r="C2026" s="2" t="s">
        <v>573</v>
      </c>
      <c r="D2026" s="2" t="str">
        <f t="shared" si="30"/>
        <v>Error?</v>
      </c>
    </row>
    <row r="2027" spans="1:4" x14ac:dyDescent="0.2">
      <c r="A2027" s="5">
        <v>1966</v>
      </c>
      <c r="B2027" s="138">
        <f>'Cap Outlay Deprec 26'!F8</f>
        <v>21958080</v>
      </c>
      <c r="C2027" s="2" t="s">
        <v>573</v>
      </c>
      <c r="D2027" s="2" t="str">
        <f t="shared" si="30"/>
        <v>Error?</v>
      </c>
    </row>
    <row r="2028" spans="1:4" x14ac:dyDescent="0.2">
      <c r="A2028" s="5">
        <v>1967</v>
      </c>
      <c r="B2028" s="138">
        <f>'Cap Outlay Deprec 26'!F10</f>
        <v>96220</v>
      </c>
      <c r="C2028" s="2" t="s">
        <v>573</v>
      </c>
      <c r="D2028" s="2" t="str">
        <f t="shared" si="30"/>
        <v>Error?</v>
      </c>
    </row>
    <row r="2029" spans="1:4" x14ac:dyDescent="0.2">
      <c r="A2029" s="5">
        <v>1968</v>
      </c>
      <c r="B2029" s="138">
        <f>'Cap Outlay Deprec 26'!F12</f>
        <v>5471568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29323269</v>
      </c>
      <c r="C2031" s="2" t="s">
        <v>573</v>
      </c>
      <c r="D2031" s="2" t="str">
        <f t="shared" si="30"/>
        <v>Error?</v>
      </c>
    </row>
    <row r="2032" spans="1:4" x14ac:dyDescent="0.2">
      <c r="A2032" s="10">
        <v>1971</v>
      </c>
      <c r="D2032" s="2" t="str">
        <f t="shared" si="30"/>
        <v>OK</v>
      </c>
    </row>
    <row r="2033" spans="1:4" x14ac:dyDescent="0.2">
      <c r="A2033" s="5">
        <v>1972</v>
      </c>
      <c r="B2033" s="138">
        <f>'Cap Outlay Deprec 26'!H8</f>
        <v>9606987</v>
      </c>
      <c r="D2033" s="2" t="str">
        <f t="shared" si="30"/>
        <v>Error?</v>
      </c>
    </row>
    <row r="2034" spans="1:4" x14ac:dyDescent="0.2">
      <c r="A2034" s="5">
        <v>1973</v>
      </c>
      <c r="B2034" s="138">
        <f>'Cap Outlay Deprec 26'!H10</f>
        <v>96220</v>
      </c>
      <c r="D2034" s="2" t="str">
        <f t="shared" si="30"/>
        <v>Error?</v>
      </c>
    </row>
    <row r="2035" spans="1:4" x14ac:dyDescent="0.2">
      <c r="A2035" s="5">
        <v>1974</v>
      </c>
      <c r="B2035" s="138">
        <f>'Cap Outlay Deprec 26'!H12</f>
        <v>4927004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14630211</v>
      </c>
      <c r="C2037" s="2" t="s">
        <v>573</v>
      </c>
      <c r="D2037" s="2" t="str">
        <f t="shared" si="30"/>
        <v>Error?</v>
      </c>
    </row>
    <row r="2038" spans="1:4" x14ac:dyDescent="0.2">
      <c r="A2038" s="10">
        <v>1977</v>
      </c>
      <c r="D2038" s="2" t="str">
        <f t="shared" si="30"/>
        <v>OK</v>
      </c>
    </row>
    <row r="2039" spans="1:4" x14ac:dyDescent="0.2">
      <c r="A2039" s="5">
        <v>1978</v>
      </c>
      <c r="B2039" s="138">
        <f>'Cap Outlay Deprec 26'!I8</f>
        <v>669503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154694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824197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10276490</v>
      </c>
      <c r="C2051" s="2" t="s">
        <v>573</v>
      </c>
      <c r="D2051" s="2" t="str">
        <f t="shared" si="31"/>
        <v>Error?</v>
      </c>
    </row>
    <row r="2052" spans="1:4" x14ac:dyDescent="0.2">
      <c r="A2052" s="5">
        <v>1991</v>
      </c>
      <c r="B2052" s="138">
        <f>'Cap Outlay Deprec 26'!K10</f>
        <v>96220</v>
      </c>
      <c r="C2052" s="2" t="s">
        <v>573</v>
      </c>
      <c r="D2052" s="2" t="str">
        <f t="shared" si="31"/>
        <v>Error?</v>
      </c>
    </row>
    <row r="2053" spans="1:4" x14ac:dyDescent="0.2">
      <c r="A2053" s="5">
        <v>1992</v>
      </c>
      <c r="B2053" s="138">
        <f>'Cap Outlay Deprec 26'!K12</f>
        <v>5081698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15454408</v>
      </c>
      <c r="C2055" s="2" t="s">
        <v>573</v>
      </c>
      <c r="D2055" s="2" t="str">
        <f t="shared" si="31"/>
        <v>Error?</v>
      </c>
    </row>
    <row r="2056" spans="1:4" x14ac:dyDescent="0.2">
      <c r="A2056" s="5">
        <v>1995</v>
      </c>
      <c r="B2056" s="138">
        <f>'Cap Outlay Deprec 26'!L5</f>
        <v>1797401</v>
      </c>
      <c r="C2056" s="2" t="s">
        <v>573</v>
      </c>
      <c r="D2056" s="2" t="str">
        <f t="shared" si="31"/>
        <v>Error?</v>
      </c>
    </row>
    <row r="2057" spans="1:4" x14ac:dyDescent="0.2">
      <c r="A2057" s="5">
        <v>1996</v>
      </c>
      <c r="B2057" s="138">
        <f>'Cap Outlay Deprec 26'!L8</f>
        <v>11681590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389870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13868861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864000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9761034</v>
      </c>
      <c r="C2551" s="2" t="s">
        <v>573</v>
      </c>
      <c r="D2551" s="2" t="str">
        <f t="shared" si="38"/>
        <v>Error?</v>
      </c>
    </row>
    <row r="2552" spans="1:4" x14ac:dyDescent="0.2">
      <c r="A2552" s="10">
        <v>2491</v>
      </c>
      <c r="D2552" s="2" t="str">
        <f t="shared" si="38"/>
        <v>OK</v>
      </c>
    </row>
    <row r="2553" spans="1:4" x14ac:dyDescent="0.2">
      <c r="A2553" s="5">
        <v>2492</v>
      </c>
      <c r="B2553" s="138">
        <f>'Acct Summary 7-8'!C6</f>
        <v>646431</v>
      </c>
      <c r="C2553" s="2" t="s">
        <v>573</v>
      </c>
      <c r="D2553" s="2" t="str">
        <f t="shared" si="38"/>
        <v>Error?</v>
      </c>
    </row>
    <row r="2554" spans="1:4" x14ac:dyDescent="0.2">
      <c r="A2554" s="5">
        <v>2493</v>
      </c>
      <c r="B2554" s="138">
        <f>'Acct Summary 7-8'!C7</f>
        <v>354065</v>
      </c>
      <c r="C2554" s="2" t="s">
        <v>573</v>
      </c>
      <c r="D2554" s="2" t="str">
        <f t="shared" si="38"/>
        <v>Error?</v>
      </c>
    </row>
    <row r="2555" spans="1:4" x14ac:dyDescent="0.2">
      <c r="A2555" s="5">
        <v>2494</v>
      </c>
      <c r="B2555" s="138">
        <f>'Acct Summary 7-8'!C8</f>
        <v>10761530</v>
      </c>
      <c r="C2555" s="2" t="s">
        <v>573</v>
      </c>
      <c r="D2555" s="2" t="str">
        <f t="shared" si="38"/>
        <v>Error?</v>
      </c>
    </row>
    <row r="2556" spans="1:4" x14ac:dyDescent="0.2">
      <c r="A2556" s="5">
        <v>2495</v>
      </c>
      <c r="B2556" s="138">
        <f>'Acct Summary 7-8'!C12</f>
        <v>6129168</v>
      </c>
      <c r="C2556" s="2" t="s">
        <v>573</v>
      </c>
      <c r="D2556" s="2" t="str">
        <f t="shared" si="38"/>
        <v>Error?</v>
      </c>
    </row>
    <row r="2557" spans="1:4" x14ac:dyDescent="0.2">
      <c r="A2557" s="5">
        <v>2496</v>
      </c>
      <c r="B2557" s="138">
        <f>'Acct Summary 7-8'!C13</f>
        <v>3368971</v>
      </c>
      <c r="C2557" s="2" t="s">
        <v>573</v>
      </c>
      <c r="D2557" s="2" t="str">
        <f t="shared" si="38"/>
        <v>Error?</v>
      </c>
    </row>
    <row r="2558" spans="1:4" x14ac:dyDescent="0.2">
      <c r="A2558" s="5">
        <v>2497</v>
      </c>
      <c r="B2558" s="138">
        <f>'Acct Summary 7-8'!C14</f>
        <v>1189</v>
      </c>
      <c r="C2558" s="2" t="s">
        <v>573</v>
      </c>
      <c r="D2558" s="2" t="str">
        <f t="shared" si="38"/>
        <v>Error?</v>
      </c>
    </row>
    <row r="2559" spans="1:4" x14ac:dyDescent="0.2">
      <c r="A2559" s="5">
        <v>2498</v>
      </c>
      <c r="B2559" s="138">
        <f>'Acct Summary 7-8'!C15</f>
        <v>864000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10363328</v>
      </c>
      <c r="C2561" s="2" t="s">
        <v>573</v>
      </c>
      <c r="D2561" s="2" t="str">
        <f t="shared" si="39"/>
        <v>Error?</v>
      </c>
    </row>
    <row r="2562" spans="1:4" x14ac:dyDescent="0.2">
      <c r="A2562" s="5">
        <v>2501</v>
      </c>
      <c r="B2562" s="138">
        <f>'Acct Summary 7-8'!C20</f>
        <v>398202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1373475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1373475</v>
      </c>
      <c r="C2568" s="2" t="s">
        <v>573</v>
      </c>
      <c r="D2568" s="2" t="str">
        <f t="shared" si="39"/>
        <v>Error?</v>
      </c>
    </row>
    <row r="2569" spans="1:4" x14ac:dyDescent="0.2">
      <c r="A2569" s="5">
        <v>2508</v>
      </c>
      <c r="B2569" s="138">
        <f>'Acct Summary 7-8'!D13</f>
        <v>1035315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1035315</v>
      </c>
      <c r="C2573" s="2" t="s">
        <v>573</v>
      </c>
      <c r="D2573" s="2" t="str">
        <f t="shared" si="39"/>
        <v>Error?</v>
      </c>
    </row>
    <row r="2574" spans="1:4" x14ac:dyDescent="0.2">
      <c r="A2574" s="5">
        <v>2513</v>
      </c>
      <c r="B2574" s="138">
        <f>'Acct Summary 7-8'!D20</f>
        <v>338160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408862</v>
      </c>
      <c r="C2591" s="2" t="s">
        <v>573</v>
      </c>
      <c r="D2591" s="2" t="str">
        <f t="shared" si="39"/>
        <v>Error?</v>
      </c>
    </row>
    <row r="2592" spans="1:4" x14ac:dyDescent="0.2">
      <c r="A2592" s="10">
        <v>2531</v>
      </c>
      <c r="D2592" s="2" t="str">
        <f t="shared" si="39"/>
        <v>OK</v>
      </c>
    </row>
    <row r="2593" spans="1:4" x14ac:dyDescent="0.2">
      <c r="A2593" s="5">
        <v>2532</v>
      </c>
      <c r="B2593" s="138">
        <f>'Acct Summary 7-8'!F6</f>
        <v>68902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477764</v>
      </c>
      <c r="C2595" s="2" t="s">
        <v>573</v>
      </c>
      <c r="D2595" s="2" t="str">
        <f t="shared" si="39"/>
        <v>Error?</v>
      </c>
    </row>
    <row r="2596" spans="1:4" x14ac:dyDescent="0.2">
      <c r="A2596" s="5">
        <v>2535</v>
      </c>
      <c r="B2596" s="138">
        <f>'Acct Summary 7-8'!F13</f>
        <v>489655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489655</v>
      </c>
      <c r="C2600" s="2" t="s">
        <v>573</v>
      </c>
      <c r="D2600" s="2" t="str">
        <f t="shared" si="39"/>
        <v>Error?</v>
      </c>
    </row>
    <row r="2601" spans="1:4" x14ac:dyDescent="0.2">
      <c r="A2601" s="5">
        <v>2540</v>
      </c>
      <c r="B2601" s="138">
        <f>'Acct Summary 7-8'!F20</f>
        <v>-11891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320888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320888</v>
      </c>
      <c r="C2606" s="2" t="s">
        <v>573</v>
      </c>
      <c r="D2606" s="2" t="str">
        <f t="shared" si="39"/>
        <v>Error?</v>
      </c>
    </row>
    <row r="2607" spans="1:4" x14ac:dyDescent="0.2">
      <c r="A2607" s="5">
        <v>2546</v>
      </c>
      <c r="B2607" s="138">
        <f>'Acct Summary 7-8'!G12</f>
        <v>129270</v>
      </c>
      <c r="C2607" s="2" t="s">
        <v>573</v>
      </c>
      <c r="D2607" s="2" t="str">
        <f t="shared" si="39"/>
        <v>Error?</v>
      </c>
    </row>
    <row r="2608" spans="1:4" x14ac:dyDescent="0.2">
      <c r="A2608" s="5">
        <v>2547</v>
      </c>
      <c r="B2608" s="138">
        <f>'Acct Summary 7-8'!G13</f>
        <v>186480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315750</v>
      </c>
      <c r="C2612" s="2" t="s">
        <v>573</v>
      </c>
      <c r="D2612" s="2" t="str">
        <f t="shared" si="39"/>
        <v>Error?</v>
      </c>
    </row>
    <row r="2613" spans="1:4" x14ac:dyDescent="0.2">
      <c r="A2613" s="5">
        <v>2552</v>
      </c>
      <c r="B2613" s="138">
        <f>'Acct Summary 7-8'!G20</f>
        <v>5138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814335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814335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877463</v>
      </c>
      <c r="C2634" s="2" t="s">
        <v>573</v>
      </c>
      <c r="D2634" s="2" t="str">
        <f t="shared" si="40"/>
        <v>Error?</v>
      </c>
    </row>
    <row r="2635" spans="1:4" x14ac:dyDescent="0.2">
      <c r="A2635" s="5">
        <v>2574</v>
      </c>
      <c r="B2635" s="138">
        <f>'Acct Summary 7-8'!E17</f>
        <v>877463</v>
      </c>
      <c r="C2635" s="2" t="s">
        <v>573</v>
      </c>
      <c r="D2635" s="2" t="str">
        <f t="shared" si="40"/>
        <v>Error?</v>
      </c>
    </row>
    <row r="2636" spans="1:4" x14ac:dyDescent="0.2">
      <c r="A2636" s="5">
        <v>2575</v>
      </c>
      <c r="B2636" s="138">
        <f>'Acct Summary 7-8'!E20</f>
        <v>-63128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8028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8028</v>
      </c>
      <c r="C2658" s="2" t="s">
        <v>573</v>
      </c>
      <c r="D2658" s="2" t="str">
        <f t="shared" si="40"/>
        <v>Error?</v>
      </c>
    </row>
    <row r="2659" spans="1:4" x14ac:dyDescent="0.2">
      <c r="A2659" s="5">
        <v>2598</v>
      </c>
      <c r="B2659" s="138">
        <f>'Acct Summary 7-8'!H13</f>
        <v>13700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13700</v>
      </c>
      <c r="C2661" s="2" t="s">
        <v>573</v>
      </c>
      <c r="D2661" s="2" t="str">
        <f t="shared" si="40"/>
        <v>Error?</v>
      </c>
    </row>
    <row r="2662" spans="1:4" x14ac:dyDescent="0.2">
      <c r="A2662" s="5">
        <v>2601</v>
      </c>
      <c r="B2662" s="138">
        <f>'Acct Summary 7-8'!H20</f>
        <v>-5672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1075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1075</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3042984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3042984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27189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3042984</v>
      </c>
      <c r="D2912" s="2" t="str">
        <f t="shared" si="44"/>
        <v>Error?</v>
      </c>
    </row>
    <row r="2913" spans="1:4" x14ac:dyDescent="0.2">
      <c r="A2913" s="5">
        <v>2852</v>
      </c>
      <c r="B2913" s="138">
        <f>'Assets-Liab 5-6'!I41</f>
        <v>3042984</v>
      </c>
      <c r="C2913" s="2" t="s">
        <v>573</v>
      </c>
      <c r="D2913" s="2" t="str">
        <f t="shared" si="44"/>
        <v>Error?</v>
      </c>
    </row>
    <row r="2914" spans="1:4" x14ac:dyDescent="0.2">
      <c r="A2914" s="5">
        <v>2853</v>
      </c>
      <c r="B2914" s="138">
        <f>'Assets-Liab 5-6'!L33</f>
        <v>27189</v>
      </c>
      <c r="D2914" s="2" t="str">
        <f t="shared" si="44"/>
        <v>Error?</v>
      </c>
    </row>
    <row r="2915" spans="1:4" x14ac:dyDescent="0.2">
      <c r="A2915" s="10">
        <v>2854</v>
      </c>
      <c r="D2915" s="2" t="str">
        <f t="shared" si="44"/>
        <v>OK</v>
      </c>
    </row>
    <row r="2916" spans="1:4" x14ac:dyDescent="0.2">
      <c r="A2916" s="5">
        <v>2855</v>
      </c>
      <c r="B2916" s="138">
        <f>'Assets-Liab 5-6'!L34</f>
        <v>27189</v>
      </c>
      <c r="C2916" s="2" t="s">
        <v>573</v>
      </c>
      <c r="D2916" s="2" t="str">
        <f t="shared" si="44"/>
        <v>Error?</v>
      </c>
    </row>
    <row r="2917" spans="1:4" x14ac:dyDescent="0.2">
      <c r="A2917" s="5">
        <v>2856</v>
      </c>
      <c r="B2917" s="138">
        <f>'Assets-Liab 5-6'!L41</f>
        <v>27189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218002</v>
      </c>
      <c r="D3055" s="2" t="str">
        <f t="shared" si="46"/>
        <v>Error?</v>
      </c>
    </row>
    <row r="3056" spans="1:4" x14ac:dyDescent="0.2">
      <c r="A3056" s="5">
        <v>2995</v>
      </c>
      <c r="B3056" s="138">
        <f>'Expenditures 15-22'!D10</f>
        <v>23894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243162</v>
      </c>
      <c r="C3062" s="2" t="s">
        <v>573</v>
      </c>
      <c r="D3062" s="2" t="str">
        <f t="shared" si="46"/>
        <v>Error?</v>
      </c>
    </row>
    <row r="3063" spans="1:4" x14ac:dyDescent="0.2">
      <c r="A3063" s="10">
        <v>3002</v>
      </c>
      <c r="D3063" s="2" t="str">
        <f t="shared" si="46"/>
        <v>OK</v>
      </c>
    </row>
    <row r="3064" spans="1:4" x14ac:dyDescent="0.2">
      <c r="A3064" s="5">
        <v>3003</v>
      </c>
      <c r="B3064" s="138">
        <f>'Expenditures 15-22'!D219</f>
        <v>9410</v>
      </c>
      <c r="D3064" s="2" t="str">
        <f t="shared" si="46"/>
        <v>Error?</v>
      </c>
    </row>
    <row r="3065" spans="1:4" x14ac:dyDescent="0.2">
      <c r="A3065" s="5">
        <v>3004</v>
      </c>
      <c r="B3065" s="138">
        <f>'Expenditures 15-22'!K219</f>
        <v>9410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56650</v>
      </c>
      <c r="C3225" s="2" t="s">
        <v>573</v>
      </c>
      <c r="D3225" s="2" t="str">
        <f t="shared" si="49"/>
        <v>Error?</v>
      </c>
    </row>
    <row r="3226" spans="1:4" x14ac:dyDescent="0.2">
      <c r="A3226" s="5">
        <v>3165</v>
      </c>
      <c r="B3226" s="138">
        <f>'Acct Summary 7-8'!I8</f>
        <v>56650</v>
      </c>
      <c r="C3226" s="2" t="s">
        <v>573</v>
      </c>
      <c r="D3226" s="2" t="str">
        <f t="shared" si="49"/>
        <v>Error?</v>
      </c>
    </row>
    <row r="3227" spans="1:4" x14ac:dyDescent="0.2">
      <c r="A3227" s="5">
        <v>3166</v>
      </c>
      <c r="B3227" s="138">
        <f>'Acct Summary 7-8'!I20</f>
        <v>56650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62700</v>
      </c>
      <c r="C3231" s="2" t="s">
        <v>573</v>
      </c>
      <c r="D3231" s="2" t="str">
        <f t="shared" si="49"/>
        <v>Error?</v>
      </c>
    </row>
    <row r="3232" spans="1:4" x14ac:dyDescent="0.2">
      <c r="A3232" s="5">
        <v>3171</v>
      </c>
      <c r="B3232" s="138">
        <f>'Acct Summary 7-8'!C77</f>
        <v>-62700</v>
      </c>
      <c r="C3232" s="2" t="s">
        <v>573</v>
      </c>
      <c r="D3232" s="2" t="str">
        <f t="shared" si="49"/>
        <v>Error?</v>
      </c>
    </row>
    <row r="3233" spans="1:4" x14ac:dyDescent="0.2">
      <c r="A3233" s="5">
        <v>3172</v>
      </c>
      <c r="B3233" s="138">
        <f>'Acct Summary 7-8'!C78</f>
        <v>335502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573</v>
      </c>
      <c r="D3237" s="2" t="str">
        <f t="shared" si="49"/>
        <v>Error?</v>
      </c>
    </row>
    <row r="3238" spans="1:4" x14ac:dyDescent="0.2">
      <c r="A3238" s="5">
        <v>3177</v>
      </c>
      <c r="B3238" s="138">
        <f>'Acct Summary 7-8'!D77</f>
        <v>-500000</v>
      </c>
      <c r="C3238" s="2" t="s">
        <v>573</v>
      </c>
      <c r="D3238" s="2" t="str">
        <f t="shared" si="49"/>
        <v>Error?</v>
      </c>
    </row>
    <row r="3239" spans="1:4" x14ac:dyDescent="0.2">
      <c r="A3239" s="5">
        <v>3178</v>
      </c>
      <c r="B3239" s="138">
        <f>'Acct Summary 7-8'!D78</f>
        <v>-161840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-11891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62700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62700</v>
      </c>
      <c r="C3277" s="2" t="s">
        <v>573</v>
      </c>
      <c r="D3277" s="2" t="str">
        <f t="shared" si="50"/>
        <v>Error?</v>
      </c>
    </row>
    <row r="3278" spans="1:4" x14ac:dyDescent="0.2">
      <c r="A3278" s="5">
        <v>3217</v>
      </c>
      <c r="B3278" s="138">
        <f>'Acct Summary 7-8'!E78</f>
        <v>-428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500000</v>
      </c>
      <c r="C3299" s="2" t="s">
        <v>573</v>
      </c>
      <c r="D3299" s="2" t="str">
        <f t="shared" si="50"/>
        <v>Error?</v>
      </c>
    </row>
    <row r="3300" spans="1:4" x14ac:dyDescent="0.2">
      <c r="A3300" s="5">
        <v>3239</v>
      </c>
      <c r="B3300" s="138">
        <f>'Acct Summary 7-8'!H78</f>
        <v>494328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56650</v>
      </c>
      <c r="C3320" s="2" t="s">
        <v>573</v>
      </c>
      <c r="D3320" s="2" t="str">
        <f t="shared" si="50"/>
        <v>Error?</v>
      </c>
    </row>
    <row r="3321" spans="1:4" x14ac:dyDescent="0.2">
      <c r="A3321" s="5">
        <v>3260</v>
      </c>
      <c r="B3321" s="138">
        <f>'Acct Summary 7-8'!I79</f>
        <v>2986334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3042984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1019883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259492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1282865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59237</v>
      </c>
      <c r="D3387" s="2" t="str">
        <f t="shared" si="51"/>
        <v>Error?</v>
      </c>
    </row>
    <row r="3388" spans="1:4" x14ac:dyDescent="0.2">
      <c r="A3388" s="5">
        <v>3327</v>
      </c>
      <c r="B3388" s="138">
        <f>'Expenditures 15-22'!D217</f>
        <v>57633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59237</v>
      </c>
      <c r="C3390" s="2" t="s">
        <v>573</v>
      </c>
      <c r="D3390" s="2" t="str">
        <f t="shared" si="51"/>
        <v>Error?</v>
      </c>
    </row>
    <row r="3391" spans="1:4" x14ac:dyDescent="0.2">
      <c r="A3391" s="5">
        <v>3330</v>
      </c>
      <c r="B3391" s="138">
        <f>'Expenditures 15-22'!K217</f>
        <v>57633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438388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22310</v>
      </c>
      <c r="D3417" s="2" t="str">
        <f t="shared" si="52"/>
        <v>Error?</v>
      </c>
    </row>
    <row r="3418" spans="1:4" x14ac:dyDescent="0.2">
      <c r="A3418" s="10">
        <v>3357</v>
      </c>
      <c r="D3418" s="2" t="str">
        <f t="shared" si="52"/>
        <v>OK</v>
      </c>
    </row>
    <row r="3419" spans="1:4" x14ac:dyDescent="0.2">
      <c r="A3419" s="5">
        <v>3358</v>
      </c>
      <c r="B3419" s="138">
        <f>'Assets-Liab 5-6'!F4</f>
        <v>142887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43732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494328</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27189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170808</v>
      </c>
      <c r="C3446" s="2" t="s">
        <v>573</v>
      </c>
      <c r="D3446" s="2" t="str">
        <f t="shared" si="52"/>
        <v>Error?</v>
      </c>
    </row>
    <row r="3447" spans="1:4" x14ac:dyDescent="0.2">
      <c r="A3447" s="5">
        <v>3386</v>
      </c>
      <c r="B3447" s="138">
        <f>'Tax Sched 23'!D16</f>
        <v>81425</v>
      </c>
      <c r="C3447" s="2" t="s">
        <v>573</v>
      </c>
      <c r="D3447" s="2" t="str">
        <f t="shared" si="52"/>
        <v>Error?</v>
      </c>
    </row>
    <row r="3448" spans="1:4" x14ac:dyDescent="0.2">
      <c r="A3448" s="5">
        <v>3387</v>
      </c>
      <c r="B3448" s="138">
        <f>'Tax Sched 23'!C16</f>
        <v>89383</v>
      </c>
      <c r="D3448" s="2" t="str">
        <f t="shared" si="52"/>
        <v>Error?</v>
      </c>
    </row>
    <row r="3449" spans="1:4" x14ac:dyDescent="0.2">
      <c r="A3449" s="5">
        <v>3388</v>
      </c>
      <c r="B3449" s="138">
        <f>'Tax Sched 23'!F16</f>
        <v>89663</v>
      </c>
      <c r="C3449" s="2" t="s">
        <v>573</v>
      </c>
      <c r="D3449" s="2" t="str">
        <f t="shared" si="52"/>
        <v>Error?</v>
      </c>
    </row>
    <row r="3450" spans="1:4" x14ac:dyDescent="0.2">
      <c r="A3450" s="5">
        <v>3389</v>
      </c>
      <c r="B3450" s="138">
        <f>'Tax Sched 23'!E16</f>
        <v>179046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10314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3977922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14739452</v>
      </c>
      <c r="C4122" s="2" t="s">
        <v>573</v>
      </c>
      <c r="D4122" s="2" t="str">
        <f t="shared" si="63"/>
        <v>Error?</v>
      </c>
    </row>
    <row r="4123" spans="1:4" x14ac:dyDescent="0.2">
      <c r="A4123" s="5">
        <v>4062</v>
      </c>
      <c r="B4123" s="138">
        <f>'Acct Summary 7-8'!D10</f>
        <v>1373475</v>
      </c>
      <c r="C4123" s="2" t="s">
        <v>573</v>
      </c>
      <c r="D4123" s="2" t="str">
        <f t="shared" si="63"/>
        <v>Error?</v>
      </c>
    </row>
    <row r="4124" spans="1:4" x14ac:dyDescent="0.2">
      <c r="A4124" s="5">
        <v>4063</v>
      </c>
      <c r="B4124" s="138">
        <f>'Acct Summary 7-8'!E10</f>
        <v>814335</v>
      </c>
      <c r="C4124" s="2" t="s">
        <v>573</v>
      </c>
      <c r="D4124" s="2" t="str">
        <f t="shared" si="63"/>
        <v>Error?</v>
      </c>
    </row>
    <row r="4125" spans="1:4" x14ac:dyDescent="0.2">
      <c r="A4125" s="5">
        <v>4064</v>
      </c>
      <c r="B4125" s="138">
        <f>'Acct Summary 7-8'!F10</f>
        <v>477764</v>
      </c>
      <c r="C4125" s="2" t="s">
        <v>573</v>
      </c>
      <c r="D4125" s="2" t="str">
        <f t="shared" si="63"/>
        <v>Error?</v>
      </c>
    </row>
    <row r="4126" spans="1:4" x14ac:dyDescent="0.2">
      <c r="A4126" s="5">
        <v>4065</v>
      </c>
      <c r="B4126" s="138">
        <f>'Acct Summary 7-8'!G10</f>
        <v>320888</v>
      </c>
      <c r="C4126" s="2" t="s">
        <v>573</v>
      </c>
      <c r="D4126" s="2" t="str">
        <f t="shared" si="63"/>
        <v>Error?</v>
      </c>
    </row>
    <row r="4127" spans="1:4" x14ac:dyDescent="0.2">
      <c r="A4127" s="5">
        <v>4066</v>
      </c>
      <c r="B4127" s="138">
        <f>'Acct Summary 7-8'!H10</f>
        <v>8028</v>
      </c>
      <c r="C4127" s="2" t="s">
        <v>573</v>
      </c>
      <c r="D4127" s="2" t="str">
        <f t="shared" si="63"/>
        <v>Error?</v>
      </c>
    </row>
    <row r="4128" spans="1:4" x14ac:dyDescent="0.2">
      <c r="A4128" s="5">
        <v>4067</v>
      </c>
      <c r="B4128" s="138">
        <f>'Acct Summary 7-8'!I10</f>
        <v>56650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3977922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14341250</v>
      </c>
      <c r="C4136" s="2" t="s">
        <v>573</v>
      </c>
      <c r="D4136" s="2" t="str">
        <f t="shared" si="63"/>
        <v>Error?</v>
      </c>
    </row>
    <row r="4137" spans="1:4" x14ac:dyDescent="0.2">
      <c r="A4137" s="5">
        <v>4076</v>
      </c>
      <c r="B4137" s="138">
        <f>'Acct Summary 7-8'!D19</f>
        <v>1035315</v>
      </c>
      <c r="C4137" s="2" t="s">
        <v>573</v>
      </c>
      <c r="D4137" s="2" t="str">
        <f t="shared" si="63"/>
        <v>Error?</v>
      </c>
    </row>
    <row r="4138" spans="1:4" x14ac:dyDescent="0.2">
      <c r="A4138" s="5">
        <v>4077</v>
      </c>
      <c r="B4138" s="138">
        <f>'Acct Summary 7-8'!E19</f>
        <v>877463</v>
      </c>
      <c r="C4138" s="2" t="s">
        <v>573</v>
      </c>
      <c r="D4138" s="2" t="str">
        <f t="shared" si="63"/>
        <v>Error?</v>
      </c>
    </row>
    <row r="4139" spans="1:4" x14ac:dyDescent="0.2">
      <c r="A4139" s="5">
        <v>4078</v>
      </c>
      <c r="B4139" s="138">
        <f>'Acct Summary 7-8'!F19</f>
        <v>489655</v>
      </c>
      <c r="C4139" s="2" t="s">
        <v>573</v>
      </c>
      <c r="D4139" s="2" t="str">
        <f t="shared" si="63"/>
        <v>Error?</v>
      </c>
    </row>
    <row r="4140" spans="1:4" x14ac:dyDescent="0.2">
      <c r="A4140" s="5">
        <v>4079</v>
      </c>
      <c r="B4140" s="138">
        <f>'Acct Summary 7-8'!G19</f>
        <v>315750</v>
      </c>
      <c r="C4140" s="2" t="s">
        <v>573</v>
      </c>
      <c r="D4140" s="2" t="str">
        <f t="shared" si="63"/>
        <v>Error?</v>
      </c>
    </row>
    <row r="4141" spans="1:4" x14ac:dyDescent="0.2">
      <c r="A4141" s="5">
        <v>4080</v>
      </c>
      <c r="B4141" s="138">
        <f>'Acct Summary 7-8'!H19</f>
        <v>13700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9868322</v>
      </c>
      <c r="C4171" s="2" t="s">
        <v>573</v>
      </c>
      <c r="D4171" s="2" t="str">
        <f t="shared" si="64"/>
        <v>Error?</v>
      </c>
    </row>
    <row r="4172" spans="1:4" x14ac:dyDescent="0.2">
      <c r="A4172" s="5">
        <v>4111</v>
      </c>
      <c r="B4172" s="138">
        <f>'Short-Term Long-Term Debt 24'!J49</f>
        <v>9418066</v>
      </c>
      <c r="C4172" s="2" t="s">
        <v>573</v>
      </c>
      <c r="D4172" s="2" t="str">
        <f t="shared" si="64"/>
        <v>Error?</v>
      </c>
    </row>
    <row r="4173" spans="1:4" x14ac:dyDescent="0.2">
      <c r="A4173" s="5">
        <v>4112</v>
      </c>
      <c r="B4173" s="138">
        <f>'Short-Term Long-Term Debt 24'!H49</f>
        <v>447800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1702.8999999999999</v>
      </c>
      <c r="C4265" s="2" t="s">
        <v>573</v>
      </c>
      <c r="D4265" s="2" t="str">
        <f t="shared" si="65"/>
        <v>Error?</v>
      </c>
      <c r="E4265" s="128"/>
    </row>
    <row r="4266" spans="1:5" x14ac:dyDescent="0.2">
      <c r="A4266" s="12">
        <v>4205</v>
      </c>
      <c r="B4266" s="138">
        <f>('FP Info 3'!F10)*100000</f>
        <v>257.39999999999998</v>
      </c>
      <c r="C4266" s="2" t="s">
        <v>573</v>
      </c>
      <c r="D4266" s="2" t="str">
        <f t="shared" si="65"/>
        <v>Error?</v>
      </c>
      <c r="E4266" s="128"/>
    </row>
    <row r="4267" spans="1:5" x14ac:dyDescent="0.2">
      <c r="A4267" s="12">
        <v>4206</v>
      </c>
      <c r="B4267" s="138">
        <f>('FP Info 3'!H10)*100000</f>
        <v>74.3</v>
      </c>
      <c r="C4267" s="2" t="s">
        <v>573</v>
      </c>
      <c r="D4267" s="2" t="str">
        <f t="shared" si="65"/>
        <v>Error?</v>
      </c>
      <c r="E4267" s="128"/>
    </row>
    <row r="4268" spans="1:5" x14ac:dyDescent="0.2">
      <c r="A4268" s="12">
        <v>4207</v>
      </c>
      <c r="B4268" s="138">
        <f>('FP Info 3'!J10)*100000</f>
        <v>2035</v>
      </c>
      <c r="C4268" s="2" t="s">
        <v>573</v>
      </c>
      <c r="D4268" s="2" t="str">
        <f t="shared" si="65"/>
        <v>Error?</v>
      </c>
    </row>
    <row r="4269" spans="1:5" x14ac:dyDescent="0.2">
      <c r="A4269" s="12">
        <v>4208</v>
      </c>
      <c r="B4269" s="138">
        <f>'FP Info 3'!J16</f>
        <v>15820496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5565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26584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35762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545871748</v>
      </c>
      <c r="D4995" s="2" t="str">
        <f t="shared" si="77"/>
        <v>Error?</v>
      </c>
    </row>
    <row r="4996" spans="1:4" x14ac:dyDescent="0.2">
      <c r="A4996" s="12">
        <v>4935</v>
      </c>
      <c r="B4996" s="138">
        <f>'FP Info 3'!H31</f>
        <v>37665150.612000003</v>
      </c>
      <c r="D4996" s="2" t="str">
        <f t="shared" si="77"/>
        <v>Error?</v>
      </c>
    </row>
    <row r="4997" spans="1:4" x14ac:dyDescent="0.2">
      <c r="A4997" s="12">
        <v>4936</v>
      </c>
      <c r="B4997" s="138">
        <f>'FP Info 3'!H37</f>
        <v>9868322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8841537</v>
      </c>
      <c r="D5061" s="2" t="str">
        <f t="shared" si="78"/>
        <v>Error?</v>
      </c>
    </row>
    <row r="5062" spans="1:4" x14ac:dyDescent="0.2">
      <c r="A5062" s="10">
        <v>5001</v>
      </c>
      <c r="D5062" s="2" t="str">
        <f t="shared" si="78"/>
        <v>OK</v>
      </c>
    </row>
    <row r="5063" spans="1:4" x14ac:dyDescent="0.2">
      <c r="A5063" s="5">
        <v>5002</v>
      </c>
      <c r="B5063" s="138">
        <f>'Revenues 9-14'!C7</f>
        <v>113087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8954624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98458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98458</v>
      </c>
      <c r="C5071" s="2" t="s">
        <v>573</v>
      </c>
      <c r="D5071" s="2" t="str">
        <f t="shared" si="78"/>
        <v>Error?</v>
      </c>
    </row>
    <row r="5072" spans="1:4" x14ac:dyDescent="0.2">
      <c r="A5072" s="5">
        <v>5011</v>
      </c>
      <c r="B5072" s="138">
        <f>'Revenues 9-14'!C20</f>
        <v>39259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5063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45147</v>
      </c>
      <c r="C5087" s="2" t="s">
        <v>573</v>
      </c>
      <c r="D5087" s="2" t="str">
        <f t="shared" si="78"/>
        <v>Error?</v>
      </c>
    </row>
    <row r="5088" spans="1:4" x14ac:dyDescent="0.2">
      <c r="A5088" s="5">
        <v>5027</v>
      </c>
      <c r="B5088" s="138">
        <f>'Revenues 9-14'!C65</f>
        <v>174180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174180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13425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178186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7375</v>
      </c>
      <c r="D5101" s="2" t="str">
        <f t="shared" si="78"/>
        <v>Error?</v>
      </c>
    </row>
    <row r="5102" spans="1:4" x14ac:dyDescent="0.2">
      <c r="A5102" s="5">
        <v>5041</v>
      </c>
      <c r="B5102" s="138">
        <f>'Revenues 9-14'!C82</f>
        <v>185561</v>
      </c>
      <c r="C5102" s="2" t="s">
        <v>573</v>
      </c>
      <c r="D5102" s="2" t="str">
        <f t="shared" si="78"/>
        <v>Error?</v>
      </c>
    </row>
    <row r="5103" spans="1:4" x14ac:dyDescent="0.2">
      <c r="A5103" s="5">
        <v>5042</v>
      </c>
      <c r="B5103" s="138">
        <f>'Revenues 9-14'!C84</f>
        <v>855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855</v>
      </c>
      <c r="C5112" s="2" t="s">
        <v>573</v>
      </c>
      <c r="D5112" s="2" t="str">
        <f t="shared" si="78"/>
        <v>Error?</v>
      </c>
    </row>
    <row r="5113" spans="1:4" x14ac:dyDescent="0.2">
      <c r="A5113" s="5">
        <v>5052</v>
      </c>
      <c r="B5113" s="138">
        <f>'Revenues 9-14'!C95</f>
        <v>30000</v>
      </c>
      <c r="D5113" s="2" t="str">
        <f t="shared" si="78"/>
        <v>Error?</v>
      </c>
    </row>
    <row r="5114" spans="1:4" x14ac:dyDescent="0.2">
      <c r="A5114" s="5">
        <v>5053</v>
      </c>
      <c r="B5114" s="138">
        <f>'Revenues 9-14'!C96</f>
        <v>102621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90206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65957</v>
      </c>
      <c r="D5119" s="2" t="str">
        <f t="shared" ref="D5119:D5182" si="79">IF(ISBLANK(B5119),"OK",IF(A5119-B5119=0,"OK","Error?"))</f>
        <v>Error?</v>
      </c>
    </row>
    <row r="5120" spans="1:4" x14ac:dyDescent="0.2">
      <c r="A5120" s="5">
        <v>5059</v>
      </c>
      <c r="B5120" s="138">
        <f>'Revenues 9-14'!C108</f>
        <v>288784</v>
      </c>
      <c r="C5120" s="2" t="s">
        <v>573</v>
      </c>
      <c r="D5120" s="2" t="str">
        <f t="shared" si="79"/>
        <v>Error?</v>
      </c>
    </row>
    <row r="5121" spans="1:4" x14ac:dyDescent="0.2">
      <c r="A5121" s="5">
        <v>5060</v>
      </c>
      <c r="B5121" s="138">
        <f>'Revenues 9-14'!C109</f>
        <v>9761034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622068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622068</v>
      </c>
      <c r="C5132" s="2" t="s">
        <v>573</v>
      </c>
      <c r="D5132" s="2" t="str">
        <f t="shared" si="79"/>
        <v>Error?</v>
      </c>
    </row>
    <row r="5133" spans="1:4" x14ac:dyDescent="0.2">
      <c r="A5133" s="5">
        <v>5072</v>
      </c>
      <c r="B5133" s="138">
        <f>'Revenues 9-14'!C125</f>
        <v>23969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23969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24363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646431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10314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10314</v>
      </c>
      <c r="C5246" s="2" t="s">
        <v>573</v>
      </c>
      <c r="D5246" s="2" t="str">
        <f t="shared" si="80"/>
        <v>Error?</v>
      </c>
    </row>
    <row r="5247" spans="1:4" x14ac:dyDescent="0.2">
      <c r="A5247" s="5">
        <v>5186</v>
      </c>
      <c r="B5247" s="138">
        <f>'Revenues 9-14'!C200</f>
        <v>39689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39689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8867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211291</v>
      </c>
      <c r="D5278" s="2" t="str">
        <f t="shared" si="81"/>
        <v>Error?</v>
      </c>
    </row>
    <row r="5279" spans="1:4" x14ac:dyDescent="0.2">
      <c r="A5279" s="5">
        <v>5218</v>
      </c>
      <c r="B5279" s="138">
        <f>'Revenues 9-14'!C214</f>
        <v>15993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236151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354065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354065</v>
      </c>
      <c r="C5326" s="2" t="s">
        <v>573</v>
      </c>
      <c r="D5326" s="2" t="str">
        <f t="shared" si="82"/>
        <v>Error?</v>
      </c>
    </row>
    <row r="5327" spans="1:5" x14ac:dyDescent="0.2">
      <c r="A5327" s="5">
        <v>5266</v>
      </c>
      <c r="B5327" s="138">
        <f>'Revenues 9-14'!C268</f>
        <v>10761530</v>
      </c>
      <c r="C5327" s="2" t="s">
        <v>573</v>
      </c>
      <c r="D5327" s="2" t="str">
        <f t="shared" si="82"/>
        <v>Error?</v>
      </c>
    </row>
    <row r="5328" spans="1:5" x14ac:dyDescent="0.2">
      <c r="A5328" s="5">
        <v>5267</v>
      </c>
      <c r="B5328" s="138">
        <f>'Revenues 9-14'!D5</f>
        <v>1340941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1340941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29333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29333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3201</v>
      </c>
      <c r="D5354" s="2" t="str">
        <f t="shared" si="82"/>
        <v>Error?</v>
      </c>
    </row>
    <row r="5355" spans="1:4" x14ac:dyDescent="0.2">
      <c r="A5355" s="5">
        <v>5294</v>
      </c>
      <c r="B5355" s="138">
        <f>'Revenues 9-14'!D108</f>
        <v>3201</v>
      </c>
      <c r="C5355" s="2" t="s">
        <v>573</v>
      </c>
      <c r="D5355" s="2" t="str">
        <f t="shared" si="82"/>
        <v>Error?</v>
      </c>
    </row>
    <row r="5356" spans="1:4" x14ac:dyDescent="0.2">
      <c r="A5356" s="5">
        <v>5295</v>
      </c>
      <c r="B5356" s="138">
        <f>'Revenues 9-14'!D109</f>
        <v>1373475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1373475</v>
      </c>
      <c r="C5508" s="2" t="s">
        <v>573</v>
      </c>
      <c r="D5508" s="2" t="str">
        <f t="shared" si="85"/>
        <v>Error?</v>
      </c>
    </row>
    <row r="5509" spans="1:4" x14ac:dyDescent="0.2">
      <c r="A5509" s="5">
        <v>5448</v>
      </c>
      <c r="B5509" s="138">
        <f>'Revenues 9-14'!E5</f>
        <v>796658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796658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12000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12000</v>
      </c>
      <c r="C5518" s="2" t="s">
        <v>573</v>
      </c>
      <c r="D5518" s="2" t="str">
        <f t="shared" si="85"/>
        <v>Error?</v>
      </c>
    </row>
    <row r="5519" spans="1:4" x14ac:dyDescent="0.2">
      <c r="A5519" s="5">
        <v>5458</v>
      </c>
      <c r="B5519" s="138">
        <f>'Revenues 9-14'!E65</f>
        <v>5677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5677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814335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814335</v>
      </c>
      <c r="C5552" s="2" t="s">
        <v>573</v>
      </c>
      <c r="D5552" s="2" t="str">
        <f t="shared" si="85"/>
        <v>Error?</v>
      </c>
    </row>
    <row r="5553" spans="1:4" x14ac:dyDescent="0.2">
      <c r="A5553" s="5">
        <v>5492</v>
      </c>
      <c r="B5553" s="138">
        <f>'Revenues 9-14'!F5</f>
        <v>381324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381324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16739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479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17218</v>
      </c>
      <c r="C5579" s="2" t="s">
        <v>573</v>
      </c>
      <c r="D5579" s="2" t="str">
        <f t="shared" si="86"/>
        <v>Error?</v>
      </c>
    </row>
    <row r="5580" spans="1:4" x14ac:dyDescent="0.2">
      <c r="A5580" s="5">
        <v>5519</v>
      </c>
      <c r="B5580" s="138">
        <f>'Revenues 9-14'!F65</f>
        <v>10320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10320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408862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7197</v>
      </c>
      <c r="D5615" s="2" t="str">
        <f t="shared" si="86"/>
        <v>Error?</v>
      </c>
    </row>
    <row r="5616" spans="1:4" x14ac:dyDescent="0.2">
      <c r="A5616" s="10">
        <v>5555</v>
      </c>
      <c r="D5616" s="2" t="str">
        <f t="shared" si="86"/>
        <v>OK</v>
      </c>
    </row>
    <row r="5617" spans="1:5" x14ac:dyDescent="0.2">
      <c r="A5617" s="5">
        <v>5556</v>
      </c>
      <c r="B5617" s="138">
        <f>'Revenues 9-14'!F153</f>
        <v>61705</v>
      </c>
      <c r="D5617" s="2" t="str">
        <f t="shared" si="86"/>
        <v>Error?</v>
      </c>
    </row>
    <row r="5618" spans="1:5" x14ac:dyDescent="0.2">
      <c r="A5618" s="5">
        <v>5557</v>
      </c>
      <c r="B5618" s="138">
        <f>'Revenues 9-14'!F155</f>
        <v>68902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68902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68902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477764</v>
      </c>
      <c r="C5720" s="2" t="s">
        <v>573</v>
      </c>
      <c r="D5720" s="2" t="str">
        <f t="shared" si="88"/>
        <v>Error?</v>
      </c>
    </row>
    <row r="5721" spans="1:4" x14ac:dyDescent="0.2">
      <c r="A5721" s="5">
        <v>5660</v>
      </c>
      <c r="B5721" s="138">
        <f>'Revenues 9-14'!G5</f>
        <v>135468</v>
      </c>
      <c r="D5721" s="2" t="str">
        <f t="shared" si="88"/>
        <v>Error?</v>
      </c>
    </row>
    <row r="5722" spans="1:4" x14ac:dyDescent="0.2">
      <c r="A5722" s="5">
        <v>5661</v>
      </c>
      <c r="B5722" s="138">
        <f>'Revenues 9-14'!G7</f>
        <v>0</v>
      </c>
      <c r="D5722" s="2" t="str">
        <f t="shared" si="88"/>
        <v>Error?</v>
      </c>
    </row>
    <row r="5723" spans="1:4" x14ac:dyDescent="0.2">
      <c r="A5723" s="5">
        <v>5662</v>
      </c>
      <c r="B5723" s="138">
        <f>'Revenues 9-14'!G8</f>
        <v>170808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306276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9000</v>
      </c>
      <c r="C5730" s="2" t="s">
        <v>573</v>
      </c>
      <c r="D5730" s="2" t="str">
        <f t="shared" si="88"/>
        <v>Error?</v>
      </c>
    </row>
    <row r="5731" spans="1:4" x14ac:dyDescent="0.2">
      <c r="A5731" s="5">
        <v>5670</v>
      </c>
      <c r="B5731" s="138">
        <f>'Revenues 9-14'!G65</f>
        <v>5612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5612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320888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8028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8028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8028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56650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56650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56650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320888</v>
      </c>
      <c r="C6024" s="2" t="s">
        <v>573</v>
      </c>
      <c r="D6024" s="2" t="str">
        <f t="shared" si="93"/>
        <v>Error?</v>
      </c>
    </row>
    <row r="6025" spans="1:5" x14ac:dyDescent="0.2">
      <c r="A6025" s="5">
        <v>5964</v>
      </c>
      <c r="B6025" s="138">
        <f>'Revenues 9-14'!H109</f>
        <v>8028</v>
      </c>
      <c r="C6025" s="2" t="s">
        <v>573</v>
      </c>
      <c r="D6025" s="2" t="str">
        <f t="shared" si="93"/>
        <v>Error?</v>
      </c>
    </row>
    <row r="6026" spans="1:5" x14ac:dyDescent="0.2">
      <c r="A6026" s="5">
        <v>5965</v>
      </c>
      <c r="B6026" s="138">
        <f>'Revenues 9-14'!I109</f>
        <v>56650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13425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934.4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57800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4900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335502</v>
      </c>
      <c r="D6267" s="2" t="str">
        <f t="shared" si="96"/>
        <v>Error?</v>
      </c>
      <c r="E6267" s="2" t="s">
        <v>190</v>
      </c>
    </row>
    <row r="6268" spans="1:5" x14ac:dyDescent="0.2">
      <c r="A6268">
        <v>6207</v>
      </c>
      <c r="B6268" s="138">
        <f>'Acct Summary 7-8'!D82</f>
        <v>-161840</v>
      </c>
      <c r="D6268" s="2" t="str">
        <f t="shared" si="96"/>
        <v>Error?</v>
      </c>
      <c r="E6268" s="2" t="s">
        <v>190</v>
      </c>
    </row>
    <row r="6269" spans="1:5" x14ac:dyDescent="0.2">
      <c r="A6269">
        <v>6208</v>
      </c>
      <c r="B6269" s="138">
        <f>'Acct Summary 7-8'!E82</f>
        <v>-428</v>
      </c>
      <c r="D6269" s="2" t="str">
        <f t="shared" si="96"/>
        <v>Error?</v>
      </c>
      <c r="E6269" s="2" t="s">
        <v>190</v>
      </c>
    </row>
    <row r="6270" spans="1:5" x14ac:dyDescent="0.2">
      <c r="A6270">
        <v>6209</v>
      </c>
      <c r="B6270" s="138">
        <f>'Acct Summary 7-8'!F82</f>
        <v>-11891</v>
      </c>
      <c r="D6270" s="2" t="str">
        <f t="shared" si="96"/>
        <v>Error?</v>
      </c>
      <c r="E6270" s="2" t="s">
        <v>190</v>
      </c>
    </row>
    <row r="6271" spans="1:5" x14ac:dyDescent="0.2">
      <c r="A6271">
        <v>6210</v>
      </c>
      <c r="B6271" s="138">
        <f>'Acct Summary 7-8'!G82</f>
        <v>5138</v>
      </c>
      <c r="D6271" s="2" t="str">
        <f t="shared" ref="D6271:D6334" si="97">IF(ISBLANK(B6271),"OK",IF(A6271-B6271=0,"OK","Error?"))</f>
        <v>Error?</v>
      </c>
      <c r="E6271" s="2" t="s">
        <v>190</v>
      </c>
    </row>
    <row r="6272" spans="1:5" x14ac:dyDescent="0.2">
      <c r="A6272">
        <v>6211</v>
      </c>
      <c r="B6272" s="138">
        <f>'Acct Summary 7-8'!H82</f>
        <v>494328</v>
      </c>
      <c r="D6272" s="2" t="str">
        <f t="shared" si="97"/>
        <v>Error?</v>
      </c>
      <c r="E6272" s="2" t="s">
        <v>190</v>
      </c>
    </row>
    <row r="6273" spans="1:5" x14ac:dyDescent="0.2">
      <c r="A6273">
        <v>6212</v>
      </c>
      <c r="B6273" s="138">
        <f>'Acct Summary 7-8'!I82</f>
        <v>56650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3.2036231759509121E-2</v>
      </c>
      <c r="D6276" s="2" t="str">
        <f t="shared" si="97"/>
        <v>Error?</v>
      </c>
      <c r="E6276" s="2" t="s">
        <v>190</v>
      </c>
    </row>
    <row r="6277" spans="1:5" x14ac:dyDescent="0.2">
      <c r="A6277">
        <v>6216</v>
      </c>
      <c r="B6277" s="138">
        <f>'Acct Summary 7-8'!D83</f>
        <v>-8.9578873024272199E-2</v>
      </c>
      <c r="D6277" s="2" t="str">
        <f t="shared" si="97"/>
        <v>Error?</v>
      </c>
      <c r="E6277" s="2" t="s">
        <v>190</v>
      </c>
    </row>
    <row r="6278" spans="1:5" x14ac:dyDescent="0.2">
      <c r="A6278">
        <v>6217</v>
      </c>
      <c r="B6278" s="138">
        <f>'Acct Summary 7-8'!E83</f>
        <v>-9.5057034220532319E-4</v>
      </c>
      <c r="D6278" s="2" t="str">
        <f t="shared" si="97"/>
        <v>Error?</v>
      </c>
      <c r="E6278" s="2" t="s">
        <v>190</v>
      </c>
    </row>
    <row r="6279" spans="1:5" x14ac:dyDescent="0.2">
      <c r="A6279">
        <v>6218</v>
      </c>
      <c r="B6279" s="138">
        <f>'Acct Summary 7-8'!F83</f>
        <v>-2.3865241963970329E-2</v>
      </c>
      <c r="D6279" s="2" t="str">
        <f t="shared" si="97"/>
        <v>Error?</v>
      </c>
      <c r="E6279" s="2" t="s">
        <v>190</v>
      </c>
    </row>
    <row r="6280" spans="1:5" x14ac:dyDescent="0.2">
      <c r="A6280">
        <v>6219</v>
      </c>
      <c r="B6280" s="138">
        <f>'Acct Summary 7-8'!G83</f>
        <v>1.5292303845993583E-2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1.8616594763561031E-2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57800</v>
      </c>
      <c r="D6285" s="2" t="str">
        <f t="shared" si="97"/>
        <v>Error?</v>
      </c>
      <c r="E6285" s="2" t="s">
        <v>190</v>
      </c>
    </row>
    <row r="6286" spans="1:5" x14ac:dyDescent="0.2">
      <c r="A6286">
        <v>6225</v>
      </c>
      <c r="B6286" s="138">
        <f>'Acct Summary 7-8'!E38</f>
        <v>4900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11902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5552</v>
      </c>
      <c r="D6844" s="2" t="str">
        <f t="shared" si="105"/>
        <v>Error?</v>
      </c>
    </row>
    <row r="6845" spans="1:5" x14ac:dyDescent="0.2">
      <c r="A6845">
        <v>6784</v>
      </c>
      <c r="B6845" s="138">
        <f>'Expenditures 15-22'!J5</f>
        <v>20880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16494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5260</v>
      </c>
      <c r="D6880" s="2" t="str">
        <f t="shared" si="106"/>
        <v>Error?</v>
      </c>
    </row>
    <row r="6881" spans="1:4" x14ac:dyDescent="0.2">
      <c r="A6881">
        <v>6820</v>
      </c>
      <c r="B6881" s="138">
        <f>'Expenditures 15-22'!K22</f>
        <v>5260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5552</v>
      </c>
      <c r="D6902" s="2" t="str">
        <f t="shared" si="106"/>
        <v>Error?</v>
      </c>
    </row>
    <row r="6903" spans="1:4" x14ac:dyDescent="0.2">
      <c r="A6903">
        <v>6842</v>
      </c>
      <c r="B6903" s="138">
        <f>'Expenditures 15-22'!J33</f>
        <v>20880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20155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60931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81086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81086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864000</v>
      </c>
      <c r="D6983" s="2" t="str">
        <f t="shared" si="108"/>
        <v>Error?</v>
      </c>
    </row>
    <row r="6984" spans="1:4" x14ac:dyDescent="0.2">
      <c r="A6984">
        <v>6923</v>
      </c>
      <c r="B6984" s="138">
        <f>'Expenditures 15-22'!K86</f>
        <v>864000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864000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86638</v>
      </c>
      <c r="D7020" s="2" t="str">
        <f t="shared" si="108"/>
        <v>Error?</v>
      </c>
    </row>
    <row r="7021" spans="1:4" x14ac:dyDescent="0.2">
      <c r="A7021">
        <v>6960</v>
      </c>
      <c r="B7021" s="138">
        <f>'Expenditures 15-22'!J114</f>
        <v>20880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1102</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1102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1102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1102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1325</v>
      </c>
      <c r="D7073" s="2" t="str">
        <f t="shared" si="109"/>
        <v>Error?</v>
      </c>
    </row>
    <row r="7074" spans="1:4" x14ac:dyDescent="0.2">
      <c r="A7074">
        <v>7013</v>
      </c>
      <c r="B7074" s="138">
        <f>'Expenditures 15-22'!K216</f>
        <v>1325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3068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1524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87740</v>
      </c>
      <c r="D7624" s="2" t="str">
        <f t="shared" si="124"/>
        <v>Error?</v>
      </c>
      <c r="E7624" s="2" t="s">
        <v>19</v>
      </c>
    </row>
    <row r="7625" spans="1:5" x14ac:dyDescent="0.2">
      <c r="A7625">
        <f t="shared" si="123"/>
        <v>7564</v>
      </c>
      <c r="B7625" s="138">
        <f>'Cap Outlay Deprec 26'!I17</f>
        <v>8774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832971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500000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113087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614534</v>
      </c>
      <c r="D7797" s="2" t="str">
        <f t="shared" si="127"/>
        <v>Error?</v>
      </c>
      <c r="E7797" s="4" t="s">
        <v>1904</v>
      </c>
    </row>
    <row r="7798" spans="1:5" x14ac:dyDescent="0.2">
      <c r="A7798">
        <v>7737</v>
      </c>
      <c r="B7798" s="138">
        <f>'Contracts Paid in CY 29'!F141</f>
        <v>100000</v>
      </c>
      <c r="D7798" s="2" t="str">
        <f t="shared" si="127"/>
        <v>Error?</v>
      </c>
      <c r="E7798" s="4" t="s">
        <v>1904</v>
      </c>
    </row>
    <row r="7799" spans="1:5" x14ac:dyDescent="0.2">
      <c r="A7799">
        <v>7738</v>
      </c>
      <c r="B7799" s="138">
        <f>'Contracts Paid in CY 29'!G141</f>
        <v>514534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67" t="s">
        <v>1191</v>
      </c>
      <c r="B2" s="2367"/>
      <c r="C2" s="2367"/>
      <c r="D2" s="2367"/>
      <c r="E2" s="2367"/>
      <c r="F2" s="2367"/>
      <c r="G2" s="2367"/>
      <c r="H2" s="2367"/>
      <c r="I2" s="2367"/>
      <c r="J2" s="2367"/>
      <c r="K2" s="2367"/>
      <c r="L2" s="2367"/>
    </row>
    <row r="3" spans="1:29" ht="13.5" customHeight="1" x14ac:dyDescent="0.2">
      <c r="A3" s="2398" t="s">
        <v>1190</v>
      </c>
      <c r="B3" s="2398"/>
      <c r="C3" s="2398"/>
      <c r="D3" s="2398"/>
      <c r="E3" s="2398"/>
      <c r="F3" s="2398"/>
      <c r="G3" s="2398"/>
      <c r="H3" s="2398"/>
      <c r="I3" s="2398"/>
      <c r="J3" s="2398"/>
      <c r="K3" s="2398"/>
      <c r="L3" s="2398"/>
    </row>
    <row r="4" spans="1:29" ht="13.5" customHeight="1" x14ac:dyDescent="0.2">
      <c r="A4" s="2367" t="s">
        <v>1989</v>
      </c>
      <c r="B4" s="2388"/>
      <c r="C4" s="2388"/>
      <c r="D4" s="2388"/>
      <c r="E4" s="2388"/>
      <c r="F4" s="2388"/>
      <c r="G4" s="2388"/>
      <c r="H4" s="2388"/>
      <c r="I4" s="2388"/>
      <c r="J4" s="2388"/>
      <c r="K4" s="2388"/>
      <c r="L4" s="2388"/>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89" t="str">
        <f>COVER!A17</f>
        <v>Itasca SD 10</v>
      </c>
      <c r="B7" s="2390"/>
      <c r="C7" s="2390"/>
      <c r="D7" s="2391"/>
      <c r="E7" s="2392">
        <f>COVER!A13</f>
        <v>19022010002</v>
      </c>
      <c r="F7" s="2393"/>
      <c r="G7" s="2399">
        <f>COVER!T23</f>
        <v>66003412</v>
      </c>
      <c r="H7" s="2400"/>
      <c r="I7" s="2400"/>
      <c r="J7" s="2400"/>
      <c r="K7" s="2400"/>
      <c r="L7" s="2401"/>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402"/>
      <c r="B9" s="2403"/>
      <c r="C9" s="2403"/>
      <c r="D9" s="2403"/>
      <c r="E9" s="2403"/>
      <c r="F9" s="2404"/>
      <c r="G9" s="2373" t="str">
        <f>COVER!T13</f>
        <v>Mathieson, Moyski, Austin &amp; Co. LLP</v>
      </c>
      <c r="H9" s="2405"/>
      <c r="I9" s="2405"/>
      <c r="J9" s="2405"/>
      <c r="K9" s="2405"/>
      <c r="L9" s="2406"/>
    </row>
    <row r="10" spans="1:29" ht="13.5" customHeight="1" x14ac:dyDescent="0.2">
      <c r="A10" s="2379">
        <f>COVER!A38</f>
        <v>0</v>
      </c>
      <c r="B10" s="2380"/>
      <c r="C10" s="2380"/>
      <c r="D10" s="2380"/>
      <c r="E10" s="2380"/>
      <c r="F10" s="2381"/>
      <c r="G10" s="2373" t="str">
        <f>COVER!T17</f>
        <v>211 South Wheaton Avenue, Suite 400</v>
      </c>
      <c r="H10" s="2374"/>
      <c r="I10" s="2374"/>
      <c r="J10" s="2374"/>
      <c r="K10" s="2374"/>
      <c r="L10" s="2375"/>
    </row>
    <row r="11" spans="1:29" ht="13.5" customHeight="1" x14ac:dyDescent="0.2">
      <c r="A11" s="1171" t="s">
        <v>1519</v>
      </c>
      <c r="B11" s="1172"/>
      <c r="C11" s="1173"/>
      <c r="D11" s="1178"/>
      <c r="E11" s="1173"/>
      <c r="F11" s="1177"/>
      <c r="G11" s="2373" t="str">
        <f>COVER!T19</f>
        <v>Wheaton</v>
      </c>
      <c r="H11" s="2374"/>
      <c r="I11" s="2374"/>
      <c r="J11" s="2374"/>
      <c r="K11" s="2374"/>
      <c r="L11" s="2375"/>
    </row>
    <row r="12" spans="1:29" ht="13.5" customHeight="1" x14ac:dyDescent="0.2">
      <c r="A12" s="2382" t="s">
        <v>1518</v>
      </c>
      <c r="B12" s="2383"/>
      <c r="C12" s="2383"/>
      <c r="D12" s="2383"/>
      <c r="E12" s="2383"/>
      <c r="F12" s="2384"/>
      <c r="G12" s="2376"/>
      <c r="H12" s="2377"/>
      <c r="I12" s="2377"/>
      <c r="J12" s="2377"/>
      <c r="K12" s="2377"/>
      <c r="L12" s="2378"/>
    </row>
    <row r="13" spans="1:29" ht="13.5" customHeight="1" x14ac:dyDescent="0.2">
      <c r="A13" s="2373"/>
      <c r="B13" s="2374"/>
      <c r="C13" s="2374"/>
      <c r="D13" s="2374"/>
      <c r="E13" s="2374"/>
      <c r="F13" s="2375"/>
      <c r="G13" s="2368" t="s">
        <v>1520</v>
      </c>
      <c r="H13" s="2369"/>
      <c r="I13" s="2385" t="str">
        <f>COVER!T25</f>
        <v>bmathieson@mmaadvisors.com</v>
      </c>
      <c r="J13" s="2386"/>
      <c r="K13" s="2386"/>
      <c r="L13" s="2387"/>
    </row>
    <row r="14" spans="1:29" ht="13.5" customHeight="1" x14ac:dyDescent="0.2">
      <c r="A14" s="2373" t="str">
        <f>COVER!A19</f>
        <v>200 North Maple Street</v>
      </c>
      <c r="B14" s="2374"/>
      <c r="C14" s="2374"/>
      <c r="D14" s="2374"/>
      <c r="E14" s="2374"/>
      <c r="F14" s="2375"/>
      <c r="G14" s="1182" t="s">
        <v>1185</v>
      </c>
      <c r="H14" s="1180"/>
      <c r="I14" s="1180"/>
      <c r="J14" s="1180"/>
      <c r="K14" s="1180"/>
      <c r="L14" s="1181"/>
    </row>
    <row r="15" spans="1:29" ht="13.5" customHeight="1" x14ac:dyDescent="0.2">
      <c r="A15" s="2373" t="str">
        <f>COVER!A21</f>
        <v>Itasca</v>
      </c>
      <c r="B15" s="2374"/>
      <c r="C15" s="2374"/>
      <c r="D15" s="2374"/>
      <c r="E15" s="2374"/>
      <c r="F15" s="2375"/>
      <c r="G15" s="2370" t="str">
        <f>COVER!T15</f>
        <v>Brett J. Mathieson</v>
      </c>
      <c r="H15" s="2371"/>
      <c r="I15" s="2371"/>
      <c r="J15" s="2371"/>
      <c r="K15" s="2371"/>
      <c r="L15" s="2372"/>
    </row>
    <row r="16" spans="1:29" ht="12.2" customHeight="1" x14ac:dyDescent="0.2">
      <c r="A16" s="2395">
        <f>COVER!A25</f>
        <v>60143</v>
      </c>
      <c r="B16" s="2396"/>
      <c r="C16" s="2396"/>
      <c r="D16" s="2396"/>
      <c r="E16" s="2396"/>
      <c r="F16" s="2397"/>
      <c r="G16" s="2407"/>
      <c r="H16" s="2408"/>
      <c r="I16" s="2408"/>
      <c r="J16" s="2408"/>
      <c r="K16" s="2408"/>
      <c r="L16" s="2409"/>
    </row>
    <row r="17" spans="1:13" ht="12.2" customHeight="1" x14ac:dyDescent="0.2">
      <c r="A17" s="2410"/>
      <c r="B17" s="2396"/>
      <c r="C17" s="2396"/>
      <c r="D17" s="2396"/>
      <c r="E17" s="2396"/>
      <c r="F17" s="2397"/>
      <c r="G17" s="1182" t="s">
        <v>1184</v>
      </c>
      <c r="H17" s="1180"/>
      <c r="I17" s="1180"/>
      <c r="J17" s="1180"/>
      <c r="K17" s="1184" t="s">
        <v>1183</v>
      </c>
      <c r="L17" s="1177"/>
      <c r="M17" s="1170"/>
    </row>
    <row r="18" spans="1:13" ht="12.2" customHeight="1" x14ac:dyDescent="0.2">
      <c r="A18" s="2379"/>
      <c r="B18" s="2380"/>
      <c r="C18" s="2380"/>
      <c r="D18" s="2380"/>
      <c r="E18" s="2380"/>
      <c r="F18" s="2381"/>
      <c r="G18" s="2389" t="str">
        <f>COVER!T21</f>
        <v>630-653-1616</v>
      </c>
      <c r="H18" s="2390"/>
      <c r="I18" s="2390"/>
      <c r="J18" s="2390"/>
      <c r="K18" s="2389" t="str">
        <f>COVER!X21</f>
        <v>630-653-1735</v>
      </c>
      <c r="L18" s="2394"/>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1" t="str">
        <f>'Single Audit Cover'!A7</f>
        <v>Itasca SD 10</v>
      </c>
      <c r="B1" s="2388"/>
      <c r="C1" s="2388"/>
      <c r="D1" s="2388"/>
    </row>
    <row r="2" spans="1:11" s="1199" customFormat="1" ht="12.75" x14ac:dyDescent="0.2">
      <c r="A2" s="2412">
        <f>'Single Audit Cover'!E7</f>
        <v>19022010002</v>
      </c>
      <c r="B2" s="2413"/>
      <c r="C2" s="2413"/>
      <c r="D2" s="2413"/>
    </row>
    <row r="3" spans="1:11" s="1199" customFormat="1" ht="12.75" x14ac:dyDescent="0.2">
      <c r="A3" s="2411" t="s">
        <v>1513</v>
      </c>
      <c r="B3" s="2388"/>
      <c r="C3" s="2388"/>
      <c r="D3" s="2388"/>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5" t="str">
        <f>'Single Audit Cover'!A7</f>
        <v>Itasca SD 10</v>
      </c>
      <c r="B1" s="2415"/>
      <c r="C1" s="2415"/>
      <c r="D1" s="2415"/>
      <c r="E1" s="2415"/>
    </row>
    <row r="2" spans="1:5" x14ac:dyDescent="0.2">
      <c r="A2" s="2416">
        <f>'Single Audit Cover'!E7</f>
        <v>19022010002</v>
      </c>
      <c r="B2" s="2416"/>
      <c r="C2" s="2416"/>
      <c r="D2" s="2416"/>
      <c r="E2" s="2416"/>
    </row>
    <row r="3" spans="1:5" ht="4.5" customHeight="1" x14ac:dyDescent="0.2"/>
    <row r="4" spans="1:5" x14ac:dyDescent="0.2">
      <c r="A4" s="2415" t="s">
        <v>1245</v>
      </c>
      <c r="B4" s="2415"/>
      <c r="C4" s="2415"/>
      <c r="D4" s="2415"/>
      <c r="E4" s="2415"/>
    </row>
    <row r="5" spans="1:5" x14ac:dyDescent="0.2">
      <c r="A5" s="2418" t="str">
        <f>'Single Audit Cover'!A4</f>
        <v>Year Ending June 30, 2019</v>
      </c>
      <c r="B5" s="2418"/>
      <c r="C5" s="2418"/>
      <c r="D5" s="2418"/>
      <c r="E5" s="2418"/>
    </row>
    <row r="6" spans="1:5" x14ac:dyDescent="0.2">
      <c r="A6" s="2415" t="s">
        <v>1244</v>
      </c>
      <c r="B6" s="2415"/>
      <c r="C6" s="2415"/>
      <c r="D6" s="2415"/>
      <c r="E6" s="2415"/>
    </row>
    <row r="8" spans="1:5" x14ac:dyDescent="0.2">
      <c r="A8" s="1244" t="s">
        <v>1243</v>
      </c>
    </row>
    <row r="10" spans="1:5" x14ac:dyDescent="0.2">
      <c r="A10" s="1245" t="s">
        <v>1242</v>
      </c>
      <c r="B10" s="1246" t="s">
        <v>1241</v>
      </c>
      <c r="C10" s="1246"/>
      <c r="D10" s="1247">
        <f>SUM('Acct Summary 7-8'!C7:K7)</f>
        <v>354065</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0</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-26584</v>
      </c>
    </row>
    <row r="19" spans="1:4" ht="13.5" thickBot="1" x14ac:dyDescent="0.25">
      <c r="A19" s="1249" t="s">
        <v>1235</v>
      </c>
      <c r="D19" s="1250">
        <f>SUM(D10:D17)</f>
        <v>327481</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17"/>
      <c r="B24" s="2417"/>
      <c r="D24" s="1252"/>
    </row>
    <row r="25" spans="1:4" x14ac:dyDescent="0.2">
      <c r="A25" s="2414"/>
      <c r="B25" s="2414"/>
      <c r="D25" s="1252"/>
    </row>
    <row r="26" spans="1:4" x14ac:dyDescent="0.2">
      <c r="A26" s="2414"/>
      <c r="B26" s="2414"/>
      <c r="D26" s="1252"/>
    </row>
    <row r="27" spans="1:4" x14ac:dyDescent="0.2">
      <c r="A27" s="2414"/>
      <c r="B27" s="2414"/>
      <c r="D27" s="1252"/>
    </row>
    <row r="28" spans="1:4" x14ac:dyDescent="0.2">
      <c r="A28" s="2414"/>
      <c r="B28" s="2414"/>
      <c r="D28" s="1252"/>
    </row>
    <row r="29" spans="1:4" x14ac:dyDescent="0.2">
      <c r="A29" s="2414"/>
      <c r="B29" s="2414"/>
      <c r="D29" s="1252"/>
    </row>
    <row r="30" spans="1:4" x14ac:dyDescent="0.2">
      <c r="A30" s="2414"/>
      <c r="B30" s="2414"/>
      <c r="D30" s="1252"/>
    </row>
    <row r="32" spans="1:4" x14ac:dyDescent="0.2">
      <c r="A32" s="1244" t="s">
        <v>1233</v>
      </c>
      <c r="D32" s="1247">
        <f>SUM(D19:D30)</f>
        <v>327481</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4"/>
      <c r="B40" s="2414"/>
      <c r="D40" s="1252"/>
    </row>
    <row r="41" spans="1:4" x14ac:dyDescent="0.2">
      <c r="A41" s="2414"/>
      <c r="B41" s="2414"/>
      <c r="D41" s="1255"/>
    </row>
    <row r="42" spans="1:4" x14ac:dyDescent="0.2">
      <c r="A42" s="2414"/>
      <c r="B42" s="2414"/>
      <c r="D42" s="1255"/>
    </row>
    <row r="43" spans="1:4" x14ac:dyDescent="0.2">
      <c r="A43" s="2414"/>
      <c r="B43" s="2414"/>
      <c r="D43" s="1255"/>
    </row>
    <row r="44" spans="1:4" x14ac:dyDescent="0.2">
      <c r="A44" s="2414"/>
      <c r="B44" s="2414"/>
      <c r="D44" s="1255"/>
    </row>
    <row r="45" spans="1:4" x14ac:dyDescent="0.2">
      <c r="A45" s="2414"/>
      <c r="B45" s="2414"/>
      <c r="D45" s="1255"/>
    </row>
    <row r="47" spans="1:4" x14ac:dyDescent="0.2">
      <c r="B47" s="1256" t="s">
        <v>1227</v>
      </c>
      <c r="C47" s="1256"/>
      <c r="D47" s="1257">
        <f>SUM(D35:D45)</f>
        <v>0</v>
      </c>
    </row>
    <row r="49" spans="2:4" x14ac:dyDescent="0.2">
      <c r="B49" s="1256" t="s">
        <v>1226</v>
      </c>
      <c r="C49" s="1256"/>
      <c r="D49" s="1257">
        <f>D32-D47</f>
        <v>327481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398" t="str">
        <f>'Single Audit Cover'!A7</f>
        <v>Itasca SD 10</v>
      </c>
      <c r="C1" s="2419"/>
      <c r="D1" s="2419"/>
      <c r="E1" s="2419"/>
      <c r="F1" s="2419"/>
      <c r="G1" s="2419"/>
      <c r="H1" s="2419"/>
      <c r="I1" s="2419"/>
      <c r="J1" s="2419"/>
      <c r="K1" s="2419"/>
      <c r="L1" s="2419"/>
      <c r="M1" s="2419"/>
    </row>
    <row r="2" spans="2:14" ht="15" x14ac:dyDescent="0.2">
      <c r="B2" s="2420">
        <f>'Single Audit Cover'!E7</f>
        <v>19022010002</v>
      </c>
      <c r="C2" s="2420"/>
      <c r="D2" s="2420"/>
      <c r="E2" s="2420"/>
      <c r="F2" s="2420"/>
      <c r="G2" s="2420"/>
      <c r="H2" s="2420"/>
      <c r="I2" s="2420"/>
      <c r="J2" s="2420"/>
      <c r="K2" s="2420"/>
      <c r="L2" s="2420"/>
      <c r="M2" s="2420"/>
      <c r="N2" s="1286"/>
    </row>
    <row r="3" spans="2:14" ht="15" x14ac:dyDescent="0.2">
      <c r="B3" s="2421" t="s">
        <v>1219</v>
      </c>
      <c r="C3" s="2421"/>
      <c r="D3" s="2421"/>
      <c r="E3" s="2421"/>
      <c r="F3" s="2421"/>
      <c r="G3" s="2421"/>
      <c r="H3" s="2421"/>
      <c r="I3" s="2421"/>
      <c r="J3" s="2421"/>
      <c r="K3" s="2421"/>
      <c r="L3" s="2421"/>
      <c r="M3" s="2421"/>
      <c r="N3" s="1286"/>
    </row>
    <row r="4" spans="2:14" ht="15" x14ac:dyDescent="0.2">
      <c r="B4" s="2422" t="str">
        <f>'Single Audit Cover'!A4</f>
        <v>Year Ending June 30, 2019</v>
      </c>
      <c r="C4" s="2422"/>
      <c r="D4" s="2422"/>
      <c r="E4" s="2422"/>
      <c r="F4" s="2422"/>
      <c r="G4" s="2422"/>
      <c r="H4" s="2422"/>
      <c r="I4" s="2422"/>
      <c r="J4" s="2422"/>
      <c r="K4" s="2422"/>
      <c r="L4" s="2422"/>
      <c r="M4" s="2422"/>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Itasca SD 10</v>
      </c>
      <c r="B1" s="2432"/>
      <c r="C1" s="2432"/>
      <c r="D1" s="2432"/>
      <c r="E1" s="2432"/>
      <c r="F1" s="2432"/>
    </row>
    <row r="2" spans="1:7" ht="13.5" customHeight="1" x14ac:dyDescent="0.2">
      <c r="A2" s="2420">
        <f>'Single Audit Cover'!E7</f>
        <v>19022010002</v>
      </c>
      <c r="B2" s="2420"/>
      <c r="C2" s="2420"/>
      <c r="D2" s="2420"/>
      <c r="E2" s="2420"/>
      <c r="F2" s="2420"/>
      <c r="G2" s="125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60" t="s">
        <v>1728</v>
      </c>
      <c r="C6" s="317"/>
      <c r="D6" s="317"/>
    </row>
    <row r="7" spans="1:7" ht="60.95" customHeight="1" x14ac:dyDescent="0.2">
      <c r="A7" s="2431" t="s">
        <v>1729</v>
      </c>
      <c r="B7" s="2431"/>
      <c r="C7" s="2431"/>
      <c r="D7" s="2431"/>
      <c r="E7" s="2431"/>
      <c r="F7" s="2431"/>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31" t="s">
        <v>1731</v>
      </c>
      <c r="B13" s="2431"/>
      <c r="C13" s="2431"/>
      <c r="D13" s="2431"/>
      <c r="E13" s="2431"/>
      <c r="F13" s="2431"/>
    </row>
    <row r="14" spans="1:7" ht="9.75" customHeight="1" x14ac:dyDescent="0.2">
      <c r="C14" s="1244"/>
      <c r="D14" s="1244"/>
    </row>
    <row r="15" spans="1:7" ht="13.5" customHeight="1" x14ac:dyDescent="0.2">
      <c r="C15" s="1833" t="s">
        <v>1270</v>
      </c>
      <c r="D15" s="2429" t="s">
        <v>1269</v>
      </c>
      <c r="E15" s="2429"/>
      <c r="F15" s="2429"/>
    </row>
    <row r="16" spans="1:7" ht="13.5" customHeight="1" x14ac:dyDescent="0.2">
      <c r="A16" s="1266"/>
      <c r="B16" s="1260" t="s">
        <v>1268</v>
      </c>
      <c r="C16" s="1833" t="s">
        <v>1267</v>
      </c>
      <c r="D16" s="2430" t="s">
        <v>1588</v>
      </c>
      <c r="E16" s="2430"/>
      <c r="F16" s="2430"/>
    </row>
    <row r="17" spans="1:6" ht="20.45" customHeight="1" x14ac:dyDescent="0.2">
      <c r="A17" s="1267"/>
      <c r="B17" s="1268"/>
      <c r="C17" s="1269"/>
      <c r="D17" s="2424"/>
      <c r="E17" s="2424"/>
      <c r="F17" s="2424"/>
    </row>
    <row r="18" spans="1:6" ht="20.65" customHeight="1" x14ac:dyDescent="0.2">
      <c r="A18" s="1267"/>
      <c r="B18" s="1268"/>
      <c r="C18" s="1269"/>
      <c r="D18" s="2424"/>
      <c r="E18" s="2424"/>
      <c r="F18" s="2424"/>
    </row>
    <row r="19" spans="1:6" ht="20.65" customHeight="1" x14ac:dyDescent="0.2">
      <c r="A19" s="1267"/>
      <c r="B19" s="1268"/>
      <c r="C19" s="1269"/>
      <c r="D19" s="2424"/>
      <c r="E19" s="2424"/>
      <c r="F19" s="2424"/>
    </row>
    <row r="20" spans="1:6" ht="20.65" customHeight="1" x14ac:dyDescent="0.2">
      <c r="A20" s="1267"/>
      <c r="B20" s="1268"/>
      <c r="C20" s="1269"/>
      <c r="D20" s="2424"/>
      <c r="E20" s="2424"/>
      <c r="F20" s="2424"/>
    </row>
    <row r="21" spans="1:6" ht="20.65" customHeight="1" x14ac:dyDescent="0.2">
      <c r="A21" s="1267"/>
      <c r="B21" s="1268"/>
      <c r="C21" s="1269"/>
      <c r="D21" s="2424"/>
      <c r="E21" s="2424"/>
      <c r="F21" s="2424"/>
    </row>
    <row r="22" spans="1:6" ht="20.65" customHeight="1" x14ac:dyDescent="0.2">
      <c r="A22" s="1267"/>
      <c r="B22" s="1268"/>
      <c r="C22" s="1269"/>
      <c r="D22" s="2424"/>
      <c r="E22" s="2424"/>
      <c r="F22" s="2424"/>
    </row>
    <row r="23" spans="1:6" ht="20.65" customHeight="1" x14ac:dyDescent="0.2">
      <c r="A23" s="1267"/>
      <c r="B23" s="1268"/>
      <c r="C23" s="1269"/>
      <c r="D23" s="2424"/>
      <c r="E23" s="2424"/>
      <c r="F23" s="2424"/>
    </row>
    <row r="24" spans="1:6" ht="20.65" customHeight="1" x14ac:dyDescent="0.2">
      <c r="A24" s="1267"/>
      <c r="B24" s="1268"/>
      <c r="C24" s="1269"/>
      <c r="D24" s="2424"/>
      <c r="E24" s="2424"/>
      <c r="F24" s="2424"/>
    </row>
    <row r="25" spans="1:6" ht="20.65" customHeight="1" x14ac:dyDescent="0.2">
      <c r="A25" s="1267"/>
      <c r="B25" s="1268"/>
      <c r="C25" s="1269"/>
      <c r="D25" s="2424"/>
      <c r="E25" s="2424"/>
      <c r="F25" s="2424"/>
    </row>
    <row r="26" spans="1:6" ht="20.65" customHeight="1" x14ac:dyDescent="0.2">
      <c r="A26" s="1267"/>
      <c r="B26" s="1268"/>
      <c r="C26" s="1269"/>
      <c r="D26" s="2424"/>
      <c r="E26" s="2424"/>
      <c r="F26" s="2424"/>
    </row>
    <row r="27" spans="1:6" ht="20.65" customHeight="1" x14ac:dyDescent="0.2">
      <c r="A27" s="1267"/>
      <c r="B27" s="1268"/>
      <c r="C27" s="1269"/>
      <c r="D27" s="2424"/>
      <c r="E27" s="2424"/>
      <c r="F27" s="2424"/>
    </row>
    <row r="28" spans="1:6" ht="20.65" customHeight="1" x14ac:dyDescent="0.2">
      <c r="A28" s="1267"/>
      <c r="B28" s="1268"/>
      <c r="C28" s="1269"/>
      <c r="D28" s="2424"/>
      <c r="E28" s="2424"/>
      <c r="F28" s="2424"/>
    </row>
    <row r="29" spans="1:6" ht="20.65" customHeight="1" x14ac:dyDescent="0.2">
      <c r="A29" s="1267"/>
      <c r="B29" s="1268"/>
      <c r="C29" s="1269"/>
      <c r="D29" s="2424"/>
      <c r="E29" s="2424"/>
      <c r="F29" s="2424"/>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25" t="s">
        <v>1732</v>
      </c>
      <c r="B32" s="2425"/>
      <c r="C32" s="2425"/>
      <c r="D32" s="2425"/>
      <c r="E32" s="2425"/>
      <c r="F32" s="2425"/>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26">
        <f>+C33+C34</f>
        <v>0</v>
      </c>
      <c r="F34" s="2427"/>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28" t="s">
        <v>1590</v>
      </c>
      <c r="C49" s="2428"/>
      <c r="D49" s="2428"/>
      <c r="E49" s="1383"/>
    </row>
    <row r="50" spans="1:5" s="1284" customFormat="1" ht="3.75" customHeight="1" x14ac:dyDescent="0.2">
      <c r="A50" s="1283"/>
      <c r="B50" s="1832"/>
      <c r="C50" s="1832"/>
      <c r="D50" s="1832"/>
      <c r="E50" s="1383"/>
    </row>
    <row r="51" spans="1:5" s="1284" customFormat="1" ht="20.25" customHeight="1" x14ac:dyDescent="0.2">
      <c r="A51" s="1285">
        <v>6</v>
      </c>
      <c r="B51" s="2423" t="s">
        <v>1551</v>
      </c>
      <c r="C51" s="2423"/>
      <c r="D51" s="2423"/>
    </row>
    <row r="52" spans="1:5" ht="14.25" customHeight="1" x14ac:dyDescent="0.2">
      <c r="A52" s="1285"/>
      <c r="B52" s="2423"/>
      <c r="C52" s="2423"/>
      <c r="D52" s="242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F99" sqref="F9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0" t="s">
        <v>1168</v>
      </c>
      <c r="B2" s="2040"/>
      <c r="C2" s="2040"/>
      <c r="D2" s="2040"/>
      <c r="E2" s="2040"/>
      <c r="F2" s="2040"/>
      <c r="G2" s="2040"/>
      <c r="H2" s="2040"/>
      <c r="I2" s="2040"/>
      <c r="J2" s="204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2072</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4" t="s">
        <v>1633</v>
      </c>
      <c r="B35" s="2055"/>
      <c r="C35" s="2055"/>
      <c r="D35" s="2055"/>
      <c r="E35" s="2056"/>
      <c r="F35" s="2056"/>
      <c r="G35" s="2056"/>
      <c r="H35" s="2056"/>
      <c r="I35" s="205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4" t="s">
        <v>313</v>
      </c>
      <c r="B47" s="2057"/>
      <c r="C47" s="2057"/>
      <c r="D47" s="2057"/>
      <c r="E47" s="2058"/>
      <c r="F47" s="2058"/>
      <c r="G47" s="2058"/>
      <c r="H47" s="2058"/>
      <c r="I47" s="205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1"/>
      <c r="C57" s="2062"/>
      <c r="D57" s="2062"/>
      <c r="E57" s="2062"/>
      <c r="F57" s="2062"/>
      <c r="G57" s="2062"/>
      <c r="H57" s="2062"/>
      <c r="I57" s="2062"/>
      <c r="J57" s="2063"/>
    </row>
    <row r="58" spans="1:10" s="181" customFormat="1" x14ac:dyDescent="0.2">
      <c r="A58" s="253"/>
      <c r="B58" s="2064"/>
      <c r="C58" s="2065"/>
      <c r="D58" s="2065"/>
      <c r="E58" s="2065"/>
      <c r="F58" s="2065"/>
      <c r="G58" s="2065"/>
      <c r="H58" s="2065"/>
      <c r="I58" s="2065"/>
      <c r="J58" s="2066"/>
    </row>
    <row r="59" spans="1:10" s="181" customFormat="1" x14ac:dyDescent="0.2">
      <c r="A59" s="253"/>
      <c r="B59" s="2064"/>
      <c r="C59" s="2065"/>
      <c r="D59" s="2065"/>
      <c r="E59" s="2065"/>
      <c r="F59" s="2065"/>
      <c r="G59" s="2065"/>
      <c r="H59" s="2065"/>
      <c r="I59" s="2065"/>
      <c r="J59" s="2066"/>
    </row>
    <row r="60" spans="1:10" s="181" customFormat="1" x14ac:dyDescent="0.2">
      <c r="A60" s="253"/>
      <c r="B60" s="2064"/>
      <c r="C60" s="2065"/>
      <c r="D60" s="2065"/>
      <c r="E60" s="2065"/>
      <c r="F60" s="2065"/>
      <c r="G60" s="2065"/>
      <c r="H60" s="2065"/>
      <c r="I60" s="2065"/>
      <c r="J60" s="2066"/>
    </row>
    <row r="61" spans="1:10" s="181" customFormat="1" x14ac:dyDescent="0.2">
      <c r="A61" s="253"/>
      <c r="B61" s="2064"/>
      <c r="C61" s="2065"/>
      <c r="D61" s="2065"/>
      <c r="E61" s="2065"/>
      <c r="F61" s="2065"/>
      <c r="G61" s="2065"/>
      <c r="H61" s="2065"/>
      <c r="I61" s="2065"/>
      <c r="J61" s="2066"/>
    </row>
    <row r="62" spans="1:10" s="181" customFormat="1" x14ac:dyDescent="0.2">
      <c r="A62" s="253"/>
      <c r="B62" s="2064"/>
      <c r="C62" s="2065"/>
      <c r="D62" s="2065"/>
      <c r="E62" s="2065"/>
      <c r="F62" s="2065"/>
      <c r="G62" s="2065"/>
      <c r="H62" s="2065"/>
      <c r="I62" s="2065"/>
      <c r="J62" s="2066"/>
    </row>
    <row r="63" spans="1:10" s="181" customFormat="1" x14ac:dyDescent="0.2">
      <c r="A63" s="253"/>
      <c r="B63" s="2064"/>
      <c r="C63" s="2065"/>
      <c r="D63" s="2065"/>
      <c r="E63" s="2065"/>
      <c r="F63" s="2065"/>
      <c r="G63" s="2065"/>
      <c r="H63" s="2065"/>
      <c r="I63" s="2065"/>
      <c r="J63" s="2066"/>
    </row>
    <row r="64" spans="1:10" s="181" customFormat="1" x14ac:dyDescent="0.2">
      <c r="A64" s="253"/>
      <c r="B64" s="2064"/>
      <c r="C64" s="2065"/>
      <c r="D64" s="2065"/>
      <c r="E64" s="2065"/>
      <c r="F64" s="2065"/>
      <c r="G64" s="2065"/>
      <c r="H64" s="2065"/>
      <c r="I64" s="2065"/>
      <c r="J64" s="2066"/>
    </row>
    <row r="65" spans="1:10" s="181" customFormat="1" x14ac:dyDescent="0.2">
      <c r="A65" s="253"/>
      <c r="B65" s="2064"/>
      <c r="C65" s="2065"/>
      <c r="D65" s="2065"/>
      <c r="E65" s="2065"/>
      <c r="F65" s="2065"/>
      <c r="G65" s="2065"/>
      <c r="H65" s="2065"/>
      <c r="I65" s="2065"/>
      <c r="J65" s="2066"/>
    </row>
    <row r="66" spans="1:10" s="181" customFormat="1" x14ac:dyDescent="0.2">
      <c r="A66" s="253"/>
      <c r="B66" s="2064"/>
      <c r="C66" s="2065"/>
      <c r="D66" s="2065"/>
      <c r="E66" s="2065"/>
      <c r="F66" s="2065"/>
      <c r="G66" s="2065"/>
      <c r="H66" s="2065"/>
      <c r="I66" s="2065"/>
      <c r="J66" s="2066"/>
    </row>
    <row r="67" spans="1:10" s="181" customFormat="1" ht="9" customHeight="1" x14ac:dyDescent="0.2">
      <c r="A67" s="254"/>
      <c r="B67" s="2067"/>
      <c r="C67" s="2068"/>
      <c r="D67" s="2068"/>
      <c r="E67" s="2068"/>
      <c r="F67" s="2068"/>
      <c r="G67" s="2068"/>
      <c r="H67" s="2068"/>
      <c r="I67" s="2068"/>
      <c r="J67" s="20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4" t="s">
        <v>1323</v>
      </c>
      <c r="B70" s="2057"/>
      <c r="C70" s="2057"/>
      <c r="D70" s="2057"/>
      <c r="E70" s="2058"/>
      <c r="F70" s="2058"/>
      <c r="G70" s="2058"/>
      <c r="H70" s="2058"/>
      <c r="I70" s="205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9" t="s">
        <v>1320</v>
      </c>
      <c r="B83" s="2059"/>
      <c r="C83" s="2059"/>
      <c r="D83" s="206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1" t="s">
        <v>2103</v>
      </c>
      <c r="C102" s="2042"/>
      <c r="D102" s="2042"/>
      <c r="E102" s="2042"/>
      <c r="F102" s="2042"/>
      <c r="G102" s="2042"/>
      <c r="H102" s="2042"/>
      <c r="I102" s="2043"/>
    </row>
    <row r="103" spans="1:9" s="181" customFormat="1" ht="11.25" customHeight="1" x14ac:dyDescent="0.2">
      <c r="A103" s="316"/>
      <c r="B103" s="2044"/>
      <c r="C103" s="2045"/>
      <c r="D103" s="2045"/>
      <c r="E103" s="2045"/>
      <c r="F103" s="2045"/>
      <c r="G103" s="2045"/>
      <c r="H103" s="2045"/>
      <c r="I103" s="2046"/>
    </row>
    <row r="104" spans="1:9" s="181" customFormat="1" ht="11.25" customHeight="1" x14ac:dyDescent="0.2">
      <c r="A104" s="316"/>
      <c r="B104" s="2044"/>
      <c r="C104" s="2045"/>
      <c r="D104" s="2045"/>
      <c r="E104" s="2045"/>
      <c r="F104" s="2045"/>
      <c r="G104" s="2045"/>
      <c r="H104" s="2045"/>
      <c r="I104" s="2046"/>
    </row>
    <row r="105" spans="1:9" s="181" customFormat="1" x14ac:dyDescent="0.2">
      <c r="A105" s="316"/>
      <c r="B105" s="2044"/>
      <c r="C105" s="2045"/>
      <c r="D105" s="2045"/>
      <c r="E105" s="2045"/>
      <c r="F105" s="2045"/>
      <c r="G105" s="2045"/>
      <c r="H105" s="2045"/>
      <c r="I105" s="2046"/>
    </row>
    <row r="106" spans="1:9" s="181" customFormat="1" ht="11.25" customHeight="1" x14ac:dyDescent="0.2">
      <c r="A106" s="316"/>
      <c r="B106" s="2044"/>
      <c r="C106" s="2045"/>
      <c r="D106" s="2045"/>
      <c r="E106" s="2045"/>
      <c r="F106" s="2045"/>
      <c r="G106" s="2045"/>
      <c r="H106" s="2045"/>
      <c r="I106" s="2046"/>
    </row>
    <row r="107" spans="1:9" s="181" customFormat="1" ht="11.25" customHeight="1" x14ac:dyDescent="0.2">
      <c r="A107" s="316"/>
      <c r="B107" s="2044"/>
      <c r="C107" s="2045"/>
      <c r="D107" s="2045"/>
      <c r="E107" s="2045"/>
      <c r="F107" s="2045"/>
      <c r="G107" s="2045"/>
      <c r="H107" s="2045"/>
      <c r="I107" s="2046"/>
    </row>
    <row r="108" spans="1:9" s="181" customFormat="1" ht="11.25" customHeight="1" x14ac:dyDescent="0.2">
      <c r="A108" s="316"/>
      <c r="B108" s="2044"/>
      <c r="C108" s="2045"/>
      <c r="D108" s="2045"/>
      <c r="E108" s="2045"/>
      <c r="F108" s="2045"/>
      <c r="G108" s="2045"/>
      <c r="H108" s="2045"/>
      <c r="I108" s="2046"/>
    </row>
    <row r="109" spans="1:9" s="181" customFormat="1" ht="11.25" customHeight="1" x14ac:dyDescent="0.2">
      <c r="A109" s="316"/>
      <c r="B109" s="2044"/>
      <c r="C109" s="2045"/>
      <c r="D109" s="2045"/>
      <c r="E109" s="2045"/>
      <c r="F109" s="2045"/>
      <c r="G109" s="2045"/>
      <c r="H109" s="2045"/>
      <c r="I109" s="2046"/>
    </row>
    <row r="110" spans="1:9" s="181" customFormat="1" ht="11.25" customHeight="1" x14ac:dyDescent="0.2">
      <c r="A110" s="316"/>
      <c r="B110" s="2044"/>
      <c r="C110" s="2045"/>
      <c r="D110" s="2045"/>
      <c r="E110" s="2045"/>
      <c r="F110" s="2045"/>
      <c r="G110" s="2045"/>
      <c r="H110" s="2045"/>
      <c r="I110" s="2046"/>
    </row>
    <row r="111" spans="1:9" s="181" customFormat="1" ht="11.25" customHeight="1" x14ac:dyDescent="0.2">
      <c r="A111" s="316"/>
      <c r="B111" s="2044"/>
      <c r="C111" s="2045"/>
      <c r="D111" s="2045"/>
      <c r="E111" s="2045"/>
      <c r="F111" s="2045"/>
      <c r="G111" s="2045"/>
      <c r="H111" s="2045"/>
      <c r="I111" s="2046"/>
    </row>
    <row r="112" spans="1:9" s="181" customFormat="1" ht="11.25" customHeight="1" x14ac:dyDescent="0.2">
      <c r="A112" s="316"/>
      <c r="B112" s="2047"/>
      <c r="C112" s="2048"/>
      <c r="D112" s="2048"/>
      <c r="E112" s="2048"/>
      <c r="F112" s="2048"/>
      <c r="G112" s="2048"/>
      <c r="H112" s="2048"/>
      <c r="I112" s="20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0" t="s">
        <v>2077</v>
      </c>
      <c r="D114" s="205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1" t="s">
        <v>1330</v>
      </c>
      <c r="D117" s="2052"/>
      <c r="E117" s="2053"/>
      <c r="F117" s="2053"/>
      <c r="G117" s="2053"/>
      <c r="H117" s="205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Itasca SD 10</v>
      </c>
      <c r="C1" s="2447"/>
      <c r="D1" s="2447"/>
      <c r="E1" s="2447"/>
      <c r="F1" s="2447"/>
      <c r="G1" s="2447"/>
      <c r="H1" s="2447"/>
      <c r="I1" s="2447"/>
      <c r="J1" s="1393"/>
    </row>
    <row r="2" spans="2:10" s="317" customFormat="1" ht="12.75" customHeight="1" x14ac:dyDescent="0.2">
      <c r="B2" s="2448">
        <f>'Single Audit Cover'!E7</f>
        <v>19022010002</v>
      </c>
      <c r="C2" s="2449"/>
      <c r="D2" s="2449"/>
      <c r="E2" s="2449"/>
      <c r="F2" s="2449"/>
      <c r="G2" s="2449"/>
      <c r="H2" s="2449"/>
      <c r="I2" s="2449"/>
      <c r="J2" s="1393"/>
    </row>
    <row r="3" spans="2:10" s="317" customFormat="1" ht="12.75" customHeight="1" x14ac:dyDescent="0.2">
      <c r="B3" s="2450" t="s">
        <v>1285</v>
      </c>
      <c r="C3" s="2451"/>
      <c r="D3" s="2451"/>
      <c r="E3" s="2451"/>
      <c r="F3" s="2451"/>
      <c r="G3" s="2451"/>
      <c r="H3" s="2451"/>
      <c r="I3" s="2451"/>
      <c r="J3" s="1394"/>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50" t="s">
        <v>1284</v>
      </c>
      <c r="C7" s="2451"/>
      <c r="D7" s="2451"/>
      <c r="E7" s="2451"/>
      <c r="F7" s="2451"/>
      <c r="G7" s="2451"/>
      <c r="H7" s="2451"/>
      <c r="I7" s="2451"/>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52"/>
      <c r="D11" s="2452"/>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53"/>
      <c r="E29" s="2453"/>
      <c r="F29" s="2453"/>
      <c r="G29" s="2453"/>
      <c r="H29" s="2453"/>
      <c r="I29" s="2453"/>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54" t="s">
        <v>1751</v>
      </c>
      <c r="D37" s="2455"/>
      <c r="E37" s="2455"/>
      <c r="F37" s="2456"/>
      <c r="G37" s="2454" t="s">
        <v>1592</v>
      </c>
      <c r="H37" s="2455"/>
      <c r="I37" s="2456"/>
    </row>
    <row r="38" spans="2:9" ht="16.5" customHeight="1" x14ac:dyDescent="0.2">
      <c r="B38" s="1415"/>
      <c r="C38" s="2442"/>
      <c r="D38" s="2443"/>
      <c r="E38" s="2443"/>
      <c r="F38" s="2444"/>
      <c r="G38" s="2457"/>
      <c r="H38" s="2458"/>
      <c r="I38" s="2459"/>
    </row>
    <row r="39" spans="2:9" ht="16.5" customHeight="1" x14ac:dyDescent="0.2">
      <c r="B39" s="1415"/>
      <c r="C39" s="2442"/>
      <c r="D39" s="2443"/>
      <c r="E39" s="2443"/>
      <c r="F39" s="2444"/>
      <c r="G39" s="2445"/>
      <c r="H39" s="2445"/>
      <c r="I39" s="2445"/>
    </row>
    <row r="40" spans="2:9" ht="16.5" customHeight="1" x14ac:dyDescent="0.2">
      <c r="B40" s="1415"/>
      <c r="C40" s="2442"/>
      <c r="D40" s="2443"/>
      <c r="E40" s="2443"/>
      <c r="F40" s="2444"/>
      <c r="G40" s="2445"/>
      <c r="H40" s="2445"/>
      <c r="I40" s="2445"/>
    </row>
    <row r="41" spans="2:9" ht="16.5" customHeight="1" x14ac:dyDescent="0.2">
      <c r="B41" s="1415"/>
      <c r="C41" s="2442"/>
      <c r="D41" s="2443"/>
      <c r="E41" s="2443"/>
      <c r="F41" s="2444"/>
      <c r="G41" s="2445"/>
      <c r="H41" s="2445"/>
      <c r="I41" s="2445"/>
    </row>
    <row r="42" spans="2:9" ht="16.5" customHeight="1" x14ac:dyDescent="0.2">
      <c r="B42" s="1415"/>
      <c r="C42" s="2442"/>
      <c r="D42" s="2443"/>
      <c r="E42" s="2443"/>
      <c r="F42" s="2444"/>
      <c r="G42" s="2445"/>
      <c r="H42" s="2445"/>
      <c r="I42" s="2445"/>
    </row>
    <row r="43" spans="2:9" ht="16.5" customHeight="1" x14ac:dyDescent="0.2">
      <c r="B43" s="1415"/>
      <c r="C43" s="2435" t="s">
        <v>1593</v>
      </c>
      <c r="D43" s="2436"/>
      <c r="E43" s="2436"/>
      <c r="F43" s="2437"/>
      <c r="G43" s="2438">
        <f>SUM(G38:I42)</f>
        <v>0</v>
      </c>
      <c r="H43" s="2438"/>
      <c r="I43" s="2438"/>
    </row>
    <row r="44" spans="2:9" ht="12.75" customHeight="1" x14ac:dyDescent="0.2"/>
    <row r="45" spans="2:9" ht="12.75" customHeight="1" x14ac:dyDescent="0.2">
      <c r="B45" s="1406" t="s">
        <v>1841</v>
      </c>
      <c r="D45" s="2439">
        <v>0</v>
      </c>
      <c r="E45" s="2440"/>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41"/>
      <c r="F49" s="2441"/>
      <c r="G49" s="2441"/>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Itasca SD 10</v>
      </c>
      <c r="C1" s="2446"/>
      <c r="D1" s="2446"/>
      <c r="E1" s="2446"/>
      <c r="F1" s="2446"/>
      <c r="G1" s="2446"/>
      <c r="H1" s="2446"/>
      <c r="I1" s="2446"/>
      <c r="J1" s="2446"/>
      <c r="K1" s="2446"/>
      <c r="L1" s="1358"/>
      <c r="M1" s="1358"/>
    </row>
    <row r="2" spans="1:13" ht="12" customHeight="1" x14ac:dyDescent="0.2">
      <c r="B2" s="2448">
        <f>'Single Audit Cover'!E7</f>
        <v>19022010002</v>
      </c>
      <c r="C2" s="2448"/>
      <c r="D2" s="2448"/>
      <c r="E2" s="2448"/>
      <c r="F2" s="2448"/>
      <c r="G2" s="2448"/>
      <c r="H2" s="2448"/>
      <c r="I2" s="2448"/>
      <c r="J2" s="2448"/>
      <c r="K2" s="2448"/>
      <c r="L2" s="1359"/>
      <c r="M2" s="1360"/>
    </row>
    <row r="3" spans="1:13" ht="10.35" customHeight="1" x14ac:dyDescent="0.2">
      <c r="B3" s="2462" t="s">
        <v>1285</v>
      </c>
      <c r="C3" s="2462"/>
      <c r="D3" s="2462"/>
      <c r="E3" s="2462"/>
      <c r="F3" s="2462"/>
      <c r="G3" s="2462"/>
      <c r="H3" s="2462"/>
      <c r="I3" s="2462"/>
      <c r="J3" s="2462"/>
      <c r="K3" s="2462"/>
      <c r="L3" s="1361"/>
      <c r="M3" s="1361"/>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3" t="s">
        <v>1296</v>
      </c>
      <c r="C7" s="2463"/>
      <c r="D7" s="2464"/>
      <c r="E7" s="2464"/>
      <c r="F7" s="2464"/>
      <c r="G7" s="2464"/>
      <c r="H7" s="2464"/>
      <c r="I7" s="2464"/>
      <c r="J7" s="2464"/>
      <c r="K7" s="2464"/>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1"/>
      <c r="C14" s="2461"/>
      <c r="D14" s="2461"/>
      <c r="E14" s="2461"/>
      <c r="F14" s="2461"/>
      <c r="G14" s="2461"/>
      <c r="H14" s="2461"/>
      <c r="I14" s="2461"/>
      <c r="J14" s="2461"/>
      <c r="K14" s="2461"/>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1"/>
      <c r="C17" s="2461"/>
      <c r="D17" s="2461"/>
      <c r="E17" s="2461"/>
      <c r="F17" s="2461"/>
      <c r="G17" s="2461"/>
      <c r="H17" s="2461"/>
      <c r="I17" s="2461"/>
      <c r="J17" s="2461"/>
      <c r="K17" s="2461"/>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5"/>
      <c r="C20" s="2465"/>
      <c r="D20" s="2461"/>
      <c r="E20" s="2461"/>
      <c r="F20" s="2461"/>
      <c r="G20" s="2461"/>
      <c r="H20" s="2461"/>
      <c r="I20" s="2461"/>
      <c r="J20" s="2461"/>
      <c r="K20" s="2461"/>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1"/>
      <c r="C23" s="2461"/>
      <c r="D23" s="2461"/>
      <c r="E23" s="2461"/>
      <c r="F23" s="2461"/>
      <c r="G23" s="2461"/>
      <c r="H23" s="2461"/>
      <c r="I23" s="2461"/>
      <c r="J23" s="2461"/>
      <c r="K23" s="2461"/>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1"/>
      <c r="C26" s="2461"/>
      <c r="D26" s="2461"/>
      <c r="E26" s="2461"/>
      <c r="F26" s="2461"/>
      <c r="G26" s="2461"/>
      <c r="H26" s="2461"/>
      <c r="I26" s="2461"/>
      <c r="J26" s="2461"/>
      <c r="K26" s="2461"/>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0"/>
      <c r="C29" s="2460"/>
      <c r="D29" s="2461"/>
      <c r="E29" s="2461"/>
      <c r="F29" s="2461"/>
      <c r="G29" s="2461"/>
      <c r="H29" s="2461"/>
      <c r="I29" s="2461"/>
      <c r="J29" s="2461"/>
      <c r="K29" s="2461"/>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0"/>
      <c r="C32" s="2460"/>
      <c r="D32" s="2461"/>
      <c r="E32" s="2461"/>
      <c r="F32" s="2461"/>
      <c r="G32" s="2461"/>
      <c r="H32" s="2461"/>
      <c r="I32" s="2461"/>
      <c r="J32" s="2461"/>
      <c r="K32" s="2461"/>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9" t="str">
        <f>'Single Audit Cover'!A7</f>
        <v>Itasca SD 10</v>
      </c>
      <c r="C1" s="2469"/>
      <c r="D1" s="2469"/>
      <c r="E1" s="2469"/>
      <c r="F1" s="2469"/>
      <c r="G1" s="2469"/>
      <c r="H1" s="2469"/>
      <c r="I1" s="2469"/>
      <c r="J1" s="2469"/>
      <c r="K1" s="2469"/>
      <c r="L1" s="1436"/>
    </row>
    <row r="2" spans="1:12" ht="12.75" customHeight="1" x14ac:dyDescent="0.2">
      <c r="B2" s="2470">
        <f>'Single Audit Cover'!E7</f>
        <v>19022010002</v>
      </c>
      <c r="C2" s="2470"/>
      <c r="D2" s="2470"/>
      <c r="E2" s="2470"/>
      <c r="F2" s="2470"/>
      <c r="G2" s="2470"/>
      <c r="H2" s="2470"/>
      <c r="I2" s="2470"/>
      <c r="J2" s="2470"/>
      <c r="K2" s="2470"/>
      <c r="L2" s="1437"/>
    </row>
    <row r="3" spans="1:12" ht="12.75" customHeight="1" x14ac:dyDescent="0.2">
      <c r="B3" s="2462" t="s">
        <v>1285</v>
      </c>
      <c r="C3" s="2462"/>
      <c r="D3" s="2462"/>
      <c r="E3" s="2462"/>
      <c r="F3" s="2462"/>
      <c r="G3" s="2462"/>
      <c r="H3" s="2462"/>
      <c r="I3" s="2462"/>
      <c r="J3" s="2462"/>
      <c r="K3" s="2462"/>
      <c r="L3" s="1361"/>
    </row>
    <row r="4" spans="1:12" ht="12.75" customHeight="1" x14ac:dyDescent="0.2">
      <c r="B4" s="2462" t="str">
        <f>'Single Audit Cover'!A4</f>
        <v>Year Ending June 30, 2019</v>
      </c>
      <c r="C4" s="2462"/>
      <c r="D4" s="2462"/>
      <c r="E4" s="2462"/>
      <c r="F4" s="2462"/>
      <c r="G4" s="2462"/>
      <c r="H4" s="2462"/>
      <c r="I4" s="2462"/>
      <c r="J4" s="2462"/>
      <c r="K4" s="2462"/>
      <c r="L4" s="1361"/>
    </row>
    <row r="5" spans="1:12" ht="5.25" customHeight="1" x14ac:dyDescent="0.2">
      <c r="B5" s="1244" t="s">
        <v>1169</v>
      </c>
      <c r="C5" s="1244"/>
      <c r="L5" s="322"/>
    </row>
    <row r="6" spans="1:12" ht="30.75" customHeight="1" x14ac:dyDescent="0.2">
      <c r="A6" s="322"/>
      <c r="B6" s="2471" t="s">
        <v>1308</v>
      </c>
      <c r="C6" s="2471"/>
      <c r="D6" s="2471"/>
      <c r="E6" s="2471"/>
      <c r="F6" s="2471"/>
      <c r="G6" s="2471"/>
      <c r="H6" s="2471"/>
      <c r="I6" s="2471"/>
      <c r="J6" s="2471"/>
      <c r="K6" s="2471"/>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53"/>
      <c r="G12" s="2453"/>
      <c r="H12" s="2453"/>
      <c r="I12" s="2453"/>
      <c r="J12" s="2453"/>
      <c r="K12" s="2453"/>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66"/>
      <c r="E14" s="2466"/>
      <c r="F14" s="2466"/>
      <c r="H14" s="1446" t="s">
        <v>1303</v>
      </c>
      <c r="I14" s="2467"/>
      <c r="J14" s="2467"/>
      <c r="K14" s="2467"/>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67"/>
      <c r="E16" s="2467"/>
      <c r="F16" s="2467"/>
      <c r="G16" s="2467"/>
      <c r="H16" s="2467"/>
      <c r="I16" s="2467"/>
      <c r="J16" s="2467"/>
      <c r="K16" s="2467"/>
      <c r="L16" s="322"/>
    </row>
    <row r="17" spans="2:12" ht="13.5" customHeight="1" x14ac:dyDescent="0.2">
      <c r="B17" s="1371" t="s">
        <v>1301</v>
      </c>
      <c r="C17" s="1371"/>
      <c r="D17" s="2468"/>
      <c r="E17" s="2468"/>
      <c r="F17" s="2468"/>
      <c r="G17" s="2468"/>
      <c r="H17" s="2468"/>
      <c r="I17" s="2468"/>
      <c r="J17" s="2468"/>
      <c r="K17" s="2468"/>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1"/>
      <c r="C20" s="2461"/>
      <c r="D20" s="2461"/>
      <c r="E20" s="2461"/>
      <c r="F20" s="2461"/>
      <c r="G20" s="2461"/>
      <c r="H20" s="2461"/>
      <c r="I20" s="2461"/>
      <c r="J20" s="2461"/>
      <c r="K20" s="246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46" t="str">
        <f>'Single Audit Cover'!A7</f>
        <v>Itasca SD 10</v>
      </c>
      <c r="C1" s="2446"/>
      <c r="D1" s="2446"/>
      <c r="E1" s="1456"/>
    </row>
    <row r="2" spans="2:5" s="1266" customFormat="1" ht="12.75" customHeight="1" x14ac:dyDescent="0.2">
      <c r="B2" s="2448">
        <f>'Single Audit Cover'!E7</f>
        <v>19022010002</v>
      </c>
      <c r="C2" s="2448"/>
      <c r="D2" s="2448"/>
      <c r="E2" s="1457"/>
    </row>
    <row r="3" spans="2:5" ht="12.75" customHeight="1" x14ac:dyDescent="0.2">
      <c r="B3" s="2462" t="s">
        <v>1766</v>
      </c>
      <c r="C3" s="2462"/>
      <c r="D3" s="2462"/>
      <c r="E3" s="1258"/>
    </row>
    <row r="4" spans="2:5" s="1266" customFormat="1" ht="12.75" customHeight="1" x14ac:dyDescent="0.2">
      <c r="B4" s="2472" t="str">
        <f>'Single Audit Cover'!A4</f>
        <v>Year Ending June 30, 2019</v>
      </c>
      <c r="C4" s="2472"/>
      <c r="D4" s="2472"/>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Q23" sqref="Q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0" t="s">
        <v>386</v>
      </c>
      <c r="B1" s="2070"/>
      <c r="C1" s="2070"/>
      <c r="D1" s="2070"/>
      <c r="E1" s="2070"/>
      <c r="F1" s="2070"/>
      <c r="G1" s="2070"/>
      <c r="H1" s="2070"/>
      <c r="I1" s="2070"/>
      <c r="J1" s="2070"/>
      <c r="K1" s="2070"/>
      <c r="L1" s="2070"/>
      <c r="M1" s="207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545871748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1.7028999999999999E-2</v>
      </c>
      <c r="E10" s="356" t="s">
        <v>1005</v>
      </c>
      <c r="F10" s="355">
        <v>2.5739999999999999E-3</v>
      </c>
      <c r="G10" s="356" t="s">
        <v>1005</v>
      </c>
      <c r="H10" s="355">
        <v>7.4299999999999995E-4</v>
      </c>
      <c r="I10" s="356" t="s">
        <v>1006</v>
      </c>
      <c r="J10" s="1719">
        <f>ROUND(D10+F10+H10,5)</f>
        <v>2.035E-2</v>
      </c>
      <c r="K10" s="222"/>
      <c r="L10" s="355">
        <v>0</v>
      </c>
      <c r="M10" s="222"/>
    </row>
    <row r="11" spans="1:14" ht="7.5" customHeight="1" x14ac:dyDescent="0.2">
      <c r="B11" s="222"/>
      <c r="C11" s="222"/>
      <c r="D11" s="2080" t="str">
        <f>IF(SUM(J10)&lt;=0.0999999,"","Enter the Tax Rates by moving the decimal two places to the left.")</f>
        <v/>
      </c>
      <c r="E11" s="2081"/>
      <c r="F11" s="2081"/>
      <c r="G11" s="2081"/>
      <c r="H11" s="2081"/>
      <c r="I11" s="2081"/>
      <c r="J11" s="20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12669419</v>
      </c>
      <c r="E16" s="356"/>
      <c r="F16" s="1720">
        <f>SUM('Acct Summary 7-8'!C17,'Acct Summary 7-8'!D17,'Acct Summary 7-8'!F17)</f>
        <v>11888298</v>
      </c>
      <c r="G16" s="356"/>
      <c r="H16" s="1720">
        <f>SUM(D16-F16)</f>
        <v>781121</v>
      </c>
      <c r="I16" s="222"/>
      <c r="J16" s="1720">
        <f>SUM('Acct Summary 7-8'!C81,'Acct Summary 7-8'!D81,'Acct Summary 7-8'!F81,'Acct Summary 7-8'!I81)</f>
        <v>15820496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586</v>
      </c>
      <c r="D31" s="237" t="s">
        <v>1072</v>
      </c>
      <c r="E31" s="222"/>
      <c r="F31" s="222"/>
      <c r="G31" s="363"/>
      <c r="H31" s="1722">
        <f>IF(B31="X",(J7*0.069),IF(B32="X",(J7*0.138),"Enter x in a.or b."))</f>
        <v>37665150.612000003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9868322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1"/>
      <c r="C54" s="2072"/>
      <c r="D54" s="2072"/>
      <c r="E54" s="2072"/>
      <c r="F54" s="2072"/>
      <c r="G54" s="2072"/>
      <c r="H54" s="2072"/>
      <c r="I54" s="2072"/>
      <c r="J54" s="2072"/>
      <c r="K54" s="2072"/>
      <c r="L54" s="2073"/>
      <c r="M54" s="380"/>
    </row>
    <row r="55" spans="1:13" ht="12.75" customHeight="1" x14ac:dyDescent="0.2">
      <c r="B55" s="2074"/>
      <c r="C55" s="2075"/>
      <c r="D55" s="2075"/>
      <c r="E55" s="2075"/>
      <c r="F55" s="2075"/>
      <c r="G55" s="2075"/>
      <c r="H55" s="2075"/>
      <c r="I55" s="2075"/>
      <c r="J55" s="2075"/>
      <c r="K55" s="2075"/>
      <c r="L55" s="2076"/>
      <c r="M55" s="380"/>
    </row>
    <row r="56" spans="1:13" ht="12.75" customHeight="1" x14ac:dyDescent="0.2">
      <c r="B56" s="2074"/>
      <c r="C56" s="2075"/>
      <c r="D56" s="2075"/>
      <c r="E56" s="2075"/>
      <c r="F56" s="2075"/>
      <c r="G56" s="2075"/>
      <c r="H56" s="2075"/>
      <c r="I56" s="2075"/>
      <c r="J56" s="2075"/>
      <c r="K56" s="2075"/>
      <c r="L56" s="2076"/>
      <c r="M56" s="222"/>
    </row>
    <row r="57" spans="1:13" ht="12.75" customHeight="1" x14ac:dyDescent="0.2">
      <c r="B57" s="2074"/>
      <c r="C57" s="2075"/>
      <c r="D57" s="2075"/>
      <c r="E57" s="2075"/>
      <c r="F57" s="2075"/>
      <c r="G57" s="2075"/>
      <c r="H57" s="2075"/>
      <c r="I57" s="2075"/>
      <c r="J57" s="2075"/>
      <c r="K57" s="2075"/>
      <c r="L57" s="2076"/>
      <c r="M57" s="222"/>
    </row>
    <row r="58" spans="1:13" x14ac:dyDescent="0.2">
      <c r="B58" s="2077"/>
      <c r="C58" s="2078"/>
      <c r="D58" s="2078"/>
      <c r="E58" s="2078"/>
      <c r="F58" s="2078"/>
      <c r="G58" s="2078"/>
      <c r="H58" s="2078"/>
      <c r="I58" s="2078"/>
      <c r="J58" s="2078"/>
      <c r="K58" s="2078"/>
      <c r="L58" s="20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2"/>
      <c r="D61" s="20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Q23" sqref="Q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5"/>
      <c r="B1" s="2086"/>
      <c r="C1" s="2086"/>
      <c r="D1" s="384"/>
      <c r="E1" s="384"/>
      <c r="F1" s="384"/>
      <c r="G1" s="384"/>
      <c r="H1" s="384"/>
      <c r="I1" s="384"/>
      <c r="J1" s="384"/>
      <c r="K1" s="384"/>
      <c r="L1" s="384"/>
      <c r="M1" s="384"/>
      <c r="N1" s="384"/>
      <c r="O1" s="2085"/>
      <c r="P1" s="2086"/>
      <c r="Q1" s="2086"/>
    </row>
    <row r="2" spans="1:18" ht="15" x14ac:dyDescent="0.2">
      <c r="A2" s="2089" t="s">
        <v>556</v>
      </c>
      <c r="B2" s="2089"/>
      <c r="C2" s="2089"/>
      <c r="D2" s="2089"/>
      <c r="E2" s="2089"/>
      <c r="F2" s="2089"/>
      <c r="G2" s="2089"/>
      <c r="H2" s="2089"/>
      <c r="I2" s="2089"/>
      <c r="J2" s="2089"/>
      <c r="K2" s="2089"/>
      <c r="L2" s="2089"/>
      <c r="M2" s="2089"/>
      <c r="N2" s="2089"/>
      <c r="O2" s="2089"/>
      <c r="P2" s="2089"/>
      <c r="Q2" s="2089"/>
      <c r="R2" s="2089"/>
    </row>
    <row r="3" spans="1:18" ht="12.75" x14ac:dyDescent="0.2">
      <c r="A3" s="2090" t="s">
        <v>1413</v>
      </c>
      <c r="B3" s="2090"/>
      <c r="C3" s="2090"/>
      <c r="D3" s="2090"/>
      <c r="E3" s="2090"/>
      <c r="F3" s="2090"/>
      <c r="G3" s="2090"/>
      <c r="H3" s="2090"/>
      <c r="I3" s="2090"/>
      <c r="J3" s="2090"/>
      <c r="K3" s="2090"/>
      <c r="L3" s="2090"/>
      <c r="M3" s="2090"/>
      <c r="N3" s="2090"/>
      <c r="O3" s="2090"/>
      <c r="P3" s="2090"/>
      <c r="Q3" s="2090"/>
      <c r="R3" s="2090"/>
    </row>
    <row r="4" spans="1:18" x14ac:dyDescent="0.2">
      <c r="A4" s="2091" t="s">
        <v>1554</v>
      </c>
      <c r="B4" s="2091"/>
      <c r="C4" s="2091"/>
      <c r="D4" s="2091"/>
      <c r="E4" s="2091"/>
      <c r="F4" s="2091"/>
      <c r="G4" s="2091"/>
      <c r="H4" s="2091"/>
      <c r="I4" s="2091"/>
      <c r="J4" s="2091"/>
      <c r="K4" s="2091"/>
      <c r="L4" s="2091"/>
      <c r="M4" s="2091"/>
      <c r="N4" s="2091"/>
      <c r="O4" s="2091"/>
      <c r="P4" s="2091"/>
      <c r="Q4" s="2091"/>
      <c r="R4" s="20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Itasca SD 10</v>
      </c>
      <c r="E7" s="391"/>
      <c r="G7" s="252"/>
      <c r="H7" s="387"/>
      <c r="I7" s="387"/>
      <c r="J7" s="387"/>
      <c r="K7" s="387"/>
      <c r="L7" s="329"/>
      <c r="M7" s="329"/>
      <c r="N7" s="329"/>
      <c r="O7" s="329"/>
      <c r="P7" s="329"/>
    </row>
    <row r="8" spans="1:18" ht="12.75" x14ac:dyDescent="0.2">
      <c r="A8" s="329"/>
      <c r="B8" s="329"/>
      <c r="C8" s="389" t="s">
        <v>1125</v>
      </c>
      <c r="D8" s="392">
        <f>COVER!A13</f>
        <v>19022010002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15820496</v>
      </c>
      <c r="I12" s="404"/>
      <c r="J12" s="404"/>
      <c r="K12" s="405">
        <f>TRUNC((H12/H13*100000),5)/100000</f>
        <v>1.2549257265</v>
      </c>
      <c r="L12" s="406"/>
      <c r="M12" s="360" t="s">
        <v>1144</v>
      </c>
      <c r="N12" s="360"/>
      <c r="O12" s="407">
        <v>0.35</v>
      </c>
      <c r="P12" s="218"/>
      <c r="Q12" s="218"/>
    </row>
    <row r="13" spans="1:18" s="408" customFormat="1" ht="12.75" x14ac:dyDescent="0.2">
      <c r="A13" s="218"/>
      <c r="B13" s="401"/>
      <c r="C13" s="2087" t="s">
        <v>1324</v>
      </c>
      <c r="D13" s="2088"/>
      <c r="E13" s="218"/>
      <c r="F13" s="409" t="s">
        <v>793</v>
      </c>
      <c r="G13" s="402"/>
      <c r="H13" s="403">
        <f>SUM('Acct Summary 7-8'!C8+'Acct Summary 7-8'!D8+'Acct Summary 7-8'!F8+'Acct Summary 7-8'!I8)+H14</f>
        <v>12606719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-62700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11888298</v>
      </c>
      <c r="I17" s="404"/>
      <c r="J17" s="416"/>
      <c r="K17" s="405">
        <f>TRUNC((H17/H18*100000),5)/100000</f>
        <v>0.94301284889999992</v>
      </c>
      <c r="L17" s="406"/>
      <c r="M17" s="417" t="s">
        <v>1171</v>
      </c>
      <c r="O17" s="418" t="str">
        <f>IF(AND(O16="2", J20 &gt; 2),"1",IF(AND(O16 = "1", J20 &gt; 2),"2",IF(AND(O16="1", J20 &gt;1),"1","0")))</f>
        <v>0</v>
      </c>
      <c r="P17" s="218"/>
    </row>
    <row r="18" spans="1:18" s="408" customFormat="1" ht="11.25" x14ac:dyDescent="0.2">
      <c r="A18" s="218"/>
      <c r="B18" s="401"/>
      <c r="C18" s="2087" t="s">
        <v>1317</v>
      </c>
      <c r="D18" s="2088"/>
      <c r="E18" s="218"/>
      <c r="F18" s="419" t="s">
        <v>794</v>
      </c>
      <c r="G18" s="402"/>
      <c r="H18" s="403">
        <f>SUM('Acct Summary 7-8'!C8+'Acct Summary 7-8'!D8+'Acct Summary 7-8'!F8+'Acct Summary 7-8'!I8)+H19</f>
        <v>12606719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-62700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4" t="s">
        <v>1412</v>
      </c>
      <c r="D24" s="2084"/>
      <c r="E24" s="218"/>
      <c r="F24" s="218" t="s">
        <v>445</v>
      </c>
      <c r="G24" s="402"/>
      <c r="H24" s="403">
        <f>SUM('Assets-Liab 5-6'!C4+'Assets-Liab 5-6'!D4+'Assets-Liab 5-6'!F4+'Assets-Liab 5-6'!I4+'Assets-Liab 5-6'!C5+'Assets-Liab 5-6'!D5+'Assets-Liab 5-6'!F5+'Assets-Liab 5-6'!I5)</f>
        <v>15820496</v>
      </c>
      <c r="I24" s="422"/>
      <c r="J24" s="422"/>
      <c r="K24" s="423">
        <f>TRUNC(((H24/H25*100000)/100000),2)</f>
        <v>479.07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33023.050000000003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9442216.5610300004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9868322</v>
      </c>
      <c r="I32" s="420"/>
      <c r="J32" s="420"/>
      <c r="K32" s="423">
        <f>TRUNC(100-((((H32/H33*100))*100)/100),2)</f>
        <v>73.790000000000006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37665150.612000003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Q23" sqref="Q23"/>
      <selection pane="bottomLeft" activeCell="Q23" sqref="Q23"/>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4" t="s">
        <v>973</v>
      </c>
      <c r="B3" s="2095"/>
      <c r="C3" s="1546"/>
      <c r="D3" s="1547"/>
      <c r="E3" s="1547"/>
      <c r="F3" s="1547"/>
      <c r="G3" s="1547"/>
      <c r="H3" s="1547"/>
      <c r="I3" s="1547"/>
      <c r="J3" s="1547"/>
      <c r="K3" s="1547"/>
      <c r="L3" s="1547"/>
      <c r="M3" s="1548"/>
      <c r="N3" s="1549"/>
    </row>
    <row r="4" spans="1:14" ht="13.5" customHeight="1" x14ac:dyDescent="0.2">
      <c r="A4" s="463" t="s">
        <v>1651</v>
      </c>
      <c r="B4" s="464"/>
      <c r="C4" s="465">
        <v>438388</v>
      </c>
      <c r="D4" s="465">
        <v>0</v>
      </c>
      <c r="E4" s="465">
        <v>22310</v>
      </c>
      <c r="F4" s="465">
        <v>142887</v>
      </c>
      <c r="G4" s="465">
        <v>43732</v>
      </c>
      <c r="H4" s="465">
        <v>494328</v>
      </c>
      <c r="I4" s="465">
        <v>0</v>
      </c>
      <c r="J4" s="465">
        <v>0</v>
      </c>
      <c r="K4" s="465">
        <v>0</v>
      </c>
      <c r="L4" s="465">
        <v>27189</v>
      </c>
      <c r="M4" s="468"/>
      <c r="N4" s="469"/>
    </row>
    <row r="5" spans="1:14" x14ac:dyDescent="0.2">
      <c r="A5" s="463" t="s">
        <v>992</v>
      </c>
      <c r="B5" s="470">
        <v>120</v>
      </c>
      <c r="C5" s="465">
        <v>10034192</v>
      </c>
      <c r="D5" s="465">
        <v>1806676</v>
      </c>
      <c r="E5" s="465">
        <v>427946</v>
      </c>
      <c r="F5" s="465">
        <v>355369</v>
      </c>
      <c r="G5" s="465">
        <v>292254</v>
      </c>
      <c r="H5" s="465">
        <v>0</v>
      </c>
      <c r="I5" s="465">
        <v>3042984</v>
      </c>
      <c r="J5" s="465">
        <v>0</v>
      </c>
      <c r="K5" s="465">
        <v>0</v>
      </c>
      <c r="L5" s="465">
        <v>0</v>
      </c>
      <c r="M5" s="468"/>
      <c r="N5" s="469"/>
    </row>
    <row r="6" spans="1:14" ht="13.5" customHeight="1" x14ac:dyDescent="0.2">
      <c r="A6" s="471" t="s">
        <v>417</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10472580</v>
      </c>
      <c r="D13" s="1724">
        <f t="shared" ref="D13:L13" si="0">SUM(D4:D12)</f>
        <v>1806676</v>
      </c>
      <c r="E13" s="1724">
        <f t="shared" si="0"/>
        <v>450256</v>
      </c>
      <c r="F13" s="1724">
        <f t="shared" si="0"/>
        <v>498256</v>
      </c>
      <c r="G13" s="1724">
        <f t="shared" si="0"/>
        <v>335986</v>
      </c>
      <c r="H13" s="1724">
        <f t="shared" si="0"/>
        <v>494328</v>
      </c>
      <c r="I13" s="1724">
        <f t="shared" si="0"/>
        <v>3042984</v>
      </c>
      <c r="J13" s="1724">
        <f t="shared" si="0"/>
        <v>0</v>
      </c>
      <c r="K13" s="1724">
        <f t="shared" si="0"/>
        <v>0</v>
      </c>
      <c r="L13" s="1724">
        <f t="shared" si="0"/>
        <v>27189</v>
      </c>
      <c r="M13" s="468"/>
      <c r="N13" s="469"/>
    </row>
    <row r="14" spans="1:14" ht="18" customHeight="1" thickTop="1" x14ac:dyDescent="0.2">
      <c r="A14" s="2096" t="s">
        <v>147</v>
      </c>
      <c r="B14" s="2097"/>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1797401</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21958080</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96220</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5471568</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450256</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9418066</v>
      </c>
    </row>
    <row r="23" spans="1:14" ht="13.5" customHeight="1" thickBot="1" x14ac:dyDescent="0.25">
      <c r="A23" s="1723" t="s">
        <v>643</v>
      </c>
      <c r="B23" s="1728"/>
      <c r="C23" s="468"/>
      <c r="D23" s="468"/>
      <c r="E23" s="468"/>
      <c r="F23" s="468"/>
      <c r="G23" s="468"/>
      <c r="H23" s="468"/>
      <c r="I23" s="468"/>
      <c r="J23" s="468"/>
      <c r="K23" s="468"/>
      <c r="L23" s="468"/>
      <c r="M23" s="1675">
        <f>SUM(M15:M22)</f>
        <v>29323269</v>
      </c>
      <c r="N23" s="1675">
        <f>SUM(N21:N22)</f>
        <v>9868322</v>
      </c>
    </row>
    <row r="24" spans="1:14" ht="18" customHeight="1" thickTop="1" x14ac:dyDescent="0.2">
      <c r="A24" s="2098" t="s">
        <v>598</v>
      </c>
      <c r="B24" s="2099"/>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27189</v>
      </c>
      <c r="M33" s="468"/>
      <c r="N33" s="469"/>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27189</v>
      </c>
      <c r="M34" s="468"/>
      <c r="N34" s="476"/>
    </row>
    <row r="35" spans="1:14" ht="18" customHeight="1" thickTop="1" x14ac:dyDescent="0.2">
      <c r="A35" s="2100" t="s">
        <v>529</v>
      </c>
      <c r="B35" s="2101"/>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9868322</v>
      </c>
    </row>
    <row r="37" spans="1:14" ht="13.5" thickBot="1" x14ac:dyDescent="0.25">
      <c r="A37" s="1723" t="s">
        <v>653</v>
      </c>
      <c r="B37" s="1728"/>
      <c r="C37" s="473"/>
      <c r="D37" s="473"/>
      <c r="E37" s="473"/>
      <c r="F37" s="473"/>
      <c r="G37" s="473"/>
      <c r="H37" s="473"/>
      <c r="I37" s="473"/>
      <c r="J37" s="473"/>
      <c r="K37" s="473"/>
      <c r="L37" s="476"/>
      <c r="M37" s="468"/>
      <c r="N37" s="1675">
        <f>SUM(N36:N36)</f>
        <v>9868322</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10472580</v>
      </c>
      <c r="D39" s="465">
        <v>1806676</v>
      </c>
      <c r="E39" s="465">
        <v>450256</v>
      </c>
      <c r="F39" s="465">
        <v>498256</v>
      </c>
      <c r="G39" s="465">
        <v>335986</v>
      </c>
      <c r="H39" s="465">
        <v>494328</v>
      </c>
      <c r="I39" s="465">
        <v>3042984</v>
      </c>
      <c r="J39" s="465">
        <v>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29323269</v>
      </c>
      <c r="N40" s="492"/>
    </row>
    <row r="41" spans="1:14" ht="13.5" customHeight="1" thickBot="1" x14ac:dyDescent="0.25">
      <c r="A41" s="1723" t="s">
        <v>655</v>
      </c>
      <c r="B41" s="1693"/>
      <c r="C41" s="1675">
        <f>(SUM(C34,C37,C38,C39))</f>
        <v>10472580</v>
      </c>
      <c r="D41" s="1675">
        <f t="shared" ref="D41:L41" si="2">SUM(D34,D37,D38:D39)</f>
        <v>1806676</v>
      </c>
      <c r="E41" s="1675">
        <f t="shared" si="2"/>
        <v>450256</v>
      </c>
      <c r="F41" s="1675">
        <f t="shared" si="2"/>
        <v>498256</v>
      </c>
      <c r="G41" s="1675">
        <f t="shared" si="2"/>
        <v>335986</v>
      </c>
      <c r="H41" s="1675">
        <f t="shared" si="2"/>
        <v>494328</v>
      </c>
      <c r="I41" s="1675">
        <f t="shared" si="2"/>
        <v>3042984</v>
      </c>
      <c r="J41" s="1675">
        <f t="shared" si="2"/>
        <v>0</v>
      </c>
      <c r="K41" s="1675">
        <f t="shared" si="2"/>
        <v>0</v>
      </c>
      <c r="L41" s="1675">
        <f t="shared" si="2"/>
        <v>27189</v>
      </c>
      <c r="M41" s="1675">
        <f>SUM(M40)</f>
        <v>29323269</v>
      </c>
      <c r="N41" s="1675">
        <f>SUM(N37)</f>
        <v>9868322</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Q23" sqref="Q23"/>
      <selection pane="bottomLeft" activeCell="Q23" sqref="Q23"/>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0"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1"/>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2" t="s">
        <v>1175</v>
      </c>
      <c r="B3" s="2123"/>
      <c r="C3" s="1560"/>
      <c r="D3" s="1561"/>
      <c r="E3" s="1561"/>
      <c r="F3" s="1561"/>
      <c r="G3" s="1561"/>
      <c r="H3" s="1561"/>
      <c r="I3" s="1561"/>
      <c r="J3" s="1561"/>
      <c r="K3" s="1562"/>
      <c r="L3" s="501"/>
    </row>
    <row r="4" spans="1:13" ht="15.75" customHeight="1" x14ac:dyDescent="0.2">
      <c r="A4" s="1915" t="s">
        <v>1499</v>
      </c>
      <c r="B4" s="1916">
        <v>1000</v>
      </c>
      <c r="C4" s="1729">
        <f>'Revenues 9-14'!C109</f>
        <v>9761034</v>
      </c>
      <c r="D4" s="1729">
        <f>'Revenues 9-14'!D109</f>
        <v>1373475</v>
      </c>
      <c r="E4" s="1729">
        <f>'Revenues 9-14'!E109</f>
        <v>814335</v>
      </c>
      <c r="F4" s="1729">
        <f>'Revenues 9-14'!F109</f>
        <v>408862</v>
      </c>
      <c r="G4" s="1729">
        <f>'Revenues 9-14'!G109</f>
        <v>320888</v>
      </c>
      <c r="H4" s="1729">
        <f>'Revenues 9-14'!H109</f>
        <v>8028</v>
      </c>
      <c r="I4" s="1729">
        <f>'Revenues 9-14'!I109</f>
        <v>56650</v>
      </c>
      <c r="J4" s="1729">
        <f>'Revenues 9-14'!J109</f>
        <v>0</v>
      </c>
      <c r="K4" s="1729">
        <f>'Revenues 9-14'!K109</f>
        <v>0</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646431</v>
      </c>
      <c r="D6" s="1730">
        <f>'Revenues 9-14'!D170</f>
        <v>0</v>
      </c>
      <c r="E6" s="1730">
        <f>'Revenues 9-14'!E170</f>
        <v>0</v>
      </c>
      <c r="F6" s="1730">
        <f>'Revenues 9-14'!F170</f>
        <v>68902</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354065</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10761530</v>
      </c>
      <c r="D8" s="1675">
        <f t="shared" ref="D8:K8" si="0">SUM(D4:D7)</f>
        <v>1373475</v>
      </c>
      <c r="E8" s="1675">
        <f t="shared" si="0"/>
        <v>814335</v>
      </c>
      <c r="F8" s="1675">
        <f t="shared" si="0"/>
        <v>477764</v>
      </c>
      <c r="G8" s="1675">
        <f t="shared" si="0"/>
        <v>320888</v>
      </c>
      <c r="H8" s="1675">
        <f t="shared" si="0"/>
        <v>8028</v>
      </c>
      <c r="I8" s="1675">
        <f t="shared" si="0"/>
        <v>56650</v>
      </c>
      <c r="J8" s="1675">
        <f t="shared" si="0"/>
        <v>0</v>
      </c>
      <c r="K8" s="1675">
        <f t="shared" si="0"/>
        <v>0</v>
      </c>
      <c r="L8" s="347"/>
    </row>
    <row r="9" spans="1:13" ht="15.75" thickTop="1" x14ac:dyDescent="0.2">
      <c r="A9" s="509" t="s">
        <v>1653</v>
      </c>
      <c r="B9" s="510">
        <v>3998</v>
      </c>
      <c r="C9" s="477">
        <v>3977922</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14739452</v>
      </c>
      <c r="D10" s="1675">
        <f t="shared" ref="D10:K10" si="1">SUM(D8:D9)</f>
        <v>1373475</v>
      </c>
      <c r="E10" s="1675">
        <f t="shared" si="1"/>
        <v>814335</v>
      </c>
      <c r="F10" s="1675">
        <f t="shared" si="1"/>
        <v>477764</v>
      </c>
      <c r="G10" s="1675">
        <f t="shared" si="1"/>
        <v>320888</v>
      </c>
      <c r="H10" s="1675">
        <f t="shared" si="1"/>
        <v>8028</v>
      </c>
      <c r="I10" s="1675">
        <f t="shared" si="1"/>
        <v>56650</v>
      </c>
      <c r="J10" s="1675">
        <f t="shared" si="1"/>
        <v>0</v>
      </c>
      <c r="K10" s="1675">
        <f t="shared" si="1"/>
        <v>0</v>
      </c>
      <c r="L10" s="513"/>
    </row>
    <row r="11" spans="1:13" s="514" customFormat="1" ht="16.7" customHeight="1" thickTop="1" x14ac:dyDescent="0.2">
      <c r="A11" s="2096" t="s">
        <v>1176</v>
      </c>
      <c r="B11" s="2097"/>
      <c r="C11" s="1557"/>
      <c r="D11" s="1558"/>
      <c r="E11" s="1558"/>
      <c r="F11" s="1558"/>
      <c r="G11" s="1558"/>
      <c r="H11" s="1558"/>
      <c r="I11" s="1558"/>
      <c r="J11" s="1558"/>
      <c r="K11" s="1559"/>
      <c r="L11" s="513"/>
    </row>
    <row r="12" spans="1:13" ht="15.75" customHeight="1" x14ac:dyDescent="0.2">
      <c r="A12" s="1563" t="s">
        <v>456</v>
      </c>
      <c r="B12" s="1565">
        <v>1000</v>
      </c>
      <c r="C12" s="1729">
        <f>'Expenditures 15-22'!K33</f>
        <v>6129168</v>
      </c>
      <c r="D12" s="515" t="s">
        <v>1169</v>
      </c>
      <c r="E12" s="468" t="s">
        <v>1169</v>
      </c>
      <c r="F12" s="468" t="s">
        <v>1169</v>
      </c>
      <c r="G12" s="1729">
        <f>'Expenditures 15-22'!K229</f>
        <v>129270</v>
      </c>
      <c r="H12" s="516"/>
      <c r="I12" s="468" t="s">
        <v>1169</v>
      </c>
      <c r="J12" s="468" t="s">
        <v>1169</v>
      </c>
      <c r="K12" s="516" t="s">
        <v>1169</v>
      </c>
      <c r="L12" s="347"/>
    </row>
    <row r="13" spans="1:13" ht="15.75" customHeight="1" x14ac:dyDescent="0.2">
      <c r="A13" s="1563" t="s">
        <v>457</v>
      </c>
      <c r="B13" s="1565">
        <v>2000</v>
      </c>
      <c r="C13" s="1730">
        <f>'Expenditures 15-22'!K74</f>
        <v>3368971</v>
      </c>
      <c r="D13" s="1730">
        <f>'Expenditures 15-22'!K129</f>
        <v>1035315</v>
      </c>
      <c r="E13" s="469" t="s">
        <v>1169</v>
      </c>
      <c r="F13" s="1730">
        <f>'Expenditures 15-22'!K184</f>
        <v>489655</v>
      </c>
      <c r="G13" s="1730">
        <f>'Expenditures 15-22'!K279</f>
        <v>186480</v>
      </c>
      <c r="H13" s="1730">
        <f>'Expenditures 15-22'!K303</f>
        <v>13700</v>
      </c>
      <c r="I13" s="468" t="s">
        <v>1169</v>
      </c>
      <c r="J13" s="1730">
        <f>'Expenditures 15-22'!K330</f>
        <v>0</v>
      </c>
      <c r="K13" s="1734">
        <f>'Expenditures 15-22'!K352</f>
        <v>0</v>
      </c>
      <c r="L13" s="347"/>
    </row>
    <row r="14" spans="1:13" ht="15.75" customHeight="1" x14ac:dyDescent="0.2">
      <c r="A14" s="1563" t="s">
        <v>449</v>
      </c>
      <c r="B14" s="1565">
        <v>3000</v>
      </c>
      <c r="C14" s="1730">
        <f>'Expenditures 15-22'!K75</f>
        <v>1189</v>
      </c>
      <c r="D14" s="1730">
        <f>'Expenditures 15-22'!K130</f>
        <v>0</v>
      </c>
      <c r="E14" s="515" t="s">
        <v>1169</v>
      </c>
      <c r="F14" s="1730">
        <f>'Expenditures 15-22'!K185</f>
        <v>0</v>
      </c>
      <c r="G14" s="1730">
        <f>'Expenditures 15-22'!K280</f>
        <v>0</v>
      </c>
      <c r="H14" s="507"/>
      <c r="I14" s="468" t="s">
        <v>1169</v>
      </c>
      <c r="J14" s="468" t="s">
        <v>1169</v>
      </c>
      <c r="K14" s="507" t="s">
        <v>1169</v>
      </c>
      <c r="L14" s="347"/>
    </row>
    <row r="15" spans="1:13" ht="15.75" customHeight="1" x14ac:dyDescent="0.2">
      <c r="A15" s="1563" t="s">
        <v>107</v>
      </c>
      <c r="B15" s="1565">
        <v>4000</v>
      </c>
      <c r="C15" s="1730">
        <f>'Expenditures 15-22'!K102</f>
        <v>864000</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877463</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10363328</v>
      </c>
      <c r="D17" s="1675">
        <f t="shared" si="2"/>
        <v>1035315</v>
      </c>
      <c r="E17" s="1675">
        <f t="shared" si="2"/>
        <v>877463</v>
      </c>
      <c r="F17" s="1675">
        <f t="shared" si="2"/>
        <v>489655</v>
      </c>
      <c r="G17" s="1675">
        <f t="shared" si="2"/>
        <v>315750</v>
      </c>
      <c r="H17" s="1675">
        <f t="shared" si="2"/>
        <v>13700</v>
      </c>
      <c r="I17" s="468"/>
      <c r="J17" s="1675">
        <f>SUM(J12:J16)</f>
        <v>0</v>
      </c>
      <c r="K17" s="1675">
        <f>SUM(K12:K16)</f>
        <v>0</v>
      </c>
      <c r="L17" s="347"/>
    </row>
    <row r="18" spans="1:12" ht="15" customHeight="1" thickTop="1" x14ac:dyDescent="0.2">
      <c r="A18" s="1731" t="s">
        <v>1654</v>
      </c>
      <c r="B18" s="1732">
        <v>4180</v>
      </c>
      <c r="C18" s="1729">
        <f t="shared" ref="C18:H18" si="3">C9</f>
        <v>3977922</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14341250</v>
      </c>
      <c r="D19" s="1675">
        <f t="shared" si="4"/>
        <v>1035315</v>
      </c>
      <c r="E19" s="1675">
        <f t="shared" si="4"/>
        <v>877463</v>
      </c>
      <c r="F19" s="1675">
        <f t="shared" si="4"/>
        <v>489655</v>
      </c>
      <c r="G19" s="1675">
        <f t="shared" si="4"/>
        <v>315750</v>
      </c>
      <c r="H19" s="1675">
        <f t="shared" si="4"/>
        <v>13700</v>
      </c>
      <c r="I19" s="468"/>
      <c r="J19" s="1675">
        <f>SUM(J17:J18)</f>
        <v>0</v>
      </c>
      <c r="K19" s="1675">
        <f>SUM(K17:K18)</f>
        <v>0</v>
      </c>
      <c r="L19" s="347"/>
    </row>
    <row r="20" spans="1:12" ht="16.5" thickTop="1" thickBot="1" x14ac:dyDescent="0.25">
      <c r="A20" s="2112" t="s">
        <v>1655</v>
      </c>
      <c r="B20" s="2113"/>
      <c r="C20" s="1733">
        <f>C8-C17</f>
        <v>398202</v>
      </c>
      <c r="D20" s="1733">
        <f t="shared" ref="D20:K20" si="5">D8-D17</f>
        <v>338160</v>
      </c>
      <c r="E20" s="1733">
        <f t="shared" si="5"/>
        <v>-63128</v>
      </c>
      <c r="F20" s="1733">
        <f t="shared" si="5"/>
        <v>-11891</v>
      </c>
      <c r="G20" s="1733">
        <f t="shared" si="5"/>
        <v>5138</v>
      </c>
      <c r="H20" s="1733">
        <f t="shared" si="5"/>
        <v>-5672</v>
      </c>
      <c r="I20" s="1733">
        <f t="shared" si="5"/>
        <v>56650</v>
      </c>
      <c r="J20" s="1733">
        <f t="shared" si="5"/>
        <v>0</v>
      </c>
      <c r="K20" s="1733">
        <f t="shared" si="5"/>
        <v>0</v>
      </c>
      <c r="L20" s="347"/>
    </row>
    <row r="21" spans="1:12" ht="16.7" customHeight="1" thickTop="1" x14ac:dyDescent="0.2">
      <c r="A21" s="2124" t="s">
        <v>595</v>
      </c>
      <c r="B21" s="2125"/>
      <c r="C21" s="1557"/>
      <c r="D21" s="1558"/>
      <c r="E21" s="1558"/>
      <c r="F21" s="1558"/>
      <c r="G21" s="1558"/>
      <c r="H21" s="1558"/>
      <c r="I21" s="1558"/>
      <c r="J21" s="1558"/>
      <c r="K21" s="1559"/>
      <c r="L21" s="519"/>
    </row>
    <row r="22" spans="1:12" ht="15.75" customHeight="1" collapsed="1" x14ac:dyDescent="0.2">
      <c r="A22" s="2120" t="s">
        <v>596</v>
      </c>
      <c r="B22" s="2121"/>
      <c r="C22" s="473"/>
      <c r="D22" s="473"/>
      <c r="E22" s="473"/>
      <c r="F22" s="473"/>
      <c r="G22" s="473"/>
      <c r="H22" s="473"/>
      <c r="I22" s="473"/>
      <c r="J22" s="473"/>
      <c r="K22" s="473"/>
      <c r="L22" s="347"/>
    </row>
    <row r="23" spans="1:12" s="481" customFormat="1" ht="15.75" customHeight="1" x14ac:dyDescent="0.2">
      <c r="A23" s="2116" t="s">
        <v>293</v>
      </c>
      <c r="B23" s="2117"/>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18" t="s">
        <v>981</v>
      </c>
      <c r="B32" s="2119"/>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57800</v>
      </c>
      <c r="F37" s="472"/>
      <c r="G37" s="472"/>
      <c r="H37" s="472"/>
      <c r="I37" s="473"/>
      <c r="J37" s="472"/>
      <c r="K37" s="472"/>
      <c r="L37" s="519"/>
    </row>
    <row r="38" spans="1:12" s="481" customFormat="1" x14ac:dyDescent="0.2">
      <c r="A38" s="1476" t="s">
        <v>442</v>
      </c>
      <c r="B38" s="520">
        <v>7500</v>
      </c>
      <c r="C38" s="473"/>
      <c r="D38" s="473"/>
      <c r="E38" s="1730">
        <f>SUM(C58:D61,H58:H61)</f>
        <v>4900</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500000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126" t="s">
        <v>374</v>
      </c>
      <c r="B44" s="2127"/>
      <c r="C44" s="1690">
        <f>SUM(C24:C43)</f>
        <v>0</v>
      </c>
      <c r="D44" s="1690">
        <f t="shared" ref="D44:K44" si="6">SUM(D24:D43)</f>
        <v>0</v>
      </c>
      <c r="E44" s="1690">
        <f t="shared" si="6"/>
        <v>62700</v>
      </c>
      <c r="F44" s="1690">
        <f t="shared" si="6"/>
        <v>0</v>
      </c>
      <c r="G44" s="1690">
        <f t="shared" si="6"/>
        <v>0</v>
      </c>
      <c r="H44" s="1690">
        <f t="shared" si="6"/>
        <v>500000</v>
      </c>
      <c r="I44" s="1690">
        <f t="shared" si="6"/>
        <v>0</v>
      </c>
      <c r="J44" s="1690">
        <f t="shared" si="6"/>
        <v>0</v>
      </c>
      <c r="K44" s="1690">
        <f t="shared" si="6"/>
        <v>0</v>
      </c>
      <c r="L44" s="519"/>
    </row>
    <row r="45" spans="1:12" ht="15.75" customHeight="1" thickTop="1" x14ac:dyDescent="0.2">
      <c r="A45" s="2120" t="s">
        <v>108</v>
      </c>
      <c r="B45" s="2121"/>
      <c r="C45" s="523"/>
      <c r="D45" s="523"/>
      <c r="E45" s="523"/>
      <c r="F45" s="523"/>
      <c r="G45" s="523"/>
      <c r="H45" s="523"/>
      <c r="I45" s="523"/>
      <c r="J45" s="523"/>
      <c r="K45" s="523"/>
      <c r="L45" s="347"/>
    </row>
    <row r="46" spans="1:12" s="481" customFormat="1" ht="15.75" customHeight="1" x14ac:dyDescent="0.2">
      <c r="A46" s="2128" t="s">
        <v>109</v>
      </c>
      <c r="B46" s="2129"/>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57800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4900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500000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02" t="s">
        <v>440</v>
      </c>
      <c r="B76" s="2103"/>
      <c r="C76" s="1690">
        <f t="shared" ref="C76:K76" si="7">SUM(C47:C75)</f>
        <v>62700</v>
      </c>
      <c r="D76" s="1690">
        <f t="shared" si="7"/>
        <v>500000</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104" t="s">
        <v>1177</v>
      </c>
      <c r="B77" s="2105"/>
      <c r="C77" s="1690">
        <f t="shared" ref="C77:K77" si="8">C44-C76</f>
        <v>-62700</v>
      </c>
      <c r="D77" s="1690">
        <f t="shared" si="8"/>
        <v>-500000</v>
      </c>
      <c r="E77" s="1690">
        <f t="shared" si="8"/>
        <v>62700</v>
      </c>
      <c r="F77" s="1690">
        <f t="shared" si="8"/>
        <v>0</v>
      </c>
      <c r="G77" s="1690">
        <f t="shared" si="8"/>
        <v>0</v>
      </c>
      <c r="H77" s="1690">
        <f t="shared" si="8"/>
        <v>500000</v>
      </c>
      <c r="I77" s="1690">
        <f t="shared" si="8"/>
        <v>0</v>
      </c>
      <c r="J77" s="1690">
        <f t="shared" si="8"/>
        <v>0</v>
      </c>
      <c r="K77" s="1690">
        <f t="shared" si="8"/>
        <v>0</v>
      </c>
      <c r="L77" s="347"/>
    </row>
    <row r="78" spans="1:12" ht="21.75" customHeight="1" thickTop="1" thickBot="1" x14ac:dyDescent="0.25">
      <c r="A78" s="2108" t="s">
        <v>597</v>
      </c>
      <c r="B78" s="2109"/>
      <c r="C78" s="1689">
        <f t="shared" ref="C78:K78" si="9">C20+C77</f>
        <v>335502</v>
      </c>
      <c r="D78" s="1689">
        <f t="shared" si="9"/>
        <v>-161840</v>
      </c>
      <c r="E78" s="1689">
        <f t="shared" si="9"/>
        <v>-428</v>
      </c>
      <c r="F78" s="1689">
        <f t="shared" si="9"/>
        <v>-11891</v>
      </c>
      <c r="G78" s="1689">
        <f t="shared" si="9"/>
        <v>5138</v>
      </c>
      <c r="H78" s="1689">
        <f t="shared" si="9"/>
        <v>494328</v>
      </c>
      <c r="I78" s="1689">
        <f t="shared" si="9"/>
        <v>56650</v>
      </c>
      <c r="J78" s="1689">
        <f t="shared" si="9"/>
        <v>0</v>
      </c>
      <c r="K78" s="1689">
        <f t="shared" si="9"/>
        <v>0</v>
      </c>
      <c r="L78" s="528"/>
    </row>
    <row r="79" spans="1:12" ht="13.5" thickTop="1" x14ac:dyDescent="0.2">
      <c r="A79" s="1481" t="s">
        <v>1949</v>
      </c>
      <c r="B79" s="529"/>
      <c r="C79" s="474">
        <v>10137078</v>
      </c>
      <c r="D79" s="474">
        <v>1968516</v>
      </c>
      <c r="E79" s="474">
        <v>450684</v>
      </c>
      <c r="F79" s="474">
        <v>510147</v>
      </c>
      <c r="G79" s="474">
        <v>330848</v>
      </c>
      <c r="H79" s="474">
        <v>0</v>
      </c>
      <c r="I79" s="474">
        <v>2986334</v>
      </c>
      <c r="J79" s="474">
        <v>0</v>
      </c>
      <c r="K79" s="474">
        <v>0</v>
      </c>
      <c r="L79" s="347"/>
    </row>
    <row r="80" spans="1:12" x14ac:dyDescent="0.2">
      <c r="A80" s="2114" t="s">
        <v>1795</v>
      </c>
      <c r="B80" s="2115"/>
      <c r="C80" s="467">
        <v>0</v>
      </c>
      <c r="D80" s="467">
        <v>0</v>
      </c>
      <c r="E80" s="467">
        <v>0</v>
      </c>
      <c r="F80" s="467">
        <v>0</v>
      </c>
      <c r="G80" s="467">
        <v>0</v>
      </c>
      <c r="H80" s="467">
        <v>0</v>
      </c>
      <c r="I80" s="467">
        <v>0</v>
      </c>
      <c r="J80" s="467">
        <v>0</v>
      </c>
      <c r="K80" s="467">
        <v>0</v>
      </c>
      <c r="L80" s="347"/>
    </row>
    <row r="81" spans="1:12" ht="13.5" thickBot="1" x14ac:dyDescent="0.25">
      <c r="A81" s="2106" t="s">
        <v>1950</v>
      </c>
      <c r="B81" s="2107"/>
      <c r="C81" s="1675">
        <f>(SUM(C78:C80))</f>
        <v>10472580</v>
      </c>
      <c r="D81" s="1675">
        <f>SUM(D78:D80)</f>
        <v>1806676</v>
      </c>
      <c r="E81" s="1675">
        <f t="shared" ref="E81:K81" si="10">SUM(E78:E80)</f>
        <v>450256</v>
      </c>
      <c r="F81" s="1675">
        <f t="shared" si="10"/>
        <v>498256</v>
      </c>
      <c r="G81" s="1675">
        <f t="shared" si="10"/>
        <v>335986</v>
      </c>
      <c r="H81" s="1675">
        <f t="shared" si="10"/>
        <v>494328</v>
      </c>
      <c r="I81" s="1675">
        <f t="shared" si="10"/>
        <v>3042984</v>
      </c>
      <c r="J81" s="1675">
        <f t="shared" si="10"/>
        <v>0</v>
      </c>
      <c r="K81" s="1675">
        <f t="shared" si="10"/>
        <v>0</v>
      </c>
      <c r="L81" s="347"/>
    </row>
    <row r="82" spans="1:12" ht="0.75" customHeight="1" thickTop="1" thickBot="1" x14ac:dyDescent="0.25">
      <c r="A82" s="531" t="s">
        <v>343</v>
      </c>
      <c r="B82" s="532"/>
      <c r="C82" s="533">
        <f>(C81-C79)</f>
        <v>335502</v>
      </c>
      <c r="D82" s="533">
        <f t="shared" ref="D82:K82" si="11">(D81-D79)</f>
        <v>-161840</v>
      </c>
      <c r="E82" s="533">
        <f t="shared" si="11"/>
        <v>-428</v>
      </c>
      <c r="F82" s="533">
        <f t="shared" si="11"/>
        <v>-11891</v>
      </c>
      <c r="G82" s="533">
        <f t="shared" si="11"/>
        <v>5138</v>
      </c>
      <c r="H82" s="533">
        <f t="shared" si="11"/>
        <v>494328</v>
      </c>
      <c r="I82" s="533">
        <f t="shared" si="11"/>
        <v>56650</v>
      </c>
      <c r="J82" s="533">
        <f t="shared" si="11"/>
        <v>0</v>
      </c>
      <c r="K82" s="533">
        <f t="shared" si="11"/>
        <v>0</v>
      </c>
    </row>
    <row r="83" spans="1:12" ht="14.25" hidden="1" thickTop="1" thickBot="1" x14ac:dyDescent="0.25">
      <c r="A83" s="534" t="s">
        <v>344</v>
      </c>
      <c r="B83" s="464"/>
      <c r="C83" s="535">
        <f>C82/C81</f>
        <v>3.2036231759509121E-2</v>
      </c>
      <c r="D83" s="535">
        <f t="shared" ref="D83:K83" si="12">D82/D81</f>
        <v>-8.9578873024272199E-2</v>
      </c>
      <c r="E83" s="535">
        <f t="shared" si="12"/>
        <v>-9.5057034220532319E-4</v>
      </c>
      <c r="F83" s="535">
        <f t="shared" si="12"/>
        <v>-2.3865241963970329E-2</v>
      </c>
      <c r="G83" s="535">
        <f t="shared" si="12"/>
        <v>1.5292303845993583E-2</v>
      </c>
      <c r="H83" s="535">
        <f t="shared" si="12"/>
        <v>1</v>
      </c>
      <c r="I83" s="535">
        <f t="shared" si="12"/>
        <v>1.8616594763561031E-2</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Q23" sqref="Q23"/>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0" t="s">
        <v>1802</v>
      </c>
      <c r="B1" s="452"/>
      <c r="C1" s="453" t="s">
        <v>425</v>
      </c>
      <c r="D1" s="453" t="s">
        <v>426</v>
      </c>
      <c r="E1" s="453" t="s">
        <v>427</v>
      </c>
      <c r="F1" s="453" t="s">
        <v>428</v>
      </c>
      <c r="G1" s="453" t="s">
        <v>429</v>
      </c>
      <c r="H1" s="453" t="s">
        <v>430</v>
      </c>
      <c r="I1" s="453" t="s">
        <v>431</v>
      </c>
      <c r="J1" s="453" t="s">
        <v>432</v>
      </c>
      <c r="K1" s="453" t="s">
        <v>756</v>
      </c>
    </row>
    <row r="2" spans="1:12" ht="36" x14ac:dyDescent="0.2">
      <c r="A2" s="2111"/>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8841537</v>
      </c>
      <c r="D5" s="477">
        <v>1340941</v>
      </c>
      <c r="E5" s="477">
        <v>796658</v>
      </c>
      <c r="F5" s="477">
        <v>381324</v>
      </c>
      <c r="G5" s="477">
        <v>135468</v>
      </c>
      <c r="H5" s="477">
        <v>0</v>
      </c>
      <c r="I5" s="477">
        <v>0</v>
      </c>
      <c r="J5" s="477">
        <v>0</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113087</v>
      </c>
      <c r="D7" s="477">
        <v>0</v>
      </c>
      <c r="E7" s="468"/>
      <c r="F7" s="477">
        <v>0</v>
      </c>
      <c r="G7" s="477">
        <v>0</v>
      </c>
      <c r="H7" s="477">
        <v>0</v>
      </c>
      <c r="I7" s="468"/>
      <c r="J7" s="468"/>
      <c r="K7" s="468"/>
    </row>
    <row r="8" spans="1:12" x14ac:dyDescent="0.2">
      <c r="A8" s="463" t="s">
        <v>413</v>
      </c>
      <c r="B8" s="470">
        <v>1150</v>
      </c>
      <c r="C8" s="472"/>
      <c r="D8" s="472"/>
      <c r="E8" s="473"/>
      <c r="F8" s="473"/>
      <c r="G8" s="477">
        <v>170808</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8954624</v>
      </c>
      <c r="D12" s="1694">
        <f t="shared" si="0"/>
        <v>1340941</v>
      </c>
      <c r="E12" s="1694">
        <f t="shared" si="0"/>
        <v>796658</v>
      </c>
      <c r="F12" s="1694">
        <f t="shared" si="0"/>
        <v>381324</v>
      </c>
      <c r="G12" s="1694">
        <f t="shared" si="0"/>
        <v>306276</v>
      </c>
      <c r="H12" s="1694">
        <f t="shared" si="0"/>
        <v>0</v>
      </c>
      <c r="I12" s="1694">
        <f t="shared" si="0"/>
        <v>0</v>
      </c>
      <c r="J12" s="1694">
        <f t="shared" si="0"/>
        <v>0</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98458</v>
      </c>
      <c r="D16" s="477">
        <v>0</v>
      </c>
      <c r="E16" s="477">
        <v>12000</v>
      </c>
      <c r="F16" s="477">
        <v>0</v>
      </c>
      <c r="G16" s="477">
        <v>9000</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98458</v>
      </c>
      <c r="D18" s="1697">
        <f t="shared" ref="D18:K18" si="1">SUM(D14:D17)</f>
        <v>0</v>
      </c>
      <c r="E18" s="1697">
        <f t="shared" si="1"/>
        <v>12000</v>
      </c>
      <c r="F18" s="1697">
        <f t="shared" si="1"/>
        <v>0</v>
      </c>
      <c r="G18" s="1697">
        <f t="shared" si="1"/>
        <v>9000</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39259</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825</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5063</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45147</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16739</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479</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17218</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174180</v>
      </c>
      <c r="D65" s="477">
        <v>29333</v>
      </c>
      <c r="E65" s="477">
        <v>5677</v>
      </c>
      <c r="F65" s="477">
        <v>10320</v>
      </c>
      <c r="G65" s="477">
        <v>5612</v>
      </c>
      <c r="H65" s="477">
        <v>8028</v>
      </c>
      <c r="I65" s="477">
        <v>56650</v>
      </c>
      <c r="J65" s="477">
        <v>0</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174180</v>
      </c>
      <c r="D67" s="1675">
        <f t="shared" ref="D67:K67" si="2">SUM(D65:D66)</f>
        <v>29333</v>
      </c>
      <c r="E67" s="1675">
        <f t="shared" si="2"/>
        <v>5677</v>
      </c>
      <c r="F67" s="1675">
        <f t="shared" si="2"/>
        <v>10320</v>
      </c>
      <c r="G67" s="1675">
        <f t="shared" si="2"/>
        <v>5612</v>
      </c>
      <c r="H67" s="1675">
        <f t="shared" si="2"/>
        <v>8028</v>
      </c>
      <c r="I67" s="1675">
        <f t="shared" si="2"/>
        <v>56650</v>
      </c>
      <c r="J67" s="1675">
        <f t="shared" si="2"/>
        <v>0</v>
      </c>
      <c r="K67" s="1675">
        <f t="shared" si="2"/>
        <v>0</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13425</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13425</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178186</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7375</v>
      </c>
      <c r="D81" s="477">
        <v>0</v>
      </c>
      <c r="E81" s="468"/>
      <c r="F81" s="468"/>
      <c r="G81" s="468"/>
      <c r="H81" s="468"/>
      <c r="I81" s="468"/>
      <c r="J81" s="468"/>
      <c r="K81" s="468"/>
    </row>
    <row r="82" spans="1:11" ht="12.75" customHeight="1" thickBot="1" x14ac:dyDescent="0.25">
      <c r="A82" s="1695" t="s">
        <v>241</v>
      </c>
      <c r="B82" s="1696"/>
      <c r="C82" s="1694">
        <f>SUM(C77:C81)</f>
        <v>185561</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855</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855</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30000</v>
      </c>
      <c r="D95" s="477">
        <v>0</v>
      </c>
      <c r="E95" s="516"/>
      <c r="F95" s="516"/>
      <c r="G95" s="516"/>
      <c r="H95" s="516"/>
      <c r="I95" s="516"/>
      <c r="J95" s="516"/>
      <c r="K95" s="516"/>
    </row>
    <row r="96" spans="1:11" ht="12.75" customHeight="1" x14ac:dyDescent="0.2">
      <c r="A96" s="463" t="s">
        <v>391</v>
      </c>
      <c r="B96" s="470">
        <v>1920</v>
      </c>
      <c r="C96" s="477">
        <v>102621</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90206</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65957</v>
      </c>
      <c r="D107" s="477">
        <v>3201</v>
      </c>
      <c r="E107" s="477">
        <v>0</v>
      </c>
      <c r="F107" s="477">
        <v>0</v>
      </c>
      <c r="G107" s="477">
        <v>0</v>
      </c>
      <c r="H107" s="477">
        <v>0</v>
      </c>
      <c r="I107" s="477">
        <v>0</v>
      </c>
      <c r="J107" s="477">
        <v>0</v>
      </c>
      <c r="K107" s="477">
        <v>0</v>
      </c>
    </row>
    <row r="108" spans="1:12" ht="12.75" customHeight="1" thickBot="1" x14ac:dyDescent="0.25">
      <c r="A108" s="1695" t="s">
        <v>487</v>
      </c>
      <c r="B108" s="1699"/>
      <c r="C108" s="1694">
        <f>SUM(C95:C107)</f>
        <v>288784</v>
      </c>
      <c r="D108" s="1694">
        <f t="shared" ref="D108:K108" si="3">SUM(D95:D107)</f>
        <v>3201</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9761034</v>
      </c>
      <c r="D109" s="1702">
        <f t="shared" si="4"/>
        <v>1373475</v>
      </c>
      <c r="E109" s="1702">
        <f t="shared" si="4"/>
        <v>814335</v>
      </c>
      <c r="F109" s="1702">
        <f t="shared" si="4"/>
        <v>408862</v>
      </c>
      <c r="G109" s="1702">
        <f t="shared" si="4"/>
        <v>320888</v>
      </c>
      <c r="H109" s="1702">
        <f t="shared" si="4"/>
        <v>8028</v>
      </c>
      <c r="I109" s="1702">
        <f t="shared" si="4"/>
        <v>56650</v>
      </c>
      <c r="J109" s="1702">
        <f t="shared" si="4"/>
        <v>0</v>
      </c>
      <c r="K109" s="1689">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622068</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622068</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23969</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23969</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0</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394</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7197</v>
      </c>
      <c r="G152" s="477">
        <v>0</v>
      </c>
      <c r="H152" s="468"/>
      <c r="I152" s="468"/>
      <c r="J152" s="468"/>
      <c r="K152" s="468"/>
    </row>
    <row r="153" spans="1:11" ht="12.75" customHeight="1" x14ac:dyDescent="0.2">
      <c r="A153" s="463" t="s">
        <v>1057</v>
      </c>
      <c r="B153" s="554">
        <v>3510</v>
      </c>
      <c r="C153" s="477">
        <v>0</v>
      </c>
      <c r="D153" s="477">
        <v>0</v>
      </c>
      <c r="E153" s="553"/>
      <c r="F153" s="477">
        <v>61705</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68902</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0</v>
      </c>
      <c r="D168" s="572">
        <v>0</v>
      </c>
      <c r="E168" s="572">
        <v>0</v>
      </c>
      <c r="F168" s="572">
        <v>0</v>
      </c>
      <c r="G168" s="573">
        <v>0</v>
      </c>
      <c r="H168" s="574">
        <v>0</v>
      </c>
      <c r="I168" s="573">
        <v>0</v>
      </c>
      <c r="J168" s="573">
        <v>0</v>
      </c>
      <c r="K168" s="574">
        <v>0</v>
      </c>
    </row>
    <row r="169" spans="1:11" ht="12.75" customHeight="1" thickTop="1" thickBot="1" x14ac:dyDescent="0.25">
      <c r="A169" s="2130" t="s">
        <v>398</v>
      </c>
      <c r="B169" s="2131"/>
      <c r="C169" s="1709">
        <f t="shared" ref="C169:K169" si="6">SUM(C132,C141,C145,C146:C150,C155,C156:C167,C168)</f>
        <v>24363</v>
      </c>
      <c r="D169" s="1709">
        <f t="shared" si="6"/>
        <v>0</v>
      </c>
      <c r="E169" s="1709">
        <f t="shared" si="6"/>
        <v>0</v>
      </c>
      <c r="F169" s="1709">
        <f t="shared" si="6"/>
        <v>68902</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646431</v>
      </c>
      <c r="D170" s="1702">
        <f t="shared" si="7"/>
        <v>0</v>
      </c>
      <c r="E170" s="1702">
        <f t="shared" si="7"/>
        <v>0</v>
      </c>
      <c r="F170" s="1702">
        <f t="shared" si="7"/>
        <v>68902</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2" t="s">
        <v>1492</v>
      </c>
      <c r="B172" s="2133"/>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36" t="s">
        <v>1665</v>
      </c>
      <c r="B175" s="213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0" t="s">
        <v>1664</v>
      </c>
      <c r="B176" s="2141"/>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38" t="s">
        <v>785</v>
      </c>
      <c r="B181" s="213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4" t="s">
        <v>1803</v>
      </c>
      <c r="B182" s="2135"/>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0</v>
      </c>
      <c r="D191" s="468"/>
      <c r="E191" s="553"/>
      <c r="F191" s="468"/>
      <c r="G191" s="477">
        <v>0</v>
      </c>
      <c r="H191" s="468"/>
      <c r="I191" s="468"/>
      <c r="J191" s="468"/>
      <c r="K191" s="468"/>
    </row>
    <row r="192" spans="1:11" ht="12.75" customHeight="1" x14ac:dyDescent="0.2">
      <c r="A192" s="463" t="s">
        <v>1047</v>
      </c>
      <c r="B192" s="470">
        <v>4215</v>
      </c>
      <c r="C192" s="477">
        <v>10314</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10314</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39689</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39689</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8867</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211291</v>
      </c>
      <c r="D213" s="477">
        <v>0</v>
      </c>
      <c r="E213" s="468"/>
      <c r="F213" s="477">
        <v>0</v>
      </c>
      <c r="G213" s="477">
        <v>0</v>
      </c>
      <c r="H213" s="468"/>
      <c r="I213" s="468"/>
      <c r="J213" s="468"/>
      <c r="K213" s="468"/>
    </row>
    <row r="214" spans="1:11" ht="12.75" customHeight="1" x14ac:dyDescent="0.2">
      <c r="A214" s="463" t="s">
        <v>1054</v>
      </c>
      <c r="B214" s="470">
        <v>4625</v>
      </c>
      <c r="C214" s="477">
        <v>15993</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236151</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35762</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5565</v>
      </c>
      <c r="D263" s="581">
        <v>0</v>
      </c>
      <c r="E263" s="468"/>
      <c r="F263" s="581">
        <v>0</v>
      </c>
      <c r="G263" s="581">
        <v>0</v>
      </c>
      <c r="H263" s="468"/>
      <c r="I263" s="468"/>
      <c r="J263" s="468"/>
      <c r="K263" s="468"/>
    </row>
    <row r="264" spans="1:11" ht="12.75" customHeight="1" thickTop="1" thickBot="1" x14ac:dyDescent="0.25">
      <c r="A264" s="463" t="s">
        <v>377</v>
      </c>
      <c r="B264" s="470">
        <v>4992</v>
      </c>
      <c r="C264" s="581">
        <v>26584</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354065</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354065</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10761530</v>
      </c>
      <c r="D268" s="1702">
        <f t="shared" si="12"/>
        <v>1373475</v>
      </c>
      <c r="E268" s="1702">
        <f t="shared" si="12"/>
        <v>814335</v>
      </c>
      <c r="F268" s="1702">
        <f t="shared" si="12"/>
        <v>477764</v>
      </c>
      <c r="G268" s="1702">
        <f t="shared" si="12"/>
        <v>320888</v>
      </c>
      <c r="H268" s="1702">
        <f t="shared" si="12"/>
        <v>8028</v>
      </c>
      <c r="I268" s="1702">
        <f t="shared" si="12"/>
        <v>56650</v>
      </c>
      <c r="J268" s="1702">
        <f t="shared" si="12"/>
        <v>0</v>
      </c>
      <c r="K268" s="1689">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activeCell="Q23" sqref="Q23"/>
      <selection pane="bottomLeft" activeCell="Q23" sqref="Q23"/>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0"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2"/>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48" t="s">
        <v>297</v>
      </c>
      <c r="B3" s="2149"/>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3455914</v>
      </c>
      <c r="D5" s="466">
        <v>584593</v>
      </c>
      <c r="E5" s="466">
        <v>71359</v>
      </c>
      <c r="F5" s="466">
        <v>299019</v>
      </c>
      <c r="G5" s="466">
        <v>3488</v>
      </c>
      <c r="H5" s="466">
        <v>0</v>
      </c>
      <c r="I5" s="466">
        <v>5552</v>
      </c>
      <c r="J5" s="466">
        <v>20880</v>
      </c>
      <c r="K5" s="1658">
        <f>SUM(C5:J5)</f>
        <v>4440805</v>
      </c>
      <c r="L5" s="466">
        <v>4508704</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11902</v>
      </c>
      <c r="D7" s="466">
        <v>3068</v>
      </c>
      <c r="E7" s="466">
        <v>0</v>
      </c>
      <c r="F7" s="466">
        <v>1524</v>
      </c>
      <c r="G7" s="466">
        <v>0</v>
      </c>
      <c r="H7" s="466">
        <v>0</v>
      </c>
      <c r="I7" s="466">
        <v>0</v>
      </c>
      <c r="J7" s="466">
        <v>0</v>
      </c>
      <c r="K7" s="1658">
        <f t="shared" ref="K7:K32" si="0">SUM(C7:J7)</f>
        <v>16494</v>
      </c>
      <c r="L7" s="466">
        <v>10389</v>
      </c>
    </row>
    <row r="8" spans="1:14" x14ac:dyDescent="0.2">
      <c r="A8" s="1491" t="s">
        <v>164</v>
      </c>
      <c r="B8" s="605">
        <v>1200</v>
      </c>
      <c r="C8" s="466">
        <v>1019883</v>
      </c>
      <c r="D8" s="466">
        <v>259492</v>
      </c>
      <c r="E8" s="466">
        <v>1011</v>
      </c>
      <c r="F8" s="466">
        <v>2479</v>
      </c>
      <c r="G8" s="466">
        <v>0</v>
      </c>
      <c r="H8" s="466">
        <v>0</v>
      </c>
      <c r="I8" s="466">
        <v>0</v>
      </c>
      <c r="J8" s="466">
        <v>0</v>
      </c>
      <c r="K8" s="1658">
        <f t="shared" si="0"/>
        <v>1282865</v>
      </c>
      <c r="L8" s="466">
        <v>1274234</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218002</v>
      </c>
      <c r="D10" s="466">
        <v>23894</v>
      </c>
      <c r="E10" s="466">
        <v>0</v>
      </c>
      <c r="F10" s="466">
        <v>1266</v>
      </c>
      <c r="G10" s="466">
        <v>0</v>
      </c>
      <c r="H10" s="466">
        <v>0</v>
      </c>
      <c r="I10" s="466">
        <v>0</v>
      </c>
      <c r="J10" s="466">
        <v>0</v>
      </c>
      <c r="K10" s="1658">
        <f t="shared" si="0"/>
        <v>243162</v>
      </c>
      <c r="L10" s="466">
        <v>214027</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0</v>
      </c>
      <c r="D13" s="466">
        <v>0</v>
      </c>
      <c r="E13" s="466">
        <v>0</v>
      </c>
      <c r="F13" s="466">
        <v>0</v>
      </c>
      <c r="G13" s="466">
        <v>0</v>
      </c>
      <c r="H13" s="466">
        <v>0</v>
      </c>
      <c r="I13" s="466">
        <v>0</v>
      </c>
      <c r="J13" s="466">
        <v>0</v>
      </c>
      <c r="K13" s="1658">
        <f t="shared" si="0"/>
        <v>0</v>
      </c>
      <c r="L13" s="466">
        <v>0</v>
      </c>
    </row>
    <row r="14" spans="1:14" x14ac:dyDescent="0.2">
      <c r="A14" s="1491" t="s">
        <v>963</v>
      </c>
      <c r="B14" s="605">
        <v>1500</v>
      </c>
      <c r="C14" s="466">
        <v>0</v>
      </c>
      <c r="D14" s="466">
        <v>0</v>
      </c>
      <c r="E14" s="466">
        <v>1855</v>
      </c>
      <c r="F14" s="466">
        <v>0</v>
      </c>
      <c r="G14" s="466">
        <v>0</v>
      </c>
      <c r="H14" s="466">
        <v>1291</v>
      </c>
      <c r="I14" s="466">
        <v>0</v>
      </c>
      <c r="J14" s="466">
        <v>0</v>
      </c>
      <c r="K14" s="1658">
        <f t="shared" si="0"/>
        <v>3146</v>
      </c>
      <c r="L14" s="466">
        <v>4450</v>
      </c>
    </row>
    <row r="15" spans="1:14" x14ac:dyDescent="0.2">
      <c r="A15" s="1491" t="s">
        <v>964</v>
      </c>
      <c r="B15" s="605">
        <v>1600</v>
      </c>
      <c r="C15" s="466">
        <v>0</v>
      </c>
      <c r="D15" s="466">
        <v>0</v>
      </c>
      <c r="E15" s="466">
        <v>0</v>
      </c>
      <c r="F15" s="466">
        <v>0</v>
      </c>
      <c r="G15" s="466">
        <v>0</v>
      </c>
      <c r="H15" s="466">
        <v>0</v>
      </c>
      <c r="I15" s="466">
        <v>0</v>
      </c>
      <c r="J15" s="466">
        <v>0</v>
      </c>
      <c r="K15" s="1658">
        <f t="shared" si="0"/>
        <v>0</v>
      </c>
      <c r="L15" s="466">
        <v>0</v>
      </c>
    </row>
    <row r="16" spans="1:14" x14ac:dyDescent="0.2">
      <c r="A16" s="1491" t="s">
        <v>987</v>
      </c>
      <c r="B16" s="605" t="s">
        <v>424</v>
      </c>
      <c r="C16" s="466">
        <v>0</v>
      </c>
      <c r="D16" s="466">
        <v>0</v>
      </c>
      <c r="E16" s="466">
        <v>0</v>
      </c>
      <c r="F16" s="466">
        <v>1200</v>
      </c>
      <c r="G16" s="466">
        <v>0</v>
      </c>
      <c r="H16" s="466">
        <v>0</v>
      </c>
      <c r="I16" s="466">
        <v>0</v>
      </c>
      <c r="J16" s="466">
        <v>0</v>
      </c>
      <c r="K16" s="1658">
        <f t="shared" si="0"/>
        <v>1200</v>
      </c>
      <c r="L16" s="466">
        <v>1000</v>
      </c>
    </row>
    <row r="17" spans="1:12" x14ac:dyDescent="0.2">
      <c r="A17" s="1491" t="s">
        <v>724</v>
      </c>
      <c r="B17" s="605" t="s">
        <v>162</v>
      </c>
      <c r="C17" s="466">
        <v>0</v>
      </c>
      <c r="D17" s="466">
        <v>0</v>
      </c>
      <c r="E17" s="466">
        <v>0</v>
      </c>
      <c r="F17" s="466">
        <v>0</v>
      </c>
      <c r="G17" s="466">
        <v>0</v>
      </c>
      <c r="H17" s="466">
        <v>0</v>
      </c>
      <c r="I17" s="466">
        <v>0</v>
      </c>
      <c r="J17" s="466">
        <v>0</v>
      </c>
      <c r="K17" s="1658">
        <f t="shared" si="0"/>
        <v>0</v>
      </c>
      <c r="L17" s="466">
        <v>0</v>
      </c>
    </row>
    <row r="18" spans="1:12" x14ac:dyDescent="0.2">
      <c r="A18" s="1491" t="s">
        <v>1087</v>
      </c>
      <c r="B18" s="605">
        <v>1800</v>
      </c>
      <c r="C18" s="466">
        <v>116941</v>
      </c>
      <c r="D18" s="466">
        <v>18882</v>
      </c>
      <c r="E18" s="466">
        <v>0</v>
      </c>
      <c r="F18" s="466">
        <v>413</v>
      </c>
      <c r="G18" s="466">
        <v>0</v>
      </c>
      <c r="H18" s="466">
        <v>0</v>
      </c>
      <c r="I18" s="466">
        <v>0</v>
      </c>
      <c r="J18" s="466">
        <v>0</v>
      </c>
      <c r="K18" s="1658">
        <f t="shared" si="0"/>
        <v>136236</v>
      </c>
      <c r="L18" s="466">
        <v>610</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5260</v>
      </c>
      <c r="I22" s="607"/>
      <c r="J22" s="473"/>
      <c r="K22" s="1658">
        <f t="shared" si="0"/>
        <v>5260</v>
      </c>
      <c r="L22" s="466">
        <v>60000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4822642</v>
      </c>
      <c r="D33" s="1657">
        <f t="shared" ref="D33:L33" si="1">SUM(D5:D32)</f>
        <v>889929</v>
      </c>
      <c r="E33" s="1657">
        <f t="shared" si="1"/>
        <v>74225</v>
      </c>
      <c r="F33" s="1657">
        <f t="shared" si="1"/>
        <v>305901</v>
      </c>
      <c r="G33" s="1657">
        <f t="shared" si="1"/>
        <v>3488</v>
      </c>
      <c r="H33" s="1657">
        <f t="shared" si="1"/>
        <v>6551</v>
      </c>
      <c r="I33" s="1657">
        <f t="shared" si="1"/>
        <v>5552</v>
      </c>
      <c r="J33" s="1657">
        <f t="shared" si="1"/>
        <v>20880</v>
      </c>
      <c r="K33" s="1657">
        <f t="shared" si="1"/>
        <v>6129168</v>
      </c>
      <c r="L33" s="1657">
        <f t="shared" si="1"/>
        <v>6073414</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0</v>
      </c>
      <c r="D36" s="466">
        <v>438</v>
      </c>
      <c r="E36" s="466">
        <v>0</v>
      </c>
      <c r="F36" s="466">
        <v>0</v>
      </c>
      <c r="G36" s="466">
        <v>0</v>
      </c>
      <c r="H36" s="466">
        <v>0</v>
      </c>
      <c r="I36" s="466">
        <v>0</v>
      </c>
      <c r="J36" s="466">
        <v>0</v>
      </c>
      <c r="K36" s="1658">
        <f t="shared" ref="K36:K41" si="2">SUM(C36:J36)</f>
        <v>438</v>
      </c>
      <c r="L36" s="466">
        <v>0</v>
      </c>
    </row>
    <row r="37" spans="1:14" x14ac:dyDescent="0.2">
      <c r="A37" s="1491" t="s">
        <v>1090</v>
      </c>
      <c r="B37" s="605">
        <v>2120</v>
      </c>
      <c r="C37" s="466">
        <v>48961</v>
      </c>
      <c r="D37" s="466">
        <v>10065</v>
      </c>
      <c r="E37" s="466">
        <v>0</v>
      </c>
      <c r="F37" s="466">
        <v>0</v>
      </c>
      <c r="G37" s="466">
        <v>0</v>
      </c>
      <c r="H37" s="466">
        <v>0</v>
      </c>
      <c r="I37" s="466">
        <v>0</v>
      </c>
      <c r="J37" s="466">
        <v>0</v>
      </c>
      <c r="K37" s="1658">
        <f t="shared" si="2"/>
        <v>59026</v>
      </c>
      <c r="L37" s="466">
        <v>61609</v>
      </c>
    </row>
    <row r="38" spans="1:14" x14ac:dyDescent="0.2">
      <c r="A38" s="1491" t="s">
        <v>198</v>
      </c>
      <c r="B38" s="605">
        <v>2130</v>
      </c>
      <c r="C38" s="466">
        <v>98355</v>
      </c>
      <c r="D38" s="466">
        <v>20557</v>
      </c>
      <c r="E38" s="466">
        <v>56071</v>
      </c>
      <c r="F38" s="466">
        <v>2556</v>
      </c>
      <c r="G38" s="466">
        <v>0</v>
      </c>
      <c r="H38" s="466">
        <v>0</v>
      </c>
      <c r="I38" s="466">
        <v>0</v>
      </c>
      <c r="J38" s="466">
        <v>0</v>
      </c>
      <c r="K38" s="1658">
        <f t="shared" si="2"/>
        <v>177539</v>
      </c>
      <c r="L38" s="466">
        <v>165347</v>
      </c>
    </row>
    <row r="39" spans="1:14" x14ac:dyDescent="0.2">
      <c r="A39" s="1491" t="s">
        <v>199</v>
      </c>
      <c r="B39" s="605">
        <v>2140</v>
      </c>
      <c r="C39" s="466">
        <v>50939</v>
      </c>
      <c r="D39" s="466">
        <v>10618</v>
      </c>
      <c r="E39" s="466">
        <v>350</v>
      </c>
      <c r="F39" s="466">
        <v>100</v>
      </c>
      <c r="G39" s="466">
        <v>0</v>
      </c>
      <c r="H39" s="466">
        <v>0</v>
      </c>
      <c r="I39" s="466">
        <v>0</v>
      </c>
      <c r="J39" s="466">
        <v>0</v>
      </c>
      <c r="K39" s="1658">
        <f t="shared" si="2"/>
        <v>62007</v>
      </c>
      <c r="L39" s="466">
        <v>63857</v>
      </c>
    </row>
    <row r="40" spans="1:14" x14ac:dyDescent="0.2">
      <c r="A40" s="1491" t="s">
        <v>200</v>
      </c>
      <c r="B40" s="605">
        <v>2150</v>
      </c>
      <c r="C40" s="466">
        <v>221854</v>
      </c>
      <c r="D40" s="466">
        <v>32346</v>
      </c>
      <c r="E40" s="466">
        <v>0</v>
      </c>
      <c r="F40" s="466">
        <v>1284</v>
      </c>
      <c r="G40" s="466">
        <v>0</v>
      </c>
      <c r="H40" s="466">
        <v>0</v>
      </c>
      <c r="I40" s="466">
        <v>0</v>
      </c>
      <c r="J40" s="466">
        <v>0</v>
      </c>
      <c r="K40" s="1658">
        <f t="shared" si="2"/>
        <v>255484</v>
      </c>
      <c r="L40" s="466">
        <v>267604</v>
      </c>
    </row>
    <row r="41" spans="1:14" x14ac:dyDescent="0.2">
      <c r="A41" s="1491" t="s">
        <v>1669</v>
      </c>
      <c r="B41" s="605">
        <v>2190</v>
      </c>
      <c r="C41" s="466">
        <v>15356</v>
      </c>
      <c r="D41" s="466">
        <v>0</v>
      </c>
      <c r="E41" s="466">
        <v>1400</v>
      </c>
      <c r="F41" s="466">
        <v>16645</v>
      </c>
      <c r="G41" s="466">
        <v>0</v>
      </c>
      <c r="H41" s="466">
        <v>0</v>
      </c>
      <c r="I41" s="466">
        <v>0</v>
      </c>
      <c r="J41" s="466">
        <v>0</v>
      </c>
      <c r="K41" s="1658">
        <f t="shared" si="2"/>
        <v>33401</v>
      </c>
      <c r="L41" s="466">
        <v>43926</v>
      </c>
    </row>
    <row r="42" spans="1:14" ht="12.75" customHeight="1" thickBot="1" x14ac:dyDescent="0.25">
      <c r="A42" s="1655" t="s">
        <v>560</v>
      </c>
      <c r="B42" s="1656" t="s">
        <v>716</v>
      </c>
      <c r="C42" s="1657">
        <f>SUM(C36:C41)</f>
        <v>435465</v>
      </c>
      <c r="D42" s="1657">
        <f t="shared" ref="D42:L42" si="3">SUM(D36:D41)</f>
        <v>74024</v>
      </c>
      <c r="E42" s="1657">
        <f t="shared" si="3"/>
        <v>57821</v>
      </c>
      <c r="F42" s="1657">
        <f t="shared" si="3"/>
        <v>20585</v>
      </c>
      <c r="G42" s="1657">
        <f t="shared" si="3"/>
        <v>0</v>
      </c>
      <c r="H42" s="1657">
        <f t="shared" si="3"/>
        <v>0</v>
      </c>
      <c r="I42" s="1657">
        <f t="shared" si="3"/>
        <v>0</v>
      </c>
      <c r="J42" s="1657">
        <f t="shared" si="3"/>
        <v>0</v>
      </c>
      <c r="K42" s="1657">
        <f t="shared" si="3"/>
        <v>587895</v>
      </c>
      <c r="L42" s="1657">
        <f t="shared" si="3"/>
        <v>602343</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22366</v>
      </c>
      <c r="D44" s="466">
        <v>13868</v>
      </c>
      <c r="E44" s="466">
        <v>41284</v>
      </c>
      <c r="F44" s="466">
        <v>62855</v>
      </c>
      <c r="G44" s="466">
        <v>0</v>
      </c>
      <c r="H44" s="466">
        <v>607</v>
      </c>
      <c r="I44" s="466">
        <v>20155</v>
      </c>
      <c r="J44" s="466">
        <v>0</v>
      </c>
      <c r="K44" s="1659">
        <f>SUM(C44:J44)</f>
        <v>161135</v>
      </c>
      <c r="L44" s="466">
        <v>350804</v>
      </c>
    </row>
    <row r="45" spans="1:14" x14ac:dyDescent="0.2">
      <c r="A45" s="1491" t="s">
        <v>815</v>
      </c>
      <c r="B45" s="605">
        <v>2220</v>
      </c>
      <c r="C45" s="466">
        <v>463042</v>
      </c>
      <c r="D45" s="466">
        <v>87472</v>
      </c>
      <c r="E45" s="466">
        <v>18906</v>
      </c>
      <c r="F45" s="466">
        <v>392613</v>
      </c>
      <c r="G45" s="466">
        <v>0</v>
      </c>
      <c r="H45" s="466">
        <v>399</v>
      </c>
      <c r="I45" s="466">
        <v>60931</v>
      </c>
      <c r="J45" s="466">
        <v>0</v>
      </c>
      <c r="K45" s="1659">
        <f>SUM(C45:J45)</f>
        <v>1023363</v>
      </c>
      <c r="L45" s="466">
        <v>897559</v>
      </c>
    </row>
    <row r="46" spans="1:14" x14ac:dyDescent="0.2">
      <c r="A46" s="1491" t="s">
        <v>816</v>
      </c>
      <c r="B46" s="605">
        <v>2230</v>
      </c>
      <c r="C46" s="466">
        <v>0</v>
      </c>
      <c r="D46" s="466">
        <v>0</v>
      </c>
      <c r="E46" s="466">
        <v>25129</v>
      </c>
      <c r="F46" s="466">
        <v>0</v>
      </c>
      <c r="G46" s="466">
        <v>0</v>
      </c>
      <c r="H46" s="466">
        <v>0</v>
      </c>
      <c r="I46" s="466">
        <v>0</v>
      </c>
      <c r="J46" s="466">
        <v>0</v>
      </c>
      <c r="K46" s="1659">
        <f>SUM(C46:J46)</f>
        <v>25129</v>
      </c>
      <c r="L46" s="466">
        <v>21951</v>
      </c>
    </row>
    <row r="47" spans="1:14" ht="12.75" customHeight="1" thickBot="1" x14ac:dyDescent="0.25">
      <c r="A47" s="1655" t="s">
        <v>561</v>
      </c>
      <c r="B47" s="1656" t="s">
        <v>32</v>
      </c>
      <c r="C47" s="1657">
        <f>SUM(C44:C46)</f>
        <v>485408</v>
      </c>
      <c r="D47" s="1657">
        <f t="shared" ref="D47:K47" si="4">SUM(D44:D46)</f>
        <v>101340</v>
      </c>
      <c r="E47" s="1657">
        <f t="shared" si="4"/>
        <v>85319</v>
      </c>
      <c r="F47" s="1657">
        <f t="shared" si="4"/>
        <v>455468</v>
      </c>
      <c r="G47" s="1657">
        <f t="shared" si="4"/>
        <v>0</v>
      </c>
      <c r="H47" s="1657">
        <f t="shared" si="4"/>
        <v>1006</v>
      </c>
      <c r="I47" s="1657">
        <f t="shared" si="4"/>
        <v>81086</v>
      </c>
      <c r="J47" s="1657">
        <f t="shared" si="4"/>
        <v>0</v>
      </c>
      <c r="K47" s="1657">
        <f t="shared" si="4"/>
        <v>1209627</v>
      </c>
      <c r="L47" s="1657">
        <f>SUM(L44:L46)</f>
        <v>1270314</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166465</v>
      </c>
      <c r="F49" s="466">
        <v>3394</v>
      </c>
      <c r="G49" s="466">
        <v>0</v>
      </c>
      <c r="H49" s="466">
        <v>15088</v>
      </c>
      <c r="I49" s="466">
        <v>0</v>
      </c>
      <c r="J49" s="466">
        <v>0</v>
      </c>
      <c r="K49" s="1659">
        <f>SUM(C49:J49)</f>
        <v>184947</v>
      </c>
      <c r="L49" s="466">
        <v>210483</v>
      </c>
    </row>
    <row r="50" spans="1:14" x14ac:dyDescent="0.2">
      <c r="A50" s="1491" t="s">
        <v>818</v>
      </c>
      <c r="B50" s="605">
        <v>2320</v>
      </c>
      <c r="C50" s="466">
        <v>258789</v>
      </c>
      <c r="D50" s="466">
        <v>43429</v>
      </c>
      <c r="E50" s="466">
        <v>1193</v>
      </c>
      <c r="F50" s="466">
        <v>36</v>
      </c>
      <c r="G50" s="466">
        <v>0</v>
      </c>
      <c r="H50" s="466">
        <v>125</v>
      </c>
      <c r="I50" s="466">
        <v>0</v>
      </c>
      <c r="J50" s="466">
        <v>0</v>
      </c>
      <c r="K50" s="1659">
        <f>SUM(C50:J50)</f>
        <v>303572</v>
      </c>
      <c r="L50" s="466">
        <v>324055</v>
      </c>
    </row>
    <row r="51" spans="1:14" x14ac:dyDescent="0.2">
      <c r="A51" s="1491" t="s">
        <v>42</v>
      </c>
      <c r="B51" s="605">
        <v>2330</v>
      </c>
      <c r="C51" s="466">
        <v>0</v>
      </c>
      <c r="D51" s="466">
        <v>1075</v>
      </c>
      <c r="E51" s="466">
        <v>0</v>
      </c>
      <c r="F51" s="466">
        <v>0</v>
      </c>
      <c r="G51" s="466">
        <v>0</v>
      </c>
      <c r="H51" s="466">
        <v>0</v>
      </c>
      <c r="I51" s="466">
        <v>0</v>
      </c>
      <c r="J51" s="466">
        <v>0</v>
      </c>
      <c r="K51" s="1659">
        <f>SUM(C51:J51)</f>
        <v>1075</v>
      </c>
      <c r="L51" s="466">
        <v>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258789</v>
      </c>
      <c r="D53" s="1657">
        <f t="shared" ref="D53:L53" si="5">SUM(D49:D52)</f>
        <v>44504</v>
      </c>
      <c r="E53" s="1657">
        <f t="shared" si="5"/>
        <v>167658</v>
      </c>
      <c r="F53" s="1657">
        <f t="shared" si="5"/>
        <v>3430</v>
      </c>
      <c r="G53" s="1657">
        <f t="shared" si="5"/>
        <v>0</v>
      </c>
      <c r="H53" s="1657">
        <f t="shared" si="5"/>
        <v>15213</v>
      </c>
      <c r="I53" s="1657">
        <f t="shared" si="5"/>
        <v>0</v>
      </c>
      <c r="J53" s="1657">
        <f t="shared" si="5"/>
        <v>0</v>
      </c>
      <c r="K53" s="1657">
        <f t="shared" si="5"/>
        <v>489594</v>
      </c>
      <c r="L53" s="1657">
        <f t="shared" si="5"/>
        <v>534538</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540039</v>
      </c>
      <c r="D55" s="466">
        <v>148460</v>
      </c>
      <c r="E55" s="466">
        <v>7376</v>
      </c>
      <c r="F55" s="466">
        <v>711</v>
      </c>
      <c r="G55" s="466">
        <v>0</v>
      </c>
      <c r="H55" s="466">
        <v>3087</v>
      </c>
      <c r="I55" s="466">
        <v>0</v>
      </c>
      <c r="J55" s="466">
        <v>0</v>
      </c>
      <c r="K55" s="1659">
        <f>SUM(C55:J55)</f>
        <v>699673</v>
      </c>
      <c r="L55" s="466">
        <v>714507</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540039</v>
      </c>
      <c r="D57" s="1661">
        <f t="shared" ref="D57:K57" si="6">SUM(D55:D56)</f>
        <v>148460</v>
      </c>
      <c r="E57" s="1661">
        <f t="shared" si="6"/>
        <v>7376</v>
      </c>
      <c r="F57" s="1661">
        <f t="shared" si="6"/>
        <v>711</v>
      </c>
      <c r="G57" s="1661">
        <f t="shared" si="6"/>
        <v>0</v>
      </c>
      <c r="H57" s="1661">
        <f t="shared" si="6"/>
        <v>3087</v>
      </c>
      <c r="I57" s="1661">
        <f t="shared" si="6"/>
        <v>0</v>
      </c>
      <c r="J57" s="1661">
        <f t="shared" si="6"/>
        <v>0</v>
      </c>
      <c r="K57" s="1661">
        <f t="shared" si="6"/>
        <v>699673</v>
      </c>
      <c r="L57" s="1657">
        <f>SUM(L55:L56)</f>
        <v>714507</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117078</v>
      </c>
      <c r="D59" s="466">
        <v>19780</v>
      </c>
      <c r="E59" s="466">
        <v>391</v>
      </c>
      <c r="F59" s="466">
        <v>25</v>
      </c>
      <c r="G59" s="466">
        <v>0</v>
      </c>
      <c r="H59" s="466">
        <v>75</v>
      </c>
      <c r="I59" s="466">
        <v>0</v>
      </c>
      <c r="J59" s="466">
        <v>0</v>
      </c>
      <c r="K59" s="1659">
        <f t="shared" ref="K59:K64" si="7">SUM(C59:J59)</f>
        <v>137349</v>
      </c>
      <c r="L59" s="466">
        <v>140997</v>
      </c>
      <c r="M59" s="600"/>
      <c r="N59" s="600"/>
    </row>
    <row r="60" spans="1:14" s="343" customFormat="1" x14ac:dyDescent="0.2">
      <c r="A60" s="1491" t="s">
        <v>463</v>
      </c>
      <c r="B60" s="605">
        <v>2520</v>
      </c>
      <c r="C60" s="466">
        <v>121588</v>
      </c>
      <c r="D60" s="466">
        <v>23159</v>
      </c>
      <c r="E60" s="466">
        <v>22015</v>
      </c>
      <c r="F60" s="466">
        <v>4785</v>
      </c>
      <c r="G60" s="466">
        <v>0</v>
      </c>
      <c r="H60" s="466">
        <v>1170</v>
      </c>
      <c r="I60" s="466">
        <v>0</v>
      </c>
      <c r="J60" s="466">
        <v>0</v>
      </c>
      <c r="K60" s="1659">
        <f t="shared" si="7"/>
        <v>172717</v>
      </c>
      <c r="L60" s="466">
        <v>182577</v>
      </c>
      <c r="M60" s="600"/>
      <c r="N60" s="600"/>
    </row>
    <row r="61" spans="1:14" s="343" customFormat="1" x14ac:dyDescent="0.2">
      <c r="A61" s="1491" t="s">
        <v>197</v>
      </c>
      <c r="B61" s="605">
        <v>2540</v>
      </c>
      <c r="C61" s="466">
        <v>0</v>
      </c>
      <c r="D61" s="466">
        <v>0</v>
      </c>
      <c r="E61" s="466">
        <v>32389</v>
      </c>
      <c r="F61" s="466">
        <v>0</v>
      </c>
      <c r="G61" s="466">
        <v>0</v>
      </c>
      <c r="H61" s="466">
        <v>0</v>
      </c>
      <c r="I61" s="466">
        <v>0</v>
      </c>
      <c r="J61" s="466">
        <v>0</v>
      </c>
      <c r="K61" s="1659">
        <f t="shared" si="7"/>
        <v>32389</v>
      </c>
      <c r="L61" s="466">
        <v>34500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0</v>
      </c>
      <c r="D63" s="466">
        <v>0</v>
      </c>
      <c r="E63" s="466">
        <v>0</v>
      </c>
      <c r="F63" s="466">
        <v>39445</v>
      </c>
      <c r="G63" s="466">
        <v>0</v>
      </c>
      <c r="H63" s="466">
        <v>0</v>
      </c>
      <c r="I63" s="466">
        <v>0</v>
      </c>
      <c r="J63" s="466">
        <v>0</v>
      </c>
      <c r="K63" s="1659">
        <f t="shared" si="7"/>
        <v>39445</v>
      </c>
      <c r="L63" s="466">
        <v>43000</v>
      </c>
    </row>
    <row r="64" spans="1:14" s="600" customFormat="1" x14ac:dyDescent="0.2">
      <c r="A64" s="1496" t="s">
        <v>101</v>
      </c>
      <c r="B64" s="621">
        <v>2570</v>
      </c>
      <c r="C64" s="466">
        <v>0</v>
      </c>
      <c r="D64" s="466">
        <v>0</v>
      </c>
      <c r="E64" s="466">
        <v>0</v>
      </c>
      <c r="F64" s="466">
        <v>0</v>
      </c>
      <c r="G64" s="466">
        <v>0</v>
      </c>
      <c r="H64" s="466">
        <v>0</v>
      </c>
      <c r="I64" s="466">
        <v>0</v>
      </c>
      <c r="J64" s="466">
        <v>0</v>
      </c>
      <c r="K64" s="1659">
        <f t="shared" si="7"/>
        <v>0</v>
      </c>
      <c r="L64" s="466">
        <v>0</v>
      </c>
    </row>
    <row r="65" spans="1:14" s="343" customFormat="1" ht="12.75" customHeight="1" thickBot="1" x14ac:dyDescent="0.25">
      <c r="A65" s="1655" t="s">
        <v>719</v>
      </c>
      <c r="B65" s="1656" t="s">
        <v>35</v>
      </c>
      <c r="C65" s="1657">
        <f>SUM(C59:C64)</f>
        <v>238666</v>
      </c>
      <c r="D65" s="1657">
        <f t="shared" ref="D65:L65" si="8">SUM(D59:D64)</f>
        <v>42939</v>
      </c>
      <c r="E65" s="1657">
        <f t="shared" si="8"/>
        <v>54795</v>
      </c>
      <c r="F65" s="1657">
        <f t="shared" si="8"/>
        <v>44255</v>
      </c>
      <c r="G65" s="1657">
        <f t="shared" si="8"/>
        <v>0</v>
      </c>
      <c r="H65" s="1657">
        <f t="shared" si="8"/>
        <v>1245</v>
      </c>
      <c r="I65" s="1657">
        <f t="shared" si="8"/>
        <v>0</v>
      </c>
      <c r="J65" s="1657">
        <f t="shared" si="8"/>
        <v>0</v>
      </c>
      <c r="K65" s="1657">
        <f t="shared" si="8"/>
        <v>381900</v>
      </c>
      <c r="L65" s="1657">
        <f t="shared" si="8"/>
        <v>401074</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0</v>
      </c>
      <c r="F69" s="466">
        <v>0</v>
      </c>
      <c r="G69" s="466">
        <v>0</v>
      </c>
      <c r="H69" s="466">
        <v>0</v>
      </c>
      <c r="I69" s="466">
        <v>0</v>
      </c>
      <c r="J69" s="466">
        <v>0</v>
      </c>
      <c r="K69" s="1659">
        <f>SUM(C69:J69)</f>
        <v>0</v>
      </c>
      <c r="L69" s="466">
        <v>0</v>
      </c>
      <c r="M69" s="600"/>
      <c r="N69" s="600"/>
    </row>
    <row r="70" spans="1:14" s="343" customFormat="1" x14ac:dyDescent="0.2">
      <c r="A70" s="1491" t="s">
        <v>403</v>
      </c>
      <c r="B70" s="605">
        <v>2640</v>
      </c>
      <c r="C70" s="466">
        <v>0</v>
      </c>
      <c r="D70" s="466">
        <v>0</v>
      </c>
      <c r="E70" s="466">
        <v>0</v>
      </c>
      <c r="F70" s="466">
        <v>0</v>
      </c>
      <c r="G70" s="466">
        <v>0</v>
      </c>
      <c r="H70" s="466">
        <v>0</v>
      </c>
      <c r="I70" s="466">
        <v>0</v>
      </c>
      <c r="J70" s="466">
        <v>0</v>
      </c>
      <c r="K70" s="1659">
        <f>SUM(C70:J70)</f>
        <v>0</v>
      </c>
      <c r="L70" s="466">
        <v>0</v>
      </c>
      <c r="M70" s="600"/>
      <c r="N70" s="600"/>
    </row>
    <row r="71" spans="1:14" s="343" customFormat="1" x14ac:dyDescent="0.2">
      <c r="A71" s="1491" t="s">
        <v>404</v>
      </c>
      <c r="B71" s="605">
        <v>2660</v>
      </c>
      <c r="C71" s="466">
        <v>0</v>
      </c>
      <c r="D71" s="466">
        <v>0</v>
      </c>
      <c r="E71" s="466">
        <v>0</v>
      </c>
      <c r="F71" s="466">
        <v>0</v>
      </c>
      <c r="G71" s="466">
        <v>0</v>
      </c>
      <c r="H71" s="466">
        <v>0</v>
      </c>
      <c r="I71" s="466">
        <v>0</v>
      </c>
      <c r="J71" s="466">
        <v>0</v>
      </c>
      <c r="K71" s="1659">
        <f>SUM(C71:J71)</f>
        <v>0</v>
      </c>
      <c r="L71" s="466">
        <v>0</v>
      </c>
      <c r="M71" s="600"/>
      <c r="N71" s="600"/>
    </row>
    <row r="72" spans="1:14" s="343" customFormat="1" ht="12.75" customHeight="1" thickBot="1" x14ac:dyDescent="0.25">
      <c r="A72" s="1655" t="s">
        <v>37</v>
      </c>
      <c r="B72" s="1662" t="s">
        <v>36</v>
      </c>
      <c r="C72" s="1657">
        <f>SUM(C67:C71)</f>
        <v>0</v>
      </c>
      <c r="D72" s="1657">
        <f t="shared" ref="D72:K72" si="9">SUM(D67:D71)</f>
        <v>0</v>
      </c>
      <c r="E72" s="1657">
        <f t="shared" si="9"/>
        <v>0</v>
      </c>
      <c r="F72" s="1657">
        <f t="shared" si="9"/>
        <v>0</v>
      </c>
      <c r="G72" s="1657">
        <f t="shared" si="9"/>
        <v>0</v>
      </c>
      <c r="H72" s="1657">
        <f t="shared" si="9"/>
        <v>0</v>
      </c>
      <c r="I72" s="1657">
        <f t="shared" si="9"/>
        <v>0</v>
      </c>
      <c r="J72" s="1657">
        <f t="shared" si="9"/>
        <v>0</v>
      </c>
      <c r="K72" s="1657">
        <f t="shared" si="9"/>
        <v>0</v>
      </c>
      <c r="L72" s="1657">
        <f>SUM(L67:L71)</f>
        <v>0</v>
      </c>
      <c r="M72" s="600"/>
      <c r="N72" s="600"/>
    </row>
    <row r="73" spans="1:14" s="343" customFormat="1" ht="14.25" thickTop="1" thickBot="1" x14ac:dyDescent="0.25">
      <c r="A73" s="1497" t="s">
        <v>980</v>
      </c>
      <c r="B73" s="623" t="s">
        <v>574</v>
      </c>
      <c r="C73" s="565">
        <v>0</v>
      </c>
      <c r="D73" s="565">
        <v>0</v>
      </c>
      <c r="E73" s="565">
        <v>0</v>
      </c>
      <c r="F73" s="565">
        <v>282</v>
      </c>
      <c r="G73" s="565">
        <v>0</v>
      </c>
      <c r="H73" s="565">
        <v>0</v>
      </c>
      <c r="I73" s="565">
        <v>0</v>
      </c>
      <c r="J73" s="565">
        <v>0</v>
      </c>
      <c r="K73" s="1657">
        <f>SUM(C73:J73)</f>
        <v>282</v>
      </c>
      <c r="L73" s="565">
        <v>1000</v>
      </c>
      <c r="M73" s="600"/>
      <c r="N73" s="600"/>
    </row>
    <row r="74" spans="1:14" ht="12.75" customHeight="1" thickTop="1" thickBot="1" x14ac:dyDescent="0.25">
      <c r="A74" s="1655" t="s">
        <v>811</v>
      </c>
      <c r="B74" s="1663">
        <v>2000</v>
      </c>
      <c r="C74" s="1664">
        <f>SUM(C42,C47,C53,C57,C65,C72,C73)</f>
        <v>1958367</v>
      </c>
      <c r="D74" s="1664">
        <f t="shared" ref="D74:K74" si="10">SUM(D42,D47,D53,D57,D65,D72,D73)</f>
        <v>411267</v>
      </c>
      <c r="E74" s="1664">
        <f t="shared" si="10"/>
        <v>372969</v>
      </c>
      <c r="F74" s="1664">
        <f t="shared" si="10"/>
        <v>524731</v>
      </c>
      <c r="G74" s="1664">
        <f t="shared" si="10"/>
        <v>0</v>
      </c>
      <c r="H74" s="1664">
        <f t="shared" si="10"/>
        <v>20551</v>
      </c>
      <c r="I74" s="1664">
        <f t="shared" si="10"/>
        <v>81086</v>
      </c>
      <c r="J74" s="1664">
        <f t="shared" si="10"/>
        <v>0</v>
      </c>
      <c r="K74" s="1664">
        <f t="shared" si="10"/>
        <v>3368971</v>
      </c>
      <c r="L74" s="1664">
        <f>SUM(L42,L47,L53,L57,L65,L72,L73)</f>
        <v>3523776</v>
      </c>
    </row>
    <row r="75" spans="1:14" s="259" customFormat="1" ht="15.75" customHeight="1" thickTop="1" thickBot="1" x14ac:dyDescent="0.25">
      <c r="A75" s="1597" t="s">
        <v>47</v>
      </c>
      <c r="B75" s="1598" t="s">
        <v>575</v>
      </c>
      <c r="C75" s="565">
        <v>0</v>
      </c>
      <c r="D75" s="565">
        <v>0</v>
      </c>
      <c r="E75" s="565">
        <v>1189</v>
      </c>
      <c r="F75" s="565">
        <v>0</v>
      </c>
      <c r="G75" s="565">
        <v>0</v>
      </c>
      <c r="H75" s="565">
        <v>0</v>
      </c>
      <c r="I75" s="565">
        <v>0</v>
      </c>
      <c r="J75" s="565">
        <v>0</v>
      </c>
      <c r="K75" s="1657">
        <f>SUM(C75:J75)</f>
        <v>1189</v>
      </c>
      <c r="L75" s="565">
        <v>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864000</v>
      </c>
      <c r="I86" s="473"/>
      <c r="J86" s="473"/>
      <c r="K86" s="1664">
        <f t="shared" ref="K86:K98" si="12">H86</f>
        <v>864000</v>
      </c>
      <c r="L86" s="525">
        <v>660000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864000</v>
      </c>
      <c r="I92" s="473"/>
      <c r="J92" s="473"/>
      <c r="K92" s="1664">
        <f t="shared" si="12"/>
        <v>864000</v>
      </c>
      <c r="L92" s="1657">
        <f>SUM(L85:L91)</f>
        <v>660000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864000</v>
      </c>
      <c r="I102" s="473"/>
      <c r="J102" s="473"/>
      <c r="K102" s="1664">
        <f>SUM(K84,K92,K100,K101)</f>
        <v>864000</v>
      </c>
      <c r="L102" s="1664">
        <f>SUM(L84,L92,L100,L101)</f>
        <v>660000</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138652</v>
      </c>
      <c r="M113" s="604"/>
      <c r="N113" s="604"/>
    </row>
    <row r="114" spans="1:14" ht="12.75" customHeight="1" thickTop="1" thickBot="1" x14ac:dyDescent="0.25">
      <c r="A114" s="1655" t="s">
        <v>48</v>
      </c>
      <c r="B114" s="1669"/>
      <c r="C114" s="1657">
        <f>SUM(C33,C74,C75,C102,C112,C113)</f>
        <v>6781009</v>
      </c>
      <c r="D114" s="1657">
        <f t="shared" ref="D114:K114" si="13">SUM(D33,D74,D75,D102,D112,D113)</f>
        <v>1301196</v>
      </c>
      <c r="E114" s="1657">
        <f t="shared" si="13"/>
        <v>448383</v>
      </c>
      <c r="F114" s="1657">
        <f t="shared" si="13"/>
        <v>830632</v>
      </c>
      <c r="G114" s="1657">
        <f t="shared" si="13"/>
        <v>3488</v>
      </c>
      <c r="H114" s="1657">
        <f>SUM(H33,H74,H75,H102,H112,H113)</f>
        <v>891102</v>
      </c>
      <c r="I114" s="1657">
        <f t="shared" si="13"/>
        <v>86638</v>
      </c>
      <c r="J114" s="1657">
        <f t="shared" si="13"/>
        <v>20880</v>
      </c>
      <c r="K114" s="1657">
        <f t="shared" si="13"/>
        <v>10363328</v>
      </c>
      <c r="L114" s="1657">
        <f>SUM(L33,L74,L75,L102,L112,L113)</f>
        <v>10395842</v>
      </c>
    </row>
    <row r="115" spans="1:14" ht="13.5" thickTop="1" x14ac:dyDescent="0.2">
      <c r="A115" s="2167" t="s">
        <v>996</v>
      </c>
      <c r="B115" s="2168"/>
      <c r="C115" s="609"/>
      <c r="D115" s="609"/>
      <c r="E115" s="609"/>
      <c r="F115" s="609"/>
      <c r="G115" s="609"/>
      <c r="H115" s="609"/>
      <c r="I115" s="609"/>
      <c r="J115" s="609"/>
      <c r="K115" s="1671">
        <f>'Revenues 9-14'!C268-'Expenditures 15-22'!K114</f>
        <v>398202</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5" t="s">
        <v>296</v>
      </c>
      <c r="B117" s="2146"/>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8587</v>
      </c>
      <c r="F123" s="466">
        <v>0</v>
      </c>
      <c r="G123" s="466">
        <v>0</v>
      </c>
      <c r="H123" s="466">
        <v>0</v>
      </c>
      <c r="I123" s="466">
        <v>1102</v>
      </c>
      <c r="J123" s="466">
        <v>0</v>
      </c>
      <c r="K123" s="1657">
        <f>SUM(C123:J123)</f>
        <v>9689</v>
      </c>
      <c r="L123" s="466">
        <v>56000</v>
      </c>
    </row>
    <row r="124" spans="1:14" ht="14.25" thickTop="1" thickBot="1" x14ac:dyDescent="0.25">
      <c r="A124" s="1491" t="s">
        <v>197</v>
      </c>
      <c r="B124" s="605">
        <v>2540</v>
      </c>
      <c r="C124" s="466">
        <v>421405</v>
      </c>
      <c r="D124" s="466">
        <v>88322</v>
      </c>
      <c r="E124" s="466">
        <v>279602</v>
      </c>
      <c r="F124" s="466">
        <v>235682</v>
      </c>
      <c r="G124" s="466">
        <v>0</v>
      </c>
      <c r="H124" s="466">
        <v>615</v>
      </c>
      <c r="I124" s="466">
        <v>0</v>
      </c>
      <c r="J124" s="466">
        <v>0</v>
      </c>
      <c r="K124" s="1657">
        <f>SUM(C124:J124)</f>
        <v>1025626</v>
      </c>
      <c r="L124" s="466">
        <v>1257871</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421405</v>
      </c>
      <c r="D127" s="1657">
        <f t="shared" ref="D127:L127" si="14">SUM(D122:D126)</f>
        <v>88322</v>
      </c>
      <c r="E127" s="1657">
        <f t="shared" si="14"/>
        <v>288189</v>
      </c>
      <c r="F127" s="1657">
        <f t="shared" si="14"/>
        <v>235682</v>
      </c>
      <c r="G127" s="1657">
        <f t="shared" si="14"/>
        <v>0</v>
      </c>
      <c r="H127" s="1657">
        <f t="shared" si="14"/>
        <v>615</v>
      </c>
      <c r="I127" s="1657">
        <f t="shared" si="14"/>
        <v>1102</v>
      </c>
      <c r="J127" s="1657">
        <f t="shared" si="14"/>
        <v>0</v>
      </c>
      <c r="K127" s="1657">
        <f t="shared" si="14"/>
        <v>1035315</v>
      </c>
      <c r="L127" s="1657">
        <f t="shared" si="14"/>
        <v>1313871</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421405</v>
      </c>
      <c r="D129" s="1664">
        <f t="shared" ref="D129:L129" si="15">SUM(D120,D127,D128)</f>
        <v>88322</v>
      </c>
      <c r="E129" s="1664">
        <f t="shared" si="15"/>
        <v>288189</v>
      </c>
      <c r="F129" s="1664">
        <f t="shared" si="15"/>
        <v>235682</v>
      </c>
      <c r="G129" s="1664">
        <f t="shared" si="15"/>
        <v>0</v>
      </c>
      <c r="H129" s="1664">
        <f t="shared" si="15"/>
        <v>615</v>
      </c>
      <c r="I129" s="1664">
        <f t="shared" si="15"/>
        <v>1102</v>
      </c>
      <c r="J129" s="1664">
        <f t="shared" si="15"/>
        <v>0</v>
      </c>
      <c r="K129" s="1664">
        <f t="shared" si="15"/>
        <v>1035315</v>
      </c>
      <c r="L129" s="1664">
        <f t="shared" si="15"/>
        <v>1313871</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42000</v>
      </c>
    </row>
    <row r="151" spans="1:14" ht="12.75" customHeight="1" thickTop="1" thickBot="1" x14ac:dyDescent="0.25">
      <c r="A151" s="2157" t="s">
        <v>620</v>
      </c>
      <c r="B151" s="2139"/>
      <c r="C151" s="1657">
        <f>SUM(C129,C130,C139,C149,C150)</f>
        <v>421405</v>
      </c>
      <c r="D151" s="1657">
        <f t="shared" ref="D151:K151" si="16">SUM(D129,D130,D139,D149,D150)</f>
        <v>88322</v>
      </c>
      <c r="E151" s="1657">
        <f t="shared" si="16"/>
        <v>288189</v>
      </c>
      <c r="F151" s="1657">
        <f t="shared" si="16"/>
        <v>235682</v>
      </c>
      <c r="G151" s="1657">
        <f t="shared" si="16"/>
        <v>0</v>
      </c>
      <c r="H151" s="1657">
        <f t="shared" si="16"/>
        <v>615</v>
      </c>
      <c r="I151" s="1657">
        <f t="shared" si="16"/>
        <v>1102</v>
      </c>
      <c r="J151" s="1657">
        <f t="shared" si="16"/>
        <v>0</v>
      </c>
      <c r="K151" s="1657">
        <f t="shared" si="16"/>
        <v>1035315</v>
      </c>
      <c r="L151" s="1657">
        <f>SUM(L129,L130,L139,L149,L150)</f>
        <v>1355871</v>
      </c>
    </row>
    <row r="152" spans="1:14" ht="12.75" customHeight="1" thickTop="1" x14ac:dyDescent="0.2">
      <c r="A152" s="2160" t="s">
        <v>1178</v>
      </c>
      <c r="B152" s="2161"/>
      <c r="C152" s="609"/>
      <c r="D152" s="609"/>
      <c r="E152" s="609"/>
      <c r="F152" s="609"/>
      <c r="G152" s="609"/>
      <c r="H152" s="609"/>
      <c r="I152" s="609"/>
      <c r="J152" s="607"/>
      <c r="K152" s="1671">
        <f>'Revenues 9-14'!D268-'Expenditures 15-22'!K151</f>
        <v>338160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5" t="s">
        <v>621</v>
      </c>
      <c r="B154" s="2147"/>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428679</v>
      </c>
      <c r="I169" s="607"/>
      <c r="J169" s="607"/>
      <c r="K169" s="1658">
        <f>SUM(C169:H169)</f>
        <v>428679</v>
      </c>
      <c r="L169" s="466">
        <v>429679</v>
      </c>
    </row>
    <row r="170" spans="1:14" ht="33.75" customHeight="1" x14ac:dyDescent="0.2">
      <c r="A170" s="658" t="s">
        <v>1670</v>
      </c>
      <c r="B170" s="660" t="s">
        <v>31</v>
      </c>
      <c r="C170" s="607"/>
      <c r="D170" s="607"/>
      <c r="E170" s="607"/>
      <c r="F170" s="607"/>
      <c r="G170" s="607"/>
      <c r="H170" s="466">
        <v>447800</v>
      </c>
      <c r="I170" s="607"/>
      <c r="J170" s="607"/>
      <c r="K170" s="1658">
        <f>SUM(C170:J170)</f>
        <v>447800</v>
      </c>
      <c r="L170" s="466">
        <v>447800</v>
      </c>
    </row>
    <row r="171" spans="1:14" ht="15.75" customHeight="1" x14ac:dyDescent="0.2">
      <c r="A171" s="612" t="s">
        <v>766</v>
      </c>
      <c r="B171" s="661" t="s">
        <v>84</v>
      </c>
      <c r="C171" s="607"/>
      <c r="D171" s="607"/>
      <c r="E171" s="466">
        <v>0</v>
      </c>
      <c r="F171" s="607"/>
      <c r="G171" s="607"/>
      <c r="H171" s="466">
        <v>984</v>
      </c>
      <c r="I171" s="473"/>
      <c r="J171" s="607"/>
      <c r="K171" s="1658">
        <f>SUM(C171:J171)</f>
        <v>984</v>
      </c>
      <c r="L171" s="466">
        <v>1200</v>
      </c>
    </row>
    <row r="172" spans="1:14" ht="12.75" customHeight="1" thickBot="1" x14ac:dyDescent="0.25">
      <c r="A172" s="1655" t="s">
        <v>638</v>
      </c>
      <c r="B172" s="1656" t="s">
        <v>492</v>
      </c>
      <c r="C172" s="607"/>
      <c r="D172" s="607"/>
      <c r="E172" s="1664">
        <f>SUM(E168,E169,E170,E171)</f>
        <v>0</v>
      </c>
      <c r="F172" s="607"/>
      <c r="G172" s="607"/>
      <c r="H172" s="1664">
        <f>SUM(H168,H169,H170,H171)</f>
        <v>877463</v>
      </c>
      <c r="I172" s="628"/>
      <c r="J172" s="607"/>
      <c r="K172" s="1664">
        <f>SUM(K168,K169,K170,K171)</f>
        <v>877463</v>
      </c>
      <c r="L172" s="1664">
        <f>SUM(L168,L169,L170,L171)</f>
        <v>878679</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877463</v>
      </c>
      <c r="I174" s="628"/>
      <c r="J174" s="607"/>
      <c r="K174" s="1664">
        <f>SUM(K160,K172,K173)</f>
        <v>877463</v>
      </c>
      <c r="L174" s="1664">
        <f>SUM(L160,L172,L173)</f>
        <v>878679</v>
      </c>
    </row>
    <row r="175" spans="1:14" ht="13.5" thickTop="1" x14ac:dyDescent="0.2">
      <c r="A175" s="2167" t="s">
        <v>996</v>
      </c>
      <c r="B175" s="2168"/>
      <c r="C175" s="607"/>
      <c r="D175" s="607"/>
      <c r="E175" s="607"/>
      <c r="F175" s="607"/>
      <c r="G175" s="607"/>
      <c r="H175" s="609"/>
      <c r="I175" s="607"/>
      <c r="J175" s="607"/>
      <c r="K175" s="1671">
        <f>'Revenues 9-14'!E268-'Expenditures 15-22'!K174</f>
        <v>-63128</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11946</v>
      </c>
      <c r="D182" s="466">
        <v>2462</v>
      </c>
      <c r="E182" s="466">
        <v>475232</v>
      </c>
      <c r="F182" s="466">
        <v>15</v>
      </c>
      <c r="G182" s="466">
        <v>0</v>
      </c>
      <c r="H182" s="466">
        <v>0</v>
      </c>
      <c r="I182" s="466">
        <v>0</v>
      </c>
      <c r="J182" s="466">
        <v>0</v>
      </c>
      <c r="K182" s="1658">
        <f>SUM(C182:J182)</f>
        <v>489655</v>
      </c>
      <c r="L182" s="466">
        <v>494033</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11946</v>
      </c>
      <c r="D184" s="1664">
        <f t="shared" ref="D184:J184" si="17">SUM(D180,D182,D183)</f>
        <v>2462</v>
      </c>
      <c r="E184" s="1664">
        <f t="shared" si="17"/>
        <v>475232</v>
      </c>
      <c r="F184" s="1664">
        <f t="shared" si="17"/>
        <v>15</v>
      </c>
      <c r="G184" s="1664">
        <f t="shared" si="17"/>
        <v>0</v>
      </c>
      <c r="H184" s="1664">
        <f t="shared" si="17"/>
        <v>0</v>
      </c>
      <c r="I184" s="1664">
        <f t="shared" si="17"/>
        <v>0</v>
      </c>
      <c r="J184" s="1664">
        <f t="shared" si="17"/>
        <v>0</v>
      </c>
      <c r="K184" s="1664">
        <f>SUM(K180,K182,K183)</f>
        <v>489655</v>
      </c>
      <c r="L184" s="1664">
        <f>SUM(L180, L182:L183)</f>
        <v>494033</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11946</v>
      </c>
      <c r="D210" s="1657">
        <f>SUM(D184,D185)</f>
        <v>2462</v>
      </c>
      <c r="E210" s="1657">
        <f>SUM(E184,E185,E196)</f>
        <v>475232</v>
      </c>
      <c r="F210" s="1657">
        <f>SUM(F184,F185)</f>
        <v>15</v>
      </c>
      <c r="G210" s="1657">
        <f>SUM(G184,G185)</f>
        <v>0</v>
      </c>
      <c r="H210" s="1657">
        <f>SUM(H184,H185,H196,H208,H209)</f>
        <v>0</v>
      </c>
      <c r="I210" s="1657">
        <f>SUM(I184,I185)</f>
        <v>0</v>
      </c>
      <c r="J210" s="1657">
        <f>SUM(J184,J185)</f>
        <v>0</v>
      </c>
      <c r="K210" s="1658">
        <f>SUM(K184,K185,K196,K208,K209)</f>
        <v>489655</v>
      </c>
      <c r="L210" s="1657">
        <f>SUM(L184,L185,L196,L208,L209)</f>
        <v>494033</v>
      </c>
    </row>
    <row r="211" spans="1:14" ht="13.5" thickTop="1" x14ac:dyDescent="0.2">
      <c r="A211" s="2167" t="s">
        <v>996</v>
      </c>
      <c r="B211" s="2168"/>
      <c r="C211" s="609"/>
      <c r="D211" s="609"/>
      <c r="E211" s="609"/>
      <c r="F211" s="609"/>
      <c r="G211" s="609"/>
      <c r="H211" s="609"/>
      <c r="I211" s="607"/>
      <c r="J211" s="607"/>
      <c r="K211" s="1671">
        <f>'Revenues 9-14'!F268-'Expenditures 15-22'!K210</f>
        <v>-11891</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2" t="s">
        <v>965</v>
      </c>
      <c r="B213" s="2163"/>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59237</v>
      </c>
      <c r="E215" s="607"/>
      <c r="F215" s="607"/>
      <c r="G215" s="607"/>
      <c r="H215" s="607"/>
      <c r="I215" s="607"/>
      <c r="J215" s="607"/>
      <c r="K215" s="1658">
        <f>D215</f>
        <v>59237</v>
      </c>
      <c r="L215" s="466">
        <v>68489</v>
      </c>
    </row>
    <row r="216" spans="1:14" x14ac:dyDescent="0.2">
      <c r="A216" s="1491" t="s">
        <v>163</v>
      </c>
      <c r="B216" s="605" t="s">
        <v>967</v>
      </c>
      <c r="C216" s="607"/>
      <c r="D216" s="466">
        <v>1325</v>
      </c>
      <c r="E216" s="607"/>
      <c r="F216" s="607"/>
      <c r="G216" s="607"/>
      <c r="H216" s="607"/>
      <c r="I216" s="607"/>
      <c r="J216" s="607"/>
      <c r="K216" s="1658">
        <f t="shared" ref="K216:K228" si="19">D216</f>
        <v>1325</v>
      </c>
      <c r="L216" s="466">
        <v>877</v>
      </c>
    </row>
    <row r="217" spans="1:14" x14ac:dyDescent="0.2">
      <c r="A217" s="1491" t="s">
        <v>164</v>
      </c>
      <c r="B217" s="605">
        <v>1200</v>
      </c>
      <c r="C217" s="607"/>
      <c r="D217" s="466">
        <v>57633</v>
      </c>
      <c r="E217" s="607"/>
      <c r="F217" s="607"/>
      <c r="G217" s="607"/>
      <c r="H217" s="607"/>
      <c r="I217" s="607"/>
      <c r="J217" s="607"/>
      <c r="K217" s="1658">
        <f t="shared" si="19"/>
        <v>57633</v>
      </c>
      <c r="L217" s="466">
        <v>60362</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9410</v>
      </c>
      <c r="E219" s="607"/>
      <c r="F219" s="607"/>
      <c r="G219" s="607"/>
      <c r="H219" s="607"/>
      <c r="I219" s="607"/>
      <c r="J219" s="607"/>
      <c r="K219" s="1658">
        <f t="shared" si="19"/>
        <v>9410</v>
      </c>
      <c r="L219" s="466">
        <v>5779</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0</v>
      </c>
      <c r="E222" s="607"/>
      <c r="F222" s="607"/>
      <c r="G222" s="607"/>
      <c r="H222" s="607"/>
      <c r="I222" s="607"/>
      <c r="J222" s="607"/>
      <c r="K222" s="1658">
        <f t="shared" si="19"/>
        <v>0</v>
      </c>
      <c r="L222" s="466">
        <v>0</v>
      </c>
    </row>
    <row r="223" spans="1:14" x14ac:dyDescent="0.2">
      <c r="A223" s="1491" t="s">
        <v>963</v>
      </c>
      <c r="B223" s="605">
        <v>1500</v>
      </c>
      <c r="C223" s="607"/>
      <c r="D223" s="466">
        <v>0</v>
      </c>
      <c r="E223" s="607"/>
      <c r="F223" s="607"/>
      <c r="G223" s="607"/>
      <c r="H223" s="607"/>
      <c r="I223" s="607"/>
      <c r="J223" s="607"/>
      <c r="K223" s="1658">
        <f t="shared" si="19"/>
        <v>0</v>
      </c>
      <c r="L223" s="466">
        <v>0</v>
      </c>
    </row>
    <row r="224" spans="1:14" x14ac:dyDescent="0.2">
      <c r="A224" s="1491" t="s">
        <v>964</v>
      </c>
      <c r="B224" s="605">
        <v>1600</v>
      </c>
      <c r="C224" s="607"/>
      <c r="D224" s="466">
        <v>0</v>
      </c>
      <c r="E224" s="607"/>
      <c r="F224" s="607"/>
      <c r="G224" s="607"/>
      <c r="H224" s="607"/>
      <c r="I224" s="607"/>
      <c r="J224" s="607"/>
      <c r="K224" s="1658">
        <f t="shared" si="19"/>
        <v>0</v>
      </c>
      <c r="L224" s="466">
        <v>0</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0</v>
      </c>
      <c r="E226" s="607"/>
      <c r="F226" s="607"/>
      <c r="G226" s="607"/>
      <c r="H226" s="607"/>
      <c r="I226" s="607"/>
      <c r="J226" s="607"/>
      <c r="K226" s="1658">
        <f t="shared" si="19"/>
        <v>0</v>
      </c>
      <c r="L226" s="466">
        <v>0</v>
      </c>
    </row>
    <row r="227" spans="1:12" x14ac:dyDescent="0.2">
      <c r="A227" s="1491" t="s">
        <v>1087</v>
      </c>
      <c r="B227" s="605">
        <v>1800</v>
      </c>
      <c r="C227" s="607"/>
      <c r="D227" s="466">
        <v>1665</v>
      </c>
      <c r="E227" s="607"/>
      <c r="F227" s="607"/>
      <c r="G227" s="607"/>
      <c r="H227" s="607"/>
      <c r="I227" s="607"/>
      <c r="J227" s="607"/>
      <c r="K227" s="1658">
        <f t="shared" si="19"/>
        <v>1665</v>
      </c>
      <c r="L227" s="466">
        <v>0</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129270</v>
      </c>
      <c r="E229" s="607"/>
      <c r="F229" s="607"/>
      <c r="G229" s="607"/>
      <c r="H229" s="607"/>
      <c r="I229" s="607"/>
      <c r="J229" s="607"/>
      <c r="K229" s="1657">
        <f>SUM(K215:K228)</f>
        <v>129270</v>
      </c>
      <c r="L229" s="1657">
        <f>SUM(L215:L228)</f>
        <v>135507</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0</v>
      </c>
      <c r="E232" s="607"/>
      <c r="F232" s="607"/>
      <c r="G232" s="607"/>
      <c r="H232" s="607"/>
      <c r="I232" s="607"/>
      <c r="J232" s="607"/>
      <c r="K232" s="1658">
        <f t="shared" ref="K232:K237" si="20">D232</f>
        <v>0</v>
      </c>
      <c r="L232" s="466">
        <v>0</v>
      </c>
    </row>
    <row r="233" spans="1:12" x14ac:dyDescent="0.2">
      <c r="A233" s="1491" t="s">
        <v>1090</v>
      </c>
      <c r="B233" s="605">
        <v>2120</v>
      </c>
      <c r="C233" s="607"/>
      <c r="D233" s="466">
        <v>708</v>
      </c>
      <c r="E233" s="607"/>
      <c r="F233" s="607"/>
      <c r="G233" s="607"/>
      <c r="H233" s="607"/>
      <c r="I233" s="607"/>
      <c r="J233" s="607"/>
      <c r="K233" s="1658">
        <f t="shared" si="20"/>
        <v>708</v>
      </c>
      <c r="L233" s="466">
        <v>692</v>
      </c>
    </row>
    <row r="234" spans="1:12" x14ac:dyDescent="0.2">
      <c r="A234" s="1491" t="s">
        <v>198</v>
      </c>
      <c r="B234" s="605">
        <v>2130</v>
      </c>
      <c r="C234" s="607"/>
      <c r="D234" s="466">
        <v>13059</v>
      </c>
      <c r="E234" s="607"/>
      <c r="F234" s="607"/>
      <c r="G234" s="607"/>
      <c r="H234" s="607"/>
      <c r="I234" s="607"/>
      <c r="J234" s="607"/>
      <c r="K234" s="1658">
        <f t="shared" si="20"/>
        <v>13059</v>
      </c>
      <c r="L234" s="466">
        <v>12617</v>
      </c>
    </row>
    <row r="235" spans="1:12" x14ac:dyDescent="0.2">
      <c r="A235" s="1491" t="s">
        <v>199</v>
      </c>
      <c r="B235" s="605">
        <v>2140</v>
      </c>
      <c r="C235" s="607"/>
      <c r="D235" s="466">
        <v>739</v>
      </c>
      <c r="E235" s="607"/>
      <c r="F235" s="607"/>
      <c r="G235" s="607"/>
      <c r="H235" s="607"/>
      <c r="I235" s="607"/>
      <c r="J235" s="607"/>
      <c r="K235" s="1658">
        <f t="shared" si="20"/>
        <v>739</v>
      </c>
      <c r="L235" s="466">
        <v>743</v>
      </c>
    </row>
    <row r="236" spans="1:12" x14ac:dyDescent="0.2">
      <c r="A236" s="1491" t="s">
        <v>200</v>
      </c>
      <c r="B236" s="605">
        <v>2150</v>
      </c>
      <c r="C236" s="607"/>
      <c r="D236" s="466">
        <v>3145</v>
      </c>
      <c r="E236" s="607"/>
      <c r="F236" s="607"/>
      <c r="G236" s="607"/>
      <c r="H236" s="607"/>
      <c r="I236" s="607"/>
      <c r="J236" s="607"/>
      <c r="K236" s="1658">
        <f t="shared" si="20"/>
        <v>3145</v>
      </c>
      <c r="L236" s="466">
        <v>3283</v>
      </c>
    </row>
    <row r="237" spans="1:12" x14ac:dyDescent="0.2">
      <c r="A237" s="1491" t="s">
        <v>165</v>
      </c>
      <c r="B237" s="605">
        <v>2190</v>
      </c>
      <c r="C237" s="607"/>
      <c r="D237" s="466">
        <v>1175</v>
      </c>
      <c r="E237" s="607"/>
      <c r="F237" s="607"/>
      <c r="G237" s="607"/>
      <c r="H237" s="607"/>
      <c r="I237" s="607"/>
      <c r="J237" s="607"/>
      <c r="K237" s="1658">
        <f t="shared" si="20"/>
        <v>1175</v>
      </c>
      <c r="L237" s="466">
        <v>1612</v>
      </c>
    </row>
    <row r="238" spans="1:12" ht="12.75" customHeight="1" thickBot="1" x14ac:dyDescent="0.25">
      <c r="A238" s="1655" t="s">
        <v>560</v>
      </c>
      <c r="B238" s="1662" t="s">
        <v>716</v>
      </c>
      <c r="C238" s="607"/>
      <c r="D238" s="1657">
        <f>SUM(D232:D237)</f>
        <v>18826</v>
      </c>
      <c r="E238" s="607"/>
      <c r="F238" s="607"/>
      <c r="G238" s="607"/>
      <c r="H238" s="607"/>
      <c r="I238" s="607"/>
      <c r="J238" s="607"/>
      <c r="K238" s="1657">
        <f>SUM(K232:K237)</f>
        <v>18826</v>
      </c>
      <c r="L238" s="1657">
        <f>SUM(L232:L237)</f>
        <v>18947</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1754</v>
      </c>
      <c r="E240" s="607"/>
      <c r="F240" s="607"/>
      <c r="G240" s="607"/>
      <c r="H240" s="607"/>
      <c r="I240" s="607"/>
      <c r="J240" s="607"/>
      <c r="K240" s="1659">
        <f>D240</f>
        <v>1754</v>
      </c>
      <c r="L240" s="466">
        <v>3062</v>
      </c>
    </row>
    <row r="241" spans="1:12" x14ac:dyDescent="0.2">
      <c r="A241" s="1491" t="s">
        <v>815</v>
      </c>
      <c r="B241" s="605">
        <v>2220</v>
      </c>
      <c r="C241" s="607"/>
      <c r="D241" s="466">
        <v>42833</v>
      </c>
      <c r="E241" s="607"/>
      <c r="F241" s="607"/>
      <c r="G241" s="607"/>
      <c r="H241" s="607"/>
      <c r="I241" s="607"/>
      <c r="J241" s="607"/>
      <c r="K241" s="1659">
        <f>D241</f>
        <v>42833</v>
      </c>
      <c r="L241" s="466">
        <v>45866</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44587</v>
      </c>
      <c r="E243" s="607"/>
      <c r="F243" s="607"/>
      <c r="G243" s="607"/>
      <c r="H243" s="607"/>
      <c r="I243" s="607"/>
      <c r="J243" s="607"/>
      <c r="K243" s="1657">
        <f>SUM(K240:K242)</f>
        <v>44587</v>
      </c>
      <c r="L243" s="1657">
        <f>SUM(L240:L242)</f>
        <v>48928</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0</v>
      </c>
    </row>
    <row r="246" spans="1:12" x14ac:dyDescent="0.2">
      <c r="A246" s="1491" t="s">
        <v>818</v>
      </c>
      <c r="B246" s="605">
        <v>2320</v>
      </c>
      <c r="C246" s="607"/>
      <c r="D246" s="466">
        <v>9604</v>
      </c>
      <c r="E246" s="607"/>
      <c r="F246" s="607"/>
      <c r="G246" s="607"/>
      <c r="H246" s="607"/>
      <c r="I246" s="607"/>
      <c r="J246" s="607"/>
      <c r="K246" s="1659">
        <f t="shared" ref="K246:K256" si="21">D246</f>
        <v>9604</v>
      </c>
      <c r="L246" s="466">
        <v>9448</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9604</v>
      </c>
      <c r="E257" s="607"/>
      <c r="F257" s="607"/>
      <c r="G257" s="607"/>
      <c r="H257" s="607"/>
      <c r="I257" s="607"/>
      <c r="J257" s="607"/>
      <c r="K257" s="1657">
        <f>SUM(K245:K256)</f>
        <v>9604</v>
      </c>
      <c r="L257" s="1657">
        <f>SUM(L245:L256)</f>
        <v>9448</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26490</v>
      </c>
      <c r="E259" s="607"/>
      <c r="F259" s="607"/>
      <c r="G259" s="607"/>
      <c r="H259" s="607"/>
      <c r="I259" s="607"/>
      <c r="J259" s="607"/>
      <c r="K259" s="1659">
        <f>D259</f>
        <v>26490</v>
      </c>
      <c r="L259" s="466">
        <v>26956</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26490</v>
      </c>
      <c r="E261" s="607"/>
      <c r="F261" s="607"/>
      <c r="G261" s="607"/>
      <c r="H261" s="607"/>
      <c r="I261" s="607"/>
      <c r="J261" s="607"/>
      <c r="K261" s="1657">
        <f>SUM(K259:K260)</f>
        <v>26490</v>
      </c>
      <c r="L261" s="1657">
        <f>SUM(L259:L260)</f>
        <v>26956</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23183</v>
      </c>
      <c r="E263" s="607"/>
      <c r="F263" s="607"/>
      <c r="G263" s="607"/>
      <c r="H263" s="607"/>
      <c r="I263" s="607"/>
      <c r="J263" s="607"/>
      <c r="K263" s="1659">
        <f>D263</f>
        <v>23183</v>
      </c>
      <c r="L263" s="466">
        <v>18308</v>
      </c>
    </row>
    <row r="264" spans="1:14" x14ac:dyDescent="0.2">
      <c r="A264" s="1491" t="s">
        <v>463</v>
      </c>
      <c r="B264" s="674">
        <v>2520</v>
      </c>
      <c r="C264" s="607"/>
      <c r="D264" s="466">
        <v>1306</v>
      </c>
      <c r="E264" s="607"/>
      <c r="F264" s="607"/>
      <c r="G264" s="607"/>
      <c r="H264" s="607"/>
      <c r="I264" s="607"/>
      <c r="J264" s="607"/>
      <c r="K264" s="1659">
        <f t="shared" ref="K264:K269" si="22">D264</f>
        <v>1306</v>
      </c>
      <c r="L264" s="466">
        <v>6964</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60605</v>
      </c>
      <c r="E266" s="607"/>
      <c r="F266" s="607"/>
      <c r="G266" s="607"/>
      <c r="H266" s="607"/>
      <c r="I266" s="607"/>
      <c r="J266" s="607"/>
      <c r="K266" s="1659">
        <f t="shared" si="22"/>
        <v>60605</v>
      </c>
      <c r="L266" s="466">
        <v>68418</v>
      </c>
    </row>
    <row r="267" spans="1:14" x14ac:dyDescent="0.2">
      <c r="A267" s="1491" t="s">
        <v>953</v>
      </c>
      <c r="B267" s="605">
        <v>2550</v>
      </c>
      <c r="C267" s="607"/>
      <c r="D267" s="466">
        <v>1879</v>
      </c>
      <c r="E267" s="607"/>
      <c r="F267" s="607"/>
      <c r="G267" s="607"/>
      <c r="H267" s="607"/>
      <c r="I267" s="607"/>
      <c r="J267" s="607"/>
      <c r="K267" s="1659">
        <f t="shared" si="22"/>
        <v>1879</v>
      </c>
      <c r="L267" s="466">
        <v>2516</v>
      </c>
    </row>
    <row r="268" spans="1:14" x14ac:dyDescent="0.2">
      <c r="A268" s="1491" t="s">
        <v>100</v>
      </c>
      <c r="B268" s="605">
        <v>2560</v>
      </c>
      <c r="C268" s="607"/>
      <c r="D268" s="466">
        <v>0</v>
      </c>
      <c r="E268" s="607"/>
      <c r="F268" s="607"/>
      <c r="G268" s="607"/>
      <c r="H268" s="607"/>
      <c r="I268" s="607"/>
      <c r="J268" s="607"/>
      <c r="K268" s="1659">
        <f t="shared" si="22"/>
        <v>0</v>
      </c>
      <c r="L268" s="466">
        <v>0</v>
      </c>
    </row>
    <row r="269" spans="1:14" x14ac:dyDescent="0.2">
      <c r="A269" s="1491" t="s">
        <v>101</v>
      </c>
      <c r="B269" s="605">
        <v>2570</v>
      </c>
      <c r="C269" s="607"/>
      <c r="D269" s="466">
        <v>0</v>
      </c>
      <c r="E269" s="607"/>
      <c r="F269" s="607"/>
      <c r="G269" s="607"/>
      <c r="H269" s="607"/>
      <c r="I269" s="607"/>
      <c r="J269" s="607"/>
      <c r="K269" s="1659">
        <f t="shared" si="22"/>
        <v>0</v>
      </c>
      <c r="L269" s="466">
        <v>0</v>
      </c>
    </row>
    <row r="270" spans="1:14" ht="12.75" customHeight="1" thickBot="1" x14ac:dyDescent="0.25">
      <c r="A270" s="1655" t="s">
        <v>719</v>
      </c>
      <c r="B270" s="1662" t="s">
        <v>35</v>
      </c>
      <c r="C270" s="607"/>
      <c r="D270" s="1657">
        <f>SUM(D263:D269)</f>
        <v>86973</v>
      </c>
      <c r="E270" s="607"/>
      <c r="F270" s="607"/>
      <c r="G270" s="607"/>
      <c r="H270" s="607"/>
      <c r="I270" s="607"/>
      <c r="J270" s="607"/>
      <c r="K270" s="1657">
        <f>SUM(K263:K269)</f>
        <v>86973</v>
      </c>
      <c r="L270" s="1657">
        <f>SUM(L263:L269)</f>
        <v>96206</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0</v>
      </c>
      <c r="E276" s="607"/>
      <c r="F276" s="607"/>
      <c r="G276" s="607"/>
      <c r="H276" s="607"/>
      <c r="I276" s="607"/>
      <c r="J276" s="607"/>
      <c r="K276" s="1659">
        <f>D276</f>
        <v>0</v>
      </c>
      <c r="L276" s="466">
        <v>0</v>
      </c>
    </row>
    <row r="277" spans="1:12" ht="12.75" customHeight="1" thickBot="1" x14ac:dyDescent="0.25">
      <c r="A277" s="1678" t="s">
        <v>37</v>
      </c>
      <c r="B277" s="1656" t="s">
        <v>36</v>
      </c>
      <c r="C277" s="607"/>
      <c r="D277" s="1657">
        <f>SUM(D272:D276)</f>
        <v>0</v>
      </c>
      <c r="E277" s="607"/>
      <c r="F277" s="607"/>
      <c r="G277" s="607"/>
      <c r="H277" s="607"/>
      <c r="I277" s="607"/>
      <c r="J277" s="607"/>
      <c r="K277" s="1657">
        <f>SUM(K272:K276)</f>
        <v>0</v>
      </c>
      <c r="L277" s="1657">
        <f>SUM(L272:L276)</f>
        <v>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186480</v>
      </c>
      <c r="E279" s="607"/>
      <c r="F279" s="607"/>
      <c r="G279" s="607"/>
      <c r="H279" s="607"/>
      <c r="I279" s="607"/>
      <c r="J279" s="607"/>
      <c r="K279" s="1664">
        <f>SUM(K238,K243,K257,K261,K270,K277,K278)</f>
        <v>186480</v>
      </c>
      <c r="L279" s="1664">
        <f>SUM(L238,L243,L257,L261,L270,L277,L278)</f>
        <v>200485</v>
      </c>
    </row>
    <row r="280" spans="1:12" ht="15.75" customHeight="1" thickTop="1" thickBot="1" x14ac:dyDescent="0.25">
      <c r="A280" s="1611" t="s">
        <v>875</v>
      </c>
      <c r="B280" s="1600">
        <v>3000</v>
      </c>
      <c r="C280" s="607"/>
      <c r="D280" s="568">
        <v>0</v>
      </c>
      <c r="E280" s="607"/>
      <c r="F280" s="607"/>
      <c r="G280" s="607"/>
      <c r="H280" s="607"/>
      <c r="I280" s="607"/>
      <c r="J280" s="607"/>
      <c r="K280" s="1666">
        <f>D280</f>
        <v>0</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58" t="s">
        <v>505</v>
      </c>
      <c r="B295" s="2159"/>
      <c r="C295" s="607"/>
      <c r="D295" s="1657">
        <f>SUM(D229,D279,D280,D285)</f>
        <v>315750</v>
      </c>
      <c r="E295" s="607"/>
      <c r="F295" s="607"/>
      <c r="G295" s="607"/>
      <c r="H295" s="1657">
        <f>H293</f>
        <v>0</v>
      </c>
      <c r="I295" s="607"/>
      <c r="J295" s="607"/>
      <c r="K295" s="1657">
        <f>SUM(K229,K279,K280,K285,K293,K294)</f>
        <v>315750</v>
      </c>
      <c r="L295" s="1657">
        <f>SUM(L229,L279,L280,L285,L293,L294)</f>
        <v>335992</v>
      </c>
    </row>
    <row r="296" spans="1:14" ht="13.5" thickTop="1" x14ac:dyDescent="0.2">
      <c r="A296" s="2167" t="s">
        <v>996</v>
      </c>
      <c r="B296" s="2168"/>
      <c r="C296" s="607"/>
      <c r="D296" s="609"/>
      <c r="E296" s="607"/>
      <c r="F296" s="607"/>
      <c r="G296" s="607"/>
      <c r="H296" s="676"/>
      <c r="I296" s="607"/>
      <c r="J296" s="607"/>
      <c r="K296" s="1671">
        <f>'Revenues 9-14'!G268-'Expenditures 15-22'!K295</f>
        <v>5138</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0" t="s">
        <v>143</v>
      </c>
      <c r="B298" s="2144"/>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13700</v>
      </c>
      <c r="F301" s="466">
        <v>0</v>
      </c>
      <c r="G301" s="466">
        <v>0</v>
      </c>
      <c r="H301" s="466">
        <v>0</v>
      </c>
      <c r="I301" s="466">
        <v>0</v>
      </c>
      <c r="J301" s="466">
        <v>0</v>
      </c>
      <c r="K301" s="1658">
        <f>SUM(C301:J301)</f>
        <v>13700</v>
      </c>
      <c r="L301" s="466">
        <v>500000</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13700</v>
      </c>
      <c r="F303" s="1664">
        <f t="shared" si="23"/>
        <v>0</v>
      </c>
      <c r="G303" s="1664">
        <f t="shared" si="23"/>
        <v>0</v>
      </c>
      <c r="H303" s="1664">
        <f t="shared" si="23"/>
        <v>0</v>
      </c>
      <c r="I303" s="1664">
        <f t="shared" si="23"/>
        <v>0</v>
      </c>
      <c r="J303" s="1664">
        <f t="shared" si="23"/>
        <v>0</v>
      </c>
      <c r="K303" s="1664">
        <f t="shared" si="23"/>
        <v>13700</v>
      </c>
      <c r="L303" s="1664">
        <f t="shared" si="23"/>
        <v>500000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5" t="s">
        <v>277</v>
      </c>
      <c r="B312" s="2156"/>
      <c r="C312" s="1657">
        <f>SUM(C303)</f>
        <v>0</v>
      </c>
      <c r="D312" s="1657">
        <f>SUM(D303)</f>
        <v>0</v>
      </c>
      <c r="E312" s="1657">
        <f>SUM(E303,E310)</f>
        <v>13700</v>
      </c>
      <c r="F312" s="1657">
        <f>SUM(F303)</f>
        <v>0</v>
      </c>
      <c r="G312" s="1657">
        <f>SUM(G303)</f>
        <v>0</v>
      </c>
      <c r="H312" s="1657">
        <f>SUM(H303,H310)</f>
        <v>0</v>
      </c>
      <c r="I312" s="1657">
        <f>SUM(I303)</f>
        <v>0</v>
      </c>
      <c r="J312" s="1657">
        <f>SUM(J303)</f>
        <v>0</v>
      </c>
      <c r="K312" s="1657">
        <f>SUM(K303,K310,K311)</f>
        <v>13700</v>
      </c>
      <c r="L312" s="1657">
        <f>SUM(L303,L310,L311)</f>
        <v>500000</v>
      </c>
      <c r="M312" s="654"/>
      <c r="N312" s="654"/>
    </row>
    <row r="313" spans="1:14" ht="13.5" thickTop="1" x14ac:dyDescent="0.2">
      <c r="A313" s="2151" t="s">
        <v>996</v>
      </c>
      <c r="B313" s="2152"/>
      <c r="C313" s="617"/>
      <c r="D313" s="617"/>
      <c r="E313" s="617"/>
      <c r="F313" s="617"/>
      <c r="G313" s="617"/>
      <c r="H313" s="617"/>
      <c r="I313" s="617"/>
      <c r="J313" s="617"/>
      <c r="K313" s="1672">
        <f>'Revenues 9-14'!H268-'Expenditures 15-22'!K312</f>
        <v>-5672</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4" t="s">
        <v>149</v>
      </c>
      <c r="B315" s="2165"/>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6" t="s">
        <v>898</v>
      </c>
      <c r="B317" s="2165"/>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53" t="s">
        <v>996</v>
      </c>
      <c r="B343" s="2154"/>
      <c r="C343" s="607"/>
      <c r="D343" s="607"/>
      <c r="E343" s="607"/>
      <c r="F343" s="607"/>
      <c r="G343" s="607"/>
      <c r="H343" s="607"/>
      <c r="I343" s="607"/>
      <c r="J343" s="607"/>
      <c r="K343" s="1671">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3" t="s">
        <v>966</v>
      </c>
      <c r="B345" s="2144"/>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67" t="s">
        <v>996</v>
      </c>
      <c r="B368" s="2168"/>
      <c r="C368" s="643"/>
      <c r="D368" s="643"/>
      <c r="E368" s="617"/>
      <c r="F368" s="617"/>
      <c r="G368" s="617"/>
      <c r="H368" s="617"/>
      <c r="I368" s="617"/>
      <c r="J368" s="614"/>
      <c r="K368" s="1658">
        <f>'Revenues 9-14'!K268-'Expenditures 15-22'!K367</f>
        <v>0</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d21dc803-237d-4c68-8692-8d731fd29118"/>
    <ds:schemaRef ds:uri="http://purl.org/dc/term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2019-11-05T17:43:11Z</cp:lastPrinted>
  <dcterms:created xsi:type="dcterms:W3CDTF">2003-10-29T19:06:34Z</dcterms:created>
  <dcterms:modified xsi:type="dcterms:W3CDTF">2019-12-13T20:23:00Z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Itasca School District No. 10</vt:lpwstr>
  </property>
  <property fmtid="{D5CDD505-2E9C-101B-9397-08002B2CF9AE}" pid="6" name="PPC_Template_Engagement_Date">
    <vt:lpwstr>6/30/2019</vt:lpwstr>
  </property>
</Properties>
</file>