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1CBFCEB-971C-4821-8CBE-632B9031F45A}"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heet2" sheetId="184" r:id="rId32"/>
    <sheet name="Sheet1" sheetId="183" r:id="rId33"/>
    <sheet name="SF&amp;QC Sec-3" sheetId="176" r:id="rId34"/>
    <sheet name="SSPAF" sheetId="177"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l="1"/>
  <c r="F37" i="181" l="1"/>
  <c r="F36" i="181"/>
  <c r="F35" i="181"/>
  <c r="F34" i="181"/>
  <c r="F33" i="181"/>
  <c r="F32" i="181"/>
  <c r="F31" i="181"/>
  <c r="F30" i="181"/>
  <c r="F29" i="181"/>
  <c r="F28" i="181"/>
  <c r="F2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7" i="181"/>
  <c r="E37" i="181"/>
  <c r="G36" i="181"/>
  <c r="E36" i="181"/>
  <c r="E35" i="181"/>
  <c r="G35" i="181" s="1"/>
  <c r="E34" i="181"/>
  <c r="G34" i="181" s="1"/>
  <c r="E33" i="181"/>
  <c r="G33" i="181" s="1"/>
  <c r="E32" i="181"/>
  <c r="E31" i="181"/>
  <c r="G31" i="181" s="1"/>
  <c r="E30" i="181"/>
  <c r="G30" i="181" s="1"/>
  <c r="E29" i="181"/>
  <c r="E28" i="181"/>
  <c r="G28" i="181" s="1"/>
  <c r="E27" i="181"/>
  <c r="E26" i="181"/>
  <c r="F26" i="181" s="1"/>
  <c r="G26" i="181" s="1"/>
  <c r="E25" i="181"/>
  <c r="F25" i="181" s="1"/>
  <c r="E24" i="181"/>
  <c r="E23" i="181"/>
  <c r="E22" i="181"/>
  <c r="E21" i="181"/>
  <c r="E20" i="181"/>
  <c r="E19" i="181"/>
  <c r="F19" i="181" s="1"/>
  <c r="E18" i="181"/>
  <c r="F18" i="181" s="1"/>
  <c r="F22" i="181" l="1"/>
  <c r="G22" i="181" s="1"/>
  <c r="F21" i="181"/>
  <c r="G21" i="181" s="1"/>
  <c r="F23" i="181"/>
  <c r="G23" i="181" s="1"/>
  <c r="F20" i="181"/>
  <c r="G20" i="181" s="1"/>
  <c r="F24" i="181"/>
  <c r="G24" i="181" s="1"/>
  <c r="G32" i="181"/>
  <c r="G29" i="181"/>
  <c r="G27" i="181"/>
  <c r="G25" i="181"/>
  <c r="G19" i="181"/>
  <c r="G18" i="181"/>
  <c r="D38" i="181"/>
  <c r="D80" i="36" l="1"/>
  <c r="B7797" i="106"/>
  <c r="E38" i="181"/>
  <c r="E17" i="181"/>
  <c r="F17" i="181" s="1"/>
  <c r="G17" i="181" l="1"/>
  <c r="G38" i="181"/>
  <c r="G40" i="108" l="1"/>
  <c r="B7799" i="106"/>
  <c r="F38"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7" i="127"/>
  <c r="B68" i="127"/>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L22" i="37"/>
  <c r="D24" i="37"/>
  <c r="B4270" i="106" s="1"/>
  <c r="D4270" i="106" s="1"/>
  <c r="H28" i="118" l="1"/>
  <c r="G14" i="4"/>
  <c r="B2609" i="106" s="1"/>
  <c r="D2609" i="106" s="1"/>
  <c r="F34" i="34"/>
  <c r="B1274" i="106"/>
  <c r="D1274" i="106" s="1"/>
  <c r="F36" i="108"/>
  <c r="D22" i="37"/>
  <c r="F64" i="34"/>
  <c r="B7078" i="106"/>
  <c r="D7078" i="106" s="1"/>
  <c r="H44" i="4"/>
  <c r="B3296" i="106" s="1"/>
  <c r="D3296" i="106" s="1"/>
  <c r="B1126" i="106"/>
  <c r="D1126" i="106" s="1"/>
  <c r="B2836" i="106"/>
  <c r="D2836" i="106" s="1"/>
  <c r="E26" i="108"/>
  <c r="F50" i="34"/>
  <c r="L13" i="11"/>
  <c r="B2060" i="106" s="1"/>
  <c r="D2060"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D7256" i="106"/>
  <c r="D7250" i="106"/>
  <c r="J16" i="4"/>
  <c r="B6226" i="106" s="1"/>
  <c r="D6226" i="106" s="1"/>
  <c r="B5527" i="106"/>
  <c r="D5527" i="106" s="1"/>
  <c r="K365" i="29"/>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<sst xmlns="http://schemas.openxmlformats.org/spreadsheetml/2006/main" count="5224" uniqueCount="2158">
  <si>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</si>
  <si>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</si>
  <si>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</si>
  <si>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</si>
  <si>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</si>
  <si>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</si>
  <si>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</si>
  <si>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</si>
  <si>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</si>
  <si>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</si>
  <si>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</si>
  <si>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</si>
  <si>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</si>
  <si>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</si>
  <si>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</si>
  <si>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</si>
  <si>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</si>
  <si>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</si>
  <si>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</si>
  <si>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</si>
  <si>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</si>
  <si>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</si>
  <si>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</si>
  <si>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</si>
  <si>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</si>
  <si>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</si>
  <si>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</si>
  <si>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</si>
  <si>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</si>
  <si>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</si>
  <si>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</si>
  <si>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</si>
  <si>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</si>
  <si>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</si>
  <si>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</si>
  <si>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</si>
  <si>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</si>
  <si>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</si>
  <si>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</si>
  <si>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</si>
  <si>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</si>
  <si>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</si>
  <si>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</si>
  <si>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</si>
  <si>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</si>
  <si>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</si>
  <si>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</si>
  <si>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</si>
  <si>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</si>
  <si>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</si>
  <si>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</si>
  <si>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</si>
  <si>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</si>
  <si>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</si>
  <si>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</si>
  <si>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</si>
  <si>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</si>
  <si>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</si>
  <si>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</si>
  <si>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</si>
  <si>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</si>
  <si>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</si>
  <si>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</si>
  <si>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</si>
  <si>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</si>
  <si>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</si>
  <si>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</si>
  <si>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</si>
  <si>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</si>
  <si>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</si>
  <si>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</si>
  <si>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</si>
  <si>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</si>
  <si>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</si>
  <si>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</si>
  <si>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</si>
  <si>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</si>
  <si>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</si>
  <si>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</si>
  <si>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</si>
  <si>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</si>
  <si>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</si>
  <si>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</si>
  <si>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</si>
  <si>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</si>
  <si>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</si>
  <si>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</si>
  <si>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</si>
  <si>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</si>
  <si>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</si>
  <si>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</si>
  <si>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</si>
  <si>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</si>
  <si>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</si>
  <si>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</si>
  <si>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</si>
  <si>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</si>
  <si>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</si>
  <si>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</si>
  <si>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</si>
  <si>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</si>
  <si>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</si>
  <si>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</si>
  <si>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</si>
  <si>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</si>
  <si>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</si>
  <si>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</si>
  <si>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</si>
  <si>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</si>
  <si>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</si>
  <si>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</si>
  <si>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</si>
  <si>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</si>
  <si>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</si>
  <si>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</si>
  <si>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</si>
  <si>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</si>
  <si>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</si>
  <si>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</si>
  <si>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</si>
  <si>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</si>
  <si>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</si>
  <si>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</si>
  <si>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</si>
  <si>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</si>
  <si>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</si>
  <si>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</si>
  <si>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</si>
  <si>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</si>
  <si>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</si>
  <si>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</si>
  <si>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</si>
  <si>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</si>
  <si>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</si>
  <si>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</si>
  <si>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</si>
  <si>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</si>
  <si>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</si>
  <si>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</si>
  <si>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</si>
  <si>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</si>
  <si>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</si>
  <si>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</si>
  <si>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</si>
  <si>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</si>
  <si>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</si>
  <si>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</si>
  <si>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</si>
  <si>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</si>
  <si>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</si>
  <si>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</si>
  <si>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</si>
  <si>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</si>
  <si>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</si>
  <si>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</si>
  <si>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</si>
  <si>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</si>
  <si>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</si>
  <si>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</si>
  <si>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</si>
  <si>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</si>
  <si>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</si>
  <si>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</si>
  <si>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</si>
  <si>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</si>
  <si>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</si>
  <si>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</si>
  <si>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</si>
  <si>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</si>
  <si>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</si>
  <si>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</si>
  <si>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</si>
  <si>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</si>
  <si>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</si>
  <si>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</si>
  <si>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</si>
  <si>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</si>
  <si>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</si>
  <si>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</si>
  <si>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</si>
  <si>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</si>
  <si>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</si>
  <si>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</si>
  <si>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</si>
  <si>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</si>
  <si>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</si>
  <si>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</si>
  <si>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</si>
  <si>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</si>
  <si>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</si>
  <si>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</si>
  <si>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</si>
  <si>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</si>
  <si>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</si>
  <si>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</si>
  <si>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</si>
  <si>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</si>
  <si>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</si>
  <si>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</si>
  <si>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</si>
  <si>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</si>
  <si>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</si>
  <si>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</si>
  <si>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</si>
  <si>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</si>
  <si>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</si>
  <si>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</si>
  <si>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</si>
  <si>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</si>
  <si>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</si>
  <si>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</si>
  <si>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</si>
  <si>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</si>
  <si>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</si>
  <si>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</si>
  <si>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</si>
  <si>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</si>
  <si>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</si>
  <si>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</si>
  <si>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</si>
  <si>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</si>
  <si>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</si>
  <si>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</si>
  <si>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</si>
  <si>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</si>
  <si>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</si>
  <si>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</si>
  <si>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</si>
  <si>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</si>
  <si>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</si>
  <si>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</si>
  <si>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</si>
  <si>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</si>
  <si>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</si>
  <si>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</si>
  <si>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</si>
  <si>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</si>
  <si>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</si>
  <si>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</si>
  <si>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</si>
  <si>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</si>
  <si>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</si>
  <si>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</si>
  <si>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</si>
  <si>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</si>
  <si>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</si>
  <si>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</si>
  <si>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</si>
  <si>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</si>
  <si>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</si>
  <si>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</si>
  <si>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</si>
  <si>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</si>
  <si>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</si>
  <si>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</si>
  <si>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</si>
  <si>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</si>
  <si>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</si>
  <si>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</si>
  <si>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</si>
  <si>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</si>
  <si>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</si>
  <si>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</si>
  <si>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</si>
  <si>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</si>
  <si>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</si>
  <si>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</si>
  <si>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</si>
  <si>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</si>
  <si>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</si>
  <si>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</si>
  <si>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</si>
  <si>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</si>
  <si>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</si>
  <si>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</si>
  <si>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</si>
  <si>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</si>
  <si>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</si>
  <si>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</si>
  <si>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</si>
  <si>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</si>
  <si>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</si>
  <si>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</si>
  <si>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</si>
  <si>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</si>
  <si>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</si>
  <si>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</si>
  <si>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</si>
  <si>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</si>
  <si>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</si>
  <si>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</si>
  <si>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</si>
  <si>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</si>
  <si>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</si>
  <si>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</si>
  <si>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</si>
  <si>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</si>
  <si>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</si>
  <si>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</si>
  <si>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</si>
  <si>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</si>
  <si>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</si>
  <si>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</si>
  <si>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</si>
  <si>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</si>
  <si>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</si>
  <si>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</si>
  <si>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</si>
  <si>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</si>
  <si>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</si>
  <si>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</si>
  <si>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</si>
  <si>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</si>
  <si>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</si>
  <si>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</si>
  <si>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</si>
  <si>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</si>
  <si>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</si>
  <si>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</si>
  <si>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</si>
  <si>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</si>
  <si>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</si>
  <si>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</si>
  <si>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</si>
  <si>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</si>
  <si>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</si>
  <si>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</si>
  <si>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</si>
  <si>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</si>
  <si>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</si>
  <si>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</si>
  <si>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</si>
  <si>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</si>
  <si>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</si>
  <si>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</si>
  <si>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</si>
  <si>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</si>
  <si>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</si>
  <si>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</si>
  <si>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</si>
  <si>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</si>
  <si>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</si>
  <si>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</si>
  <si>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</si>
  <si>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</si>
  <si>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</si>
  <si>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</si>
  <si>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</si>
  <si>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</si>
  <si>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</si>
  <si>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</si>
  <si>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</si>
  <si>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</si>
  <si>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</si>
  <si>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</si>
  <si>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</si>
  <si>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</si>
  <si>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</si>
  <si>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</si>
  <si>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</si>
  <si>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</si>
  <si>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</si>
  <si>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</si>
  <si>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</si>
  <si>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</si>
  <si>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</si>
  <si>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</si>
  <si>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</si>
  <si>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</si>
  <si>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</si>
  <si>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</si>
  <si>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</si>
  <si>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</si>
  <si>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</si>
  <si>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</si>
  <si>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</si>
  <si>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</si>
  <si>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</si>
  <si>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</si>
  <si>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</si>
  <si>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</si>
  <si>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</si>
  <si>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</si>
  <si>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</si>
  <si>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</si>
  <si>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</si>
  <si>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</si>
  <si>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</si>
  <si>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</si>
  <si>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</si>
  <si>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</si>
  <si>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</si>
  <si>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</si>
  <si>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</si>
  <si>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</si>
  <si>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</si>
  <si>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</si>
  <si>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</si>
  <si>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</si>
  <si>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</si>
  <si>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</si>
  <si>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</si>
  <si>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</si>
  <si>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</si>
  <si>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</si>
  <si>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</si>
  <si>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</si>
  <si>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</si>
  <si>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</si>
  <si>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</si>
  <si>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</si>
  <si>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</si>
  <si>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</si>
  <si>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</si>
  <si>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</si>
  <si>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</si>
  <si>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</si>
  <si>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</si>
  <si>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</si>
  <si>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</si>
  <si>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</si>
  <si>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</si>
  <si>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</si>
  <si>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</si>
  <si>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</si>
  <si>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</si>
  <si>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</si>
  <si>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</si>
  <si>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</si>
  <si>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</si>
  <si>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</si>
  <si>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</si>
  <si>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</si>
  <si>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</si>
  <si>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</si>
  <si>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</si>
  <si>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</si>
  <si>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</si>
  <si>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</si>
  <si>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</si>
  <si>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</si>
  <si>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</si>
  <si>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</si>
  <si>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</si>
  <si>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</si>
  <si>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</si>
  <si>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</si>
  <si>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</si>
  <si>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</si>
  <si>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</si>
  <si>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</si>
  <si>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</si>
  <si>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</si>
  <si>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</si>
  <si>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</si>
  <si>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</si>
  <si>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</si>
  <si>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</si>
  <si>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</si>
  <si>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</si>
  <si>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</si>
  <si>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</si>
  <si>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</si>
  <si>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</si>
  <si>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</si>
  <si>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</si>
  <si>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</si>
  <si>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</si>
  <si>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</si>
  <si>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</si>
  <si>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</si>
  <si>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</si>
  <si>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</si>
  <si>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</si>
  <si>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</si>
  <si>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</si>
  <si>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</si>
  <si>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</si>
  <si>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</si>
  <si>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</si>
  <si>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</si>
  <si>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</si>
  <si>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</si>
  <si>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</si>
  <si>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</si>
  <si>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</si>
  <si>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</si>
  <si>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</si>
  <si>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</si>
  <si>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</si>
  <si>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</si>
  <si>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</si>
  <si>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</si>
  <si>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</si>
  <si>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</si>
  <si>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</si>
  <si>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</si>
  <si>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</si>
  <si>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</si>
  <si>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</si>
  <si>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</si>
  <si>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</si>
  <si>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</si>
  <si>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</si>
  <si>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</si>
  <si>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</si>
  <si>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</si>
  <si>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</si>
  <si>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</si>
  <si>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</si>
  <si>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</si>
  <si>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</si>
  <si>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</si>
  <si>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</si>
  <si>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</si>
  <si>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</si>
  <si>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</si>
  <si>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</si>
  <si>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</si>
  <si>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</si>
  <si>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</si>
  <si>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</si>
  <si>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</si>
  <si>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</si>
  <si>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</si>
  <si>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</si>
  <si>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</si>
  <si>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</si>
  <si>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</si>
  <si>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</si>
  <si>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</si>
  <si>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</si>
  <si>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</si>
  <si>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</si>
  <si>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</si>
  <si>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</si>
  <si>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</si>
  <si>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</si>
  <si>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</si>
  <si>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</si>
  <si>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</si>
  <si>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</si>
  <si>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</si>
  <si>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</si>
  <si>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</si>
  <si>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</si>
  <si>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</si>
  <si>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</si>
  <si>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</si>
  <si>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</si>
  <si>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</si>
  <si>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</si>
  <si>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</si>
  <si>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</si>
  <si>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</si>
  <si>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</si>
  <si>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</si>
  <si>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</si>
  <si>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</si>
  <si>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</si>
  <si>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</si>
  <si>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</si>
  <si>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</si>
  <si>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</si>
  <si>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</si>
  <si>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</si>
  <si>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</si>
  <si>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</si>
  <si>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</si>
  <si>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</si>
  <si>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</si>
  <si>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</si>
  <si>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</si>
  <si>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</si>
  <si>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</si>
  <si>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</si>
  <si>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</si>
  <si>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</si>
  <si>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</si>
  <si>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</si>
  <si>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</si>
  <si>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</si>
  <si>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</si>
  <si>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</si>
  <si>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</si>
  <si>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</si>
  <si>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</si>
  <si>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</si>
  <si>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</si>
  <si>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</si>
  <si>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</si>
  <si>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</si>
  <si>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</si>
  <si>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</si>
  <si>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</si>
  <si>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</si>
  <si>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</si>
  <si>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</si>
  <si>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</si>
  <si>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</si>
  <si>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</si>
  <si>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</si>
  <si>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</si>
  <si>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</si>
  <si>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</si>
  <si>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</si>
  <si>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</si>
  <si>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</si>
  <si>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</si>
  <si>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</si>
  <si>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</si>
  <si>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</si>
  <si>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</si>
  <si>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</si>
  <si>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</si>
  <si>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</si>
  <si>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</si>
  <si>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</si>
  <si>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</si>
  <si>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</si>
  <si>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</si>
  <si>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</si>
  <si>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</si>
  <si>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</si>
  <si>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</si>
  <si>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</si>
  <si>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</si>
  <si>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</si>
  <si>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</si>
  <si>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</si>
  <si>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</si>
  <si>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</si>
  <si>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</si>
  <si>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</si>
  <si>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</si>
  <si>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</si>
  <si>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</si>
  <si>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</si>
  <si>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</si>
  <si>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</si>
  <si>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</si>
  <si>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</si>
  <si>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</si>
  <si>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</si>
  <si>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</si>
  <si>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</si>
  <si>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</si>
  <si>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</si>
  <si>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</si>
  <si>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</si>
  <si>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</si>
  <si>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</si>
  <si>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</si>
  <si>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</si>
  <si>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</si>
  <si>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</si>
  <si>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</si>
  <si>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</si>
  <si>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</si>
  <si>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</si>
  <si>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</si>
  <si>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</si>
  <si>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</si>
  <si>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</si>
  <si>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</si>
  <si>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</si>
  <si>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</si>
  <si>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</si>
  <si>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</si>
  <si>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</si>
  <si>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</si>
  <si>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</si>
  <si>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</si>
  <si>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</si>
  <si>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</si>
  <si>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</si>
  <si>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</si>
  <si>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</si>
  <si>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</si>
  <si>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</si>
  <si>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</si>
  <si>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</si>
  <si>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</si>
  <si>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</si>
  <si>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</si>
  <si>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</si>
  <si>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</si>
  <si>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</si>
  <si>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</si>
  <si>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</si>
  <si>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</si>
  <si>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</si>
  <si>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</si>
  <si>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</si>
  <si>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</si>
  <si>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</si>
  <si>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</si>
  <si>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</si>
  <si>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</si>
  <si>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</si>
  <si>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</si>
  <si>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</si>
  <si>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</si>
  <si>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</si>
  <si>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</si>
  <si>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</si>
  <si>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</si>
  <si>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</si>
  <si>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</si>
  <si>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</si>
  <si>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</si>
  <si>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</si>
  <si>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</si>
  <si>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</si>
  <si>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</si>
  <si>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</si>
  <si>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</si>
  <si>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</si>
  <si>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</si>
  <si>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</si>
  <si>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</si>
  <si>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</si>
  <si>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</si>
  <si>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</si>
  <si>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</si>
  <si>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</si>
  <si>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</si>
  <si>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</si>
  <si>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</si>
  <si>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</si>
  <si>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</si>
  <si>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</si>
  <si>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</si>
  <si>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</si>
  <si>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</si>
  <si>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</si>
  <si>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</si>
  <si>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</si>
  <si>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</si>
  <si>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</si>
  <si>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</si>
  <si>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</si>
  <si>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</si>
  <si>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</si>
  <si>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</si>
  <si>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</si>
  <si>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</si>
  <si>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</si>
  <si>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</si>
  <si>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</si>
  <si>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</si>
  <si>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</si>
  <si>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</si>
  <si>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</si>
  <si>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</si>
  <si>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</si>
  <si>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</si>
  <si>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</si>
  <si>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</si>
  <si>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</si>
  <si>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</si>
  <si>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</si>
  <si>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</si>
  <si>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</si>
  <si>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</si>
  <si>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</si>
  <si>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</si>
  <si>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</si>
  <si>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</si>
  <si>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</si>
  <si>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</si>
  <si>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</si>
  <si>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</si>
  <si>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</si>
  <si>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</si>
  <si>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</si>
  <si>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</si>
  <si>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</si>
  <si>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</si>
  <si>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</si>
  <si>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</si>
  <si>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</si>
  <si>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</si>
  <si>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</si>
  <si>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</si>
  <si>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</si>
  <si>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</si>
  <si>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</si>
  <si>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</si>
  <si>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</si>
  <si>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</si>
  <si>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</si>
  <si>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</si>
  <si>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</si>
  <si>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</si>
  <si>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</si>
  <si>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</si>
  <si>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</si>
  <si>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</si>
  <si>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</si>
  <si>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</si>
  <si>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</si>
  <si>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</si>
  <si>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</si>
  <si>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</si>
  <si>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</si>
  <si>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</si>
  <si>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</si>
  <si>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</si>
  <si>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</si>
  <si>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</si>
  <si>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</si>
  <si>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</si>
  <si>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</si>
  <si>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</si>
  <si>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</si>
  <si>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</si>
  <si>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</si>
  <si>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</si>
  <si>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</si>
  <si>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</si>
  <si>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</si>
  <si>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</si>
  <si>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</si>
  <si>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</si>
  <si>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</si>
  <si>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</si>
  <si>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</si>
  <si>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</si>
  <si>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</si>
  <si>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</si>
  <si>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</si>
  <si>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</si>
  <si>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</si>
  <si>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</si>
  <si>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</si>
  <si>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</si>
  <si>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</si>
  <si>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</si>
  <si>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</si>
  <si>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</si>
  <si>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</si>
  <si>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</si>
  <si>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</si>
  <si>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</si>
  <si>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</si>
  <si>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</si>
  <si>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</si>
  <si>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</si>
  <si>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</si>
  <si>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</si>
  <si>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</si>
  <si>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</si>
  <si>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</si>
  <si>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</si>
  <si>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</si>
  <si>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</si>
  <si>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</si>
  <si>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</si>
  <si>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</si>
  <si>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</si>
  <si>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</si>
  <si>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</si>
  <si>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</si>
  <si>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</si>
  <si>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</si>
  <si>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</si>
  <si>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</si>
  <si>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</si>
  <si>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</si>
  <si>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</si>
  <si>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</si>
  <si>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</si>
  <si>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</si>
  <si>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</si>
  <si>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</si>
  <si>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</si>
  <si>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</si>
  <si>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</si>
  <si>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</si>
  <si>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</si>
  <si>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</si>
  <si>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</si>
  <si>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</si>
  <si>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</si>
  <si>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</si>
  <si>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</si>
  <si>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</si>
  <si>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</si>
  <si>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</si>
  <si>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</si>
  <si>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</si>
  <si>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</si>
  <si>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</si>
  <si>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</si>
  <si>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</si>
  <si>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</si>
  <si>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</si>
  <si>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</si>
  <si>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</si>
  <si>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</si>
  <si>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</si>
  <si>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</si>
  <si>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</si>
  <si>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</si>
  <si>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</si>
  <si>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</si>
  <si>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</si>
  <si>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</si>
  <si>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</si>
  <si>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</si>
  <si>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</si>
  <si>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</si>
  <si>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</si>
  <si>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</si>
  <si>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</si>
  <si>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</si>
  <si>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</si>
  <si>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</si>
  <si>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</si>
  <si>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</si>
  <si>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</si>
  <si>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</si>
  <si>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</si>
  <si>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</si>
  <si>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</si>
  <si>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</si>
  <si>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</si>
  <si>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</si>
  <si>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</si>
  <si>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</si>
  <si>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</si>
  <si>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</si>
  <si>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</si>
  <si>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</si>
  <si>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</si>
  <si>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</si>
  <si>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</si>
  <si>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</si>
  <si>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</si>
  <si>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</si>
  <si>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</si>
  <si>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</si>
  <si>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</si>
  <si>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</si>
  <si>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</si>
  <si>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</si>
  <si>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</si>
  <si>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</si>
  <si>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</si>
  <si>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</si>
  <si>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</si>
  <si>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</si>
  <si>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</si>
  <si>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</si>
  <si>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</si>
  <si>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</si>
  <si>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</si>
  <si>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</si>
  <si>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</si>
  <si>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</si>
  <si>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</si>
  <si>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</si>
  <si>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</si>
  <si>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</si>
  <si>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</si>
  <si>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</si>
  <si>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</si>
  <si>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</si>
  <si>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</si>
  <si>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</si>
  <si>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</si>
  <si>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</si>
  <si>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</si>
  <si>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</si>
  <si>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</si>
  <si>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</si>
  <si>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</si>
  <si>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</si>
  <si>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</si>
  <si>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</si>
  <si>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</si>
  <si>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</si>
  <si>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</si>
  <si>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</si>
  <si>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</si>
  <si>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</si>
  <si>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</si>
  <si>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</si>
  <si>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</si>
  <si>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</si>
  <si>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</si>
  <si>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</si>
  <si>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</si>
  <si>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</si>
  <si>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</si>
  <si>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</si>
  <si>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</si>
  <si>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</si>
  <si>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</si>
  <si>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</si>
  <si>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</si>
  <si>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</si>
  <si>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</si>
  <si>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</si>
  <si>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</si>
  <si>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</si>
  <si>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</si>
  <si>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</si>
  <si>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</si>
  <si>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</si>
  <si>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</si>
  <si>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</si>
  <si>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</si>
  <si>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</si>
  <si>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</si>
  <si>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</si>
  <si>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</si>
  <si>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</si>
  <si>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</si>
  <si>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</si>
  <si>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</si>
  <si>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</si>
  <si>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</si>
  <si>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</si>
  <si>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</si>
  <si>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</si>
  <si>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</si>
  <si>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</si>
  <si>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</si>
  <si>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</si>
  <si>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</si>
  <si>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</si>
  <si>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</si>
  <si>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</si>
  <si>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</si>
  <si>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</si>
  <si>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</si>
  <si>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</si>
  <si>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</si>
  <si>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</si>
  <si>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</si>
  <si>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</si>
  <si>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</si>
  <si>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</si>
  <si>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</si>
  <si>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</si>
  <si>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</si>
  <si>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</si>
  <si>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</si>
  <si>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</si>
  <si>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</si>
  <si>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</si>
  <si>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</si>
  <si>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</si>
  <si>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</si>
  <si>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</si>
  <si>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</si>
  <si>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</si>
  <si>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</si>
  <si>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</si>
  <si>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</si>
  <si>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</si>
  <si>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</si>
  <si>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</si>
  <si>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</si>
  <si>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</si>
  <si>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</si>
  <si>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</si>
  <si>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</si>
  <si>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</si>
  <si>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</si>
  <si>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</si>
  <si>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</si>
  <si>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</si>
  <si>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</si>
  <si>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</si>
  <si>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</si>
  <si>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</si>
  <si>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</si>
  <si>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</si>
  <si>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</si>
  <si>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</si>
  <si>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</si>
  <si>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</si>
  <si>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</si>
  <si>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</si>
  <si>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</si>
  <si>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</si>
  <si>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</si>
  <si>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</si>
  <si>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</si>
  <si>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</si>
  <si>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</si>
  <si>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</si>
  <si>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</si>
  <si>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</si>
  <si>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</si>
  <si>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</si>
  <si>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</si>
  <si>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</si>
  <si>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</si>
  <si>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</si>
  <si>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</si>
  <si>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</si>
  <si>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</si>
  <si>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</si>
  <si>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</si>
  <si>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</si>
  <si>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</si>
  <si>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</si>
  <si>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</si>
  <si>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</si>
  <si>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</si>
  <si>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</si>
  <si>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</si>
  <si>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</si>
  <si>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</si>
  <si>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</si>
  <si>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</si>
  <si>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</si>
  <si>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</si>
  <si>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</si>
  <si>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</si>
  <si>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</si>
  <si>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</si>
  <si>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</si>
  <si>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</si>
  <si>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</si>
  <si>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</si>
  <si>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</si>
  <si>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</si>
  <si>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</si>
  <si>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</si>
  <si>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</si>
  <si>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</si>
  <si>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</si>
  <si>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</si>
  <si>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</si>
  <si>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</si>
  <si>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</si>
  <si>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</si>
  <si>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</si>
  <si>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</si>
  <si>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</si>
  <si>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</si>
  <si>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</si>
  <si>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</si>
  <si>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</si>
  <si>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</si>
  <si>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</si>
  <si>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</si>
  <si>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</si>
  <si>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</si>
  <si>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</si>
  <si>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</si>
  <si>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</si>
  <si>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</si>
  <si>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</si>
  <si>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</si>
  <si>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</si>
  <si>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</si>
  <si>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</si>
  <si>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</si>
  <si>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</si>
  <si>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</si>
  <si>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</si>
  <si>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</si>
  <si>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</si>
  <si>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</si>
  <si>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</si>
  <si>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</si>
  <si>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</si>
  <si>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</si>
  <si>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</si>
  <si>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</si>
  <si>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</si>
  <si>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</si>
  <si>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</si>
  <si>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</si>
  <si>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</si>
  <si>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</si>
  <si>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</si>
  <si>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</si>
  <si>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</si>
  <si>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</si>
  <si>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</si>
  <si>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</si>
  <si>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</si>
  <si>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</si>
  <si>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</si>
  <si>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</si>
  <si>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</si>
  <si>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</si>
  <si>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</si>
  <si>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</si>
  <si>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</si>
  <si>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</si>
  <si>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</si>
  <si>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</si>
  <si>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</si>
  <si>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</si>
  <si>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</si>
  <si>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</si>
  <si>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</si>
  <si>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</si>
  <si>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</si>
  <si>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</si>
  <si>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</si>
  <si>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</si>
  <si>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</si>
  <si>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</si>
  <si>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</si>
  <si>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</si>
  <si>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</si>
  <si>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</si>
  <si>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</si>
  <si>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</si>
  <si>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</si>
  <si>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</si>
  <si>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</si>
  <si>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</si>
  <si>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</si>
  <si>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</si>
  <si>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</si>
  <si>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</si>
  <si>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</si>
  <si>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</si>
  <si>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</si>
  <si>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</si>
  <si>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</si>
  <si>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</si>
  <si>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</si>
  <si>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</si>
  <si>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</si>
  <si>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</si>
  <si>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</si>
  <si>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</si>
  <si>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</si>
  <si>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</si>
  <si>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</si>
  <si>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</si>
  <si>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</si>
  <si>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</si>
  <si>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</si>
  <si>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</si>
  <si>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</si>
  <si>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</si>
  <si>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</si>
  <si>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</si>
  <si>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</si>
  <si>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</si>
  <si>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</si>
  <si>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</si>
  <si>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</si>
  <si>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</si>
  <si>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</si>
  <si>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</si>
  <si>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</si>
  <si>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</si>
  <si>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</si>
  <si>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</si>
  <si>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</si>
  <si>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</si>
  <si>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</si>
  <si>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</si>
  <si>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</si>
  <si>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</si>
  <si>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</si>
  <si>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</si>
  <si>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</si>
  <si>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</si>
  <si>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</si>
  <si>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</si>
  <si>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</si>
  <si>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</si>
  <si>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</si>
  <si>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</si>
  <si>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</si>
  <si>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</si>
  <si>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</si>
  <si>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</si>
  <si>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</si>
  <si>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</si>
  <si>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</si>
  <si>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</si>
  <si>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</si>
  <si>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</si>
  <si>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</si>
  <si>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</si>
  <si>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</si>
  <si>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</si>
  <si>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</si>
  <si>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</si>
  <si>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</si>
  <si>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</si>
  <si>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</si>
  <si>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</si>
  <si>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</si>
  <si>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</si>
  <si>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</si>
  <si>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</si>
  <si>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</si>
  <si>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</si>
  <si>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</si>
  <si>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</si>
  <si>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</si>
  <si>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</si>
  <si>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</si>
  <si>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</si>
  <si>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</si>
  <si>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</si>
  <si>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</si>
  <si>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</si>
  <si>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</si>
  <si>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</si>
  <si>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</si>
  <si>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</si>
  <si>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</si>
  <si>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</si>
  <si>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</si>
  <si>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</si>
  <si>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</si>
  <si>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</si>
  <si>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</si>
  <si>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</si>
  <si>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</si>
  <si>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</si>
  <si>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</si>
  <si>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</si>
  <si>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</si>
  <si>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</si>
  <si>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</si>
  <si>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</si>
  <si>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</si>
  <si>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</si>
  <si>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</si>
  <si>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</si>
  <si>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</si>
  <si>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</si>
  <si>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</si>
  <si>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</si>
  <si>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</si>
  <si>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</si>
  <si>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</si>
  <si>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</si>
  <si>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</si>
  <si>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</si>
  <si>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</si>
  <si>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</si>
  <si>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</si>
  <si>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</si>
  <si>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</si>
  <si>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</si>
  <si>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</si>
  <si>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</si>
  <si>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</si>
  <si>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</si>
  <si>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</si>
  <si>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</si>
  <si>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</si>
  <si>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</si>
  <si>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</si>
  <si>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</si>
  <si>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</si>
  <si>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</si>
  <si>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</si>
  <si>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</si>
  <si>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</si>
  <si>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</si>
  <si>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</si>
  <si>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</si>
  <si>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</si>
  <si>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</si>
  <si>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</si>
  <si>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</si>
  <si>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</si>
  <si>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</si>
  <si>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</si>
  <si>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</si>
  <si>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</si>
  <si>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</si>
  <si>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</si>
  <si>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</si>
  <si>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</si>
  <si>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</si>
  <si>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</si>
  <si>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</si>
  <si>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</si>
  <si>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</si>
  <si>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</si>
  <si>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</si>
  <si>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</si>
  <si>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</si>
  <si>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</si>
  <si>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</si>
  <si>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</si>
  <si>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</si>
  <si>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</si>
  <si>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</si>
  <si>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</si>
  <si>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</si>
  <si>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</si>
  <si>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</si>
  <si>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</si>
  <si>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</si>
  <si>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</si>
  <si>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</si>
  <si>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</si>
  <si>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</si>
  <si>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</si>
  <si>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</si>
  <si>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</si>
  <si>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</si>
  <si>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</si>
  <si>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</si>
  <si>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</si>
  <si>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</si>
  <si>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</si>
  <si>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</si>
  <si>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</si>
  <si>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</si>
  <si>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</si>
  <si>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</si>
  <si>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</si>
  <si>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</si>
  <si>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</si>
  <si>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</si>
  <si>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</si>
  <si>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</si>
  <si>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</si>
  <si>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</si>
  <si>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</si>
  <si>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</si>
  <si>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</si>
  <si>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</si>
  <si>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</si>
  <si>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</si>
  <si>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</si>
  <si>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</si>
  <si>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</si>
  <si>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</si>
  <si>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</si>
  <si>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</si>
  <si>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</si>
  <si>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</si>
  <si>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</si>
  <si>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</si>
  <si>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</si>
  <si>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</si>
  <si>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</si>
  <si>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</si>
  <si>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</si>
  <si>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</si>
  <si>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</si>
  <si>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</si>
  <si>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</si>
  <si>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</si>
  <si>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</si>
  <si>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</si>
  <si>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</si>
  <si>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</si>
  <si>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</si>
  <si>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</si>
  <si>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</si>
  <si>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</si>
  <si>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</si>
  <si>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</si>
  <si>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</si>
  <si>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</si>
  <si>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</si>
  <si>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</si>
  <si>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</si>
  <si>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</si>
  <si>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</si>
  <si>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</si>
  <si>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</si>
  <si>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</si>
  <si>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</si>
  <si>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</si>
  <si>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</si>
  <si>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</si>
  <si>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</si>
  <si>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</si>
  <si>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</si>
  <si>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</si>
  <si>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</si>
  <si>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</si>
  <si>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</si>
  <si>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</si>
  <si>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</si>
  <si>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</si>
  <si>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</si>
  <si>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</si>
  <si>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</si>
  <si>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</si>
  <si>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</si>
  <si>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</si>
  <si>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</si>
  <si>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</si>
  <si>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</si>
  <si>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</si>
  <si>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</si>
  <si>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</si>
  <si>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</si>
  <si>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</si>
  <si>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</si>
  <si>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</si>
  <si>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</si>
  <si>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</si>
  <si>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</si>
  <si>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</si>
  <si>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</si>
  <si>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</si>
  <si>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</si>
  <si>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</si>
  <si>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</si>
  <si>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</si>
  <si>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</si>
  <si>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</si>
  <si>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</si>
  <si>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</si>
  <si>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</si>
  <si>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</si>
  <si>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</si>
  <si>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</si>
  <si>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</si>
  <si>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</si>
  <si>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</si>
  <si>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</si>
  <si>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</si>
  <si>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</si>
  <si>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</si>
  <si>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</si>
  <si>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</si>
  <si>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</si>
  <si>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</si>
  <si>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</si>
  <si>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</si>
  <si>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</si>
  <si>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</si>
  <si>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</si>
  <si>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</si>
  <si>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</si>
  <si>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</si>
  <si>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</si>
  <si>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</si>
  <si>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</si>
  <si>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</si>
  <si>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</si>
  <si>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</si>
  <si>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</si>
  <si>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</si>
  <si>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</si>
  <si>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</si>
  <si>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</si>
  <si>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</si>
  <si>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</si>
  <si>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</si>
  <si>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</si>
  <si>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</si>
  <si>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</si>
  <si>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</si>
  <si>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</si>
  <si>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</si>
  <si>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</si>
  <si>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</si>
  <si>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</si>
  <si>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</si>
  <si>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</si>
  <si>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</si>
  <si>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</si>
  <si>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</si>
  <si>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</si>
  <si>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</si>
  <si>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</si>
  <si>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</si>
  <si>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</si>
  <si>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</si>
  <si>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</si>
  <si>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</si>
  <si>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</si>
  <si>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</si>
  <si>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</si>
  <si>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</si>
  <si>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</si>
  <si>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</si>
  <si>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</si>
  <si>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</si>
  <si>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</si>
  <si>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</si>
  <si>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</si>
  <si>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</si>
  <si>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</si>
  <si>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</si>
  <si>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</si>
  <si>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</si>
  <si>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</si>
  <si>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</si>
  <si>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</si>
  <si>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</si>
  <si>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</si>
  <si>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</si>
  <si>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</si>
  <si>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</si>
  <si>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</si>
  <si>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</si>
  <si>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</si>
  <si>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</si>
  <si>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</si>
  <si>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</si>
  <si>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</si>
  <si>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</si>
  <si>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</si>
  <si>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</si>
  <si>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</si>
  <si>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</si>
  <si>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</si>
  <si>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</si>
  <si>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</si>
  <si>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</si>
  <si>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</si>
  <si>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</si>
  <si>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</si>
  <si>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</si>
  <si>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</si>
  <si>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</si>
  <si>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</si>
  <si>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</si>
  <si>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</si>
  <si>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</si>
  <si>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</si>
  <si>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</si>
  <si>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</si>
  <si>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</si>
  <si>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</si>
  <si>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</si>
  <si>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</si>
  <si>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</si>
  <si>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</si>
  <si>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</si>
  <si>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</si>
  <si>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</si>
  <si>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</si>
  <si>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</si>
  <si>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</si>
  <si>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</si>
  <si>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</si>
  <si>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</si>
  <si>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</si>
  <si>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</si>
  <si>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</si>
  <si>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</si>
  <si>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</si>
  <si>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</si>
  <si>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</si>
  <si>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</si>
  <si>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</si>
  <si>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</si>
  <si>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</si>
  <si>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</si>
  <si>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</si>
  <si>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</si>
  <si>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</si>
  <si>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</si>
  <si>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</si>
  <si>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</si>
  <si>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</si>
  <si>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</si>
  <si>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</si>
  <si>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</si>
  <si>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</si>
  <si>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</si>
  <si>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</si>
  <si>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</si>
  <si>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</si>
  <si>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</si>
  <si>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</si>
  <si>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</si>
  <si>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</si>
  <si>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</si>
  <si>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</si>
  <si>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</si>
  <si>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</si>
  <si>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</si>
  <si>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</si>
  <si>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</si>
  <si>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</si>
  <si>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</si>
  <si>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</si>
  <si>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</si>
  <si>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</si>
  <si>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</si>
  <si>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</si>
  <si>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</si>
  <si>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</si>
  <si>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</si>
  <si>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</si>
  <si>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</si>
  <si>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</si>
  <si>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</si>
  <si>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</si>
  <si>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</si>
  <si>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</si>
  <si>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</si>
  <si>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</si>
  <si>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</si>
  <si>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</si>
  <si>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</si>
  <si>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</si>
  <si>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</si>
  <si>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</si>
  <si>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</si>
  <si>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</si>
  <si>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</si>
  <si>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</si>
  <si>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</si>
  <si>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</si>
  <si>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</si>
  <si>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</si>
  <si>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</si>
  <si>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</si>
  <si>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</si>
  <si>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</si>
  <si>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</si>
  <si>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</si>
  <si>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</si>
  <si>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</si>
  <si>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</si>
  <si>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</si>
  <si>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</si>
  <si>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</si>
  <si>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</si>
  <si>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</si>
  <si>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</si>
  <si>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</si>
  <si>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</si>
  <si>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</si>
  <si>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</si>
  <si>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</si>
  <si>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</si>
  <si>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</si>
  <si>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</si>
  <si>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</si>
  <si>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</si>
  <si>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</si>
  <si>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</si>
  <si>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</si>
  <si>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</si>
  <si>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</si>
  <si>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</si>
  <si>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</si>
  <si>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</si>
  <si>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</si>
  <si>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</si>
  <si>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</si>
  <si>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</si>
  <si>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</si>
  <si>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</si>
  <si>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</si>
  <si>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</si>
  <si>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</si>
  <si>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</si>
  <si>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</si>
  <si>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</si>
  <si>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</si>
  <si>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</si>
  <si>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</si>
  <si>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</si>
  <si>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</si>
  <si>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</si>
  <si>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</si>
  <si>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</si>
  <si>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</si>
  <si>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</si>
  <si>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</si>
  <si>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</si>
  <si>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</si>
  <si>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</si>
  <si>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</si>
  <si>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</si>
  <si>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</si>
  <si>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</si>
  <si>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</si>
  <si>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</si>
  <si>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</si>
  <si>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</si>
  <si>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</si>
  <si>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</si>
  <si>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</si>
  <si>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</si>
  <si>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</si>
  <si>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</si>
  <si>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</si>
  <si>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</si>
  <si>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</si>
  <si>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</si>
  <si>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</si>
  <si>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</si>
  <si>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</si>
  <si>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</si>
  <si>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</si>
  <si>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</si>
  <si>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</si>
  <si>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</si>
  <si>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</si>
  <si>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</si>
  <si>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</si>
  <si>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</si>
  <si>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</si>
  <si>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</si>
  <si>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</si>
  <si>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</si>
  <si>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</si>
  <si>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</si>
  <si>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</si>
  <si>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</si>
  <si>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</si>
  <si>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</si>
  <si>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</si>
  <si>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</si>
  <si>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</si>
  <si>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</si>
  <si>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</si>
  <si>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</si>
  <si>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</si>
  <si>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</si>
  <si>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</si>
  <si>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</si>
  <si>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</si>
  <si>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</si>
  <si>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</si>
  <si>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</si>
  <si>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</si>
  <si>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</si>
  <si>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</si>
  <si>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</si>
  <si>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</si>
  <si>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</si>
  <si>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</si>
  <si>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</si>
  <si>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</si>
  <si>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</si>
  <si>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</si>
  <si>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</si>
  <si>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</si>
  <si>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</si>
  <si>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</si>
  <si>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</si>
  <si>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</si>
  <si>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</si>
  <si>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</si>
  <si>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</si>
  <si>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</si>
  <si>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</si>
  <si>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</si>
  <si>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</si>
  <si>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</si>
  <si>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</si>
  <si>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</si>
  <si>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</si>
  <si>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</si>
  <si>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</si>
  <si>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</si>
  <si>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</si>
  <si>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</si>
  <si>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</si>
  <si>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</si>
  <si>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</si>
  <si>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</si>
  <si>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</si>
  <si>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</si>
  <si>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</si>
  <si>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</si>
  <si>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</si>
  <si>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</si>
  <si>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</si>
  <si>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</si>
  <si>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</si>
  <si>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</si>
  <si>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</si>
  <si>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</si>
  <si>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</si>
  <si>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</si>
  <si>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</si>
  <si>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</si>
  <si>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</si>
  <si>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</si>
  <si>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</si>
  <si>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</si>
  <si>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</si>
  <si>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</si>
  <si>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</si>
  <si>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</si>
  <si>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</si>
  <si>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</si>
  <si>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</si>
  <si>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</si>
  <si>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</si>
  <si>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</si>
  <si>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</si>
  <si>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</si>
  <si>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</si>
  <si>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</si>
  <si>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</si>
  <si>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</si>
  <si>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</si>
  <si>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</si>
  <si>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</si>
  <si>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</si>
  <si>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</si>
  <si>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</si>
  <si>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</si>
  <si>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</si>
  <si>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</si>
  <si>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</si>
  <si>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</si>
  <si>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</si>
  <si>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</si>
  <si>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</si>
  <si>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</si>
  <si>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</si>
  <si>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</si>
  <si>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</si>
  <si>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</si>
  <si>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</si>
  <si>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</si>
  <si>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</si>
  <si>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</si>
  <si>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</si>
  <si>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</si>
  <si>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</si>
  <si>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</si>
  <si>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</si>
  <si>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</si>
  <si>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</si>
  <si>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</si>
  <si>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</si>
  <si>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</si>
  <si>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</si>
  <si>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</si>
  <si>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</si>
  <si>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</si>
  <si>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</si>
  <si>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</si>
  <si>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</si>
  <si>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</si>
  <si>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</si>
  <si>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</si>
  <si>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</si>
  <si>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</si>
  <si>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</si>
  <si>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</si>
  <si>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</si>
  <si>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</si>
  <si>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</si>
  <si>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</si>
  <si>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</si>
  <si>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</si>
  <si>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</si>
  <si>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</si>
  <si>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</si>
  <si>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</si>
  <si>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</si>
  <si>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</si>
  <si>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</si>
  <si>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</si>
  <si>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</si>
  <si>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</si>
  <si>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</si>
  <si>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</si>
  <si>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</si>
  <si>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</si>
  <si>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</si>
  <si>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</si>
  <si>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</si>
  <si>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</si>
  <si>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</si>
  <si>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</si>
  <si>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</si>
  <si>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</si>
  <si>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</si>
  <si>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</si>
  <si>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</si>
  <si>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</si>
  <si>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</si>
  <si>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</si>
  <si>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</si>
  <si>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</si>
  <si>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</si>
  <si>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</si>
  <si>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</si>
  <si>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</si>
  <si>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</si>
  <si>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</si>
  <si>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</si>
  <si>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</si>
  <si>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</si>
  <si>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</si>
  <si>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</si>
  <si>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</si>
  <si>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</si>
  <si>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</si>
  <si>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</si>
  <si>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</si>
  <si>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</si>
  <si>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</si>
  <si>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</si>
  <si>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</si>
  <si>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</si>
  <si>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</si>
  <si>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</si>
  <si>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</si>
  <si>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</si>
  <si>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</si>
  <si>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</si>
  <si>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</si>
  <si>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</si>
  <si>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</si>
  <si>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</si>
  <si>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</si>
  <si>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</si>
  <si>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</si>
  <si>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</si>
  <si>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</si>
  <si>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</si>
  <si>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</si>
  <si>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</si>
  <si>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</si>
  <si>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</si>
  <si>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</si>
  <si>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</si>
  <si>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</si>
  <si>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</si>
  <si>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</si>
  <si>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</si>
  <si>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</si>
  <si>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</si>
  <si>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</si>
  <si>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</si>
  <si>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</si>
  <si>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</si>
  <si>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</si>
  <si>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</si>
  <si>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</si>
  <si>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</si>
  <si>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</si>
  <si>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</si>
  <si>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</si>
  <si>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</si>
  <si>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</si>
  <si>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</si>
  <si>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</si>
  <si>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</si>
  <si>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</si>
  <si>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</si>
  <si>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</si>
  <si>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</si>
  <si>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</si>
  <si>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</si>
  <si>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</si>
  <si>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</si>
  <si>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</si>
  <si>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</si>
  <si>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</si>
  <si>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</si>
  <si>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</si>
  <si>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ROBIN R. YOCKEY</t>
  </si>
  <si>
    <t>230 N MORGAN, PO BOX 317</t>
  </si>
  <si>
    <t>SHELBYVILLE</t>
  </si>
  <si>
    <t>IL</t>
  </si>
  <si>
    <t>217-774-9587</t>
  </si>
  <si>
    <t>217-774-9589</t>
  </si>
  <si>
    <t>066-003845</t>
  </si>
  <si>
    <t>mybkcpas@consolidated.net</t>
  </si>
  <si>
    <t>23.  Opinion is adverse due to regulatory basis presentation.</t>
  </si>
  <si>
    <t>MCLEAN</t>
  </si>
  <si>
    <t>100 E. WALL STREET</t>
  </si>
  <si>
    <t>LEXINGTON</t>
  </si>
  <si>
    <t>pdeters@lexington.k12.il.us</t>
  </si>
  <si>
    <t>PAUL DETERS</t>
  </si>
  <si>
    <t>309-365-4141</t>
  </si>
  <si>
    <t>MARK JONTRY</t>
  </si>
  <si>
    <t>jontrym@roe17.org</t>
  </si>
  <si>
    <t>309-888-5120</t>
  </si>
  <si>
    <t>309-862-0420</t>
  </si>
  <si>
    <t>Copier Lease Agreement</t>
  </si>
  <si>
    <t>General Obligation School Bonds, Series 2009</t>
  </si>
  <si>
    <t>General Obligation School Bonds, Series 2011B</t>
  </si>
  <si>
    <t>Working Cash Bonds, 2013A</t>
  </si>
  <si>
    <t>Refunding Bonds, Series 2013B</t>
  </si>
  <si>
    <t>Taxable GO Bonds, 2014</t>
  </si>
  <si>
    <t>Copier Lease Purchase Agreement</t>
  </si>
  <si>
    <t>TRI-COUNTY SPECIAL EDUCATION ASSOCIATION</t>
  </si>
  <si>
    <t>QUALITY NETWORK SOLUTIONS</t>
  </si>
  <si>
    <t>BLOOMINGTON AREA CAREER CENTER</t>
  </si>
  <si>
    <t>General Obligation Refunding School Bonds, Series 2018</t>
  </si>
  <si>
    <t>Communication Leasing</t>
  </si>
  <si>
    <t>Quality Network Solutions</t>
  </si>
  <si>
    <t>Transportation Purchase Service</t>
  </si>
  <si>
    <t>40-2550-300</t>
  </si>
  <si>
    <t>Santander</t>
  </si>
  <si>
    <t>Insurance Payments</t>
  </si>
  <si>
    <t>Selective Insurance</t>
  </si>
  <si>
    <t>Private School Tuition</t>
  </si>
  <si>
    <t>Specialized Ed of Illinois</t>
  </si>
  <si>
    <t>The Baby Fold</t>
  </si>
  <si>
    <t>Page 10, Line 74 "Other Food Service"</t>
  </si>
  <si>
    <t xml:space="preserve">   Vending $3,897</t>
  </si>
  <si>
    <t xml:space="preserve">   After School Program Tuition $27,536</t>
  </si>
  <si>
    <t>Page 10, Line 107 "Other Local Revenues"</t>
  </si>
  <si>
    <t>Operations and Maintenance Fund</t>
  </si>
  <si>
    <t xml:space="preserve">   Insurance Payment $34,048</t>
  </si>
  <si>
    <t xml:space="preserve">   Reimbursements $1,524</t>
  </si>
  <si>
    <t xml:space="preserve">   Reimbursements $788</t>
  </si>
  <si>
    <t>Page 12, Line 168 "Other Restricted Revenue From State Sources"</t>
  </si>
  <si>
    <t xml:space="preserve">   Per Capita Library Grant $750</t>
  </si>
  <si>
    <t xml:space="preserve">   PSAT Reimbursement $418</t>
  </si>
  <si>
    <t>Page 12, Line 180 "Other Restricted Grants-in-Aid Received Directly from the Federal Gov't"</t>
  </si>
  <si>
    <t>Page 10, Line 81 "Other District/School Activity Revenue"</t>
  </si>
  <si>
    <t xml:space="preserve">   R.E.A.P. $36,458</t>
  </si>
  <si>
    <t xml:space="preserve">   E.I.R. Grant $15,127</t>
  </si>
  <si>
    <t>Page 15, Line 41 "Other Support Services"</t>
  </si>
  <si>
    <t xml:space="preserve">   Salaries - LEAP After School Program $16,418</t>
  </si>
  <si>
    <t xml:space="preserve">   Benefits - LEAP After School Program $849</t>
  </si>
  <si>
    <t xml:space="preserve">   Supplies &amp; Materials - LEAP After School Program $634</t>
  </si>
  <si>
    <t>Page 16, Line 73 "Other Support Services"</t>
  </si>
  <si>
    <t xml:space="preserve">   Salaries - Trimmer $3,325</t>
  </si>
  <si>
    <t xml:space="preserve">   Benefits - Trimmer $334</t>
  </si>
  <si>
    <t xml:space="preserve">   Purchased Services - Trimmer $8,316</t>
  </si>
  <si>
    <t xml:space="preserve">   Supplies &amp; Materials - Little Learners Grant $3,128</t>
  </si>
  <si>
    <t xml:space="preserve">   Supplies &amp; Materials - Trimmer $79</t>
  </si>
  <si>
    <t>Page 18, Line 171 "Debt Services-Other"</t>
  </si>
  <si>
    <t>Debt Services Fund</t>
  </si>
  <si>
    <t>Page 20, Line 278 "Other Support Services"</t>
  </si>
  <si>
    <t xml:space="preserve">   Benefits - Trimmer $110</t>
  </si>
  <si>
    <t>Page 19, Line 237 "Other Support Services - Pupils"</t>
  </si>
  <si>
    <t xml:space="preserve">   Benefits - LEAP After School Program $1,788</t>
  </si>
  <si>
    <t>20-2540-300</t>
  </si>
  <si>
    <t>80-2300-300</t>
  </si>
  <si>
    <t>All interfund loans are required to be made, disclosed, and repaid in accordance with provisions of Section 10-22.33, 20-4 and 20-5 of the School Code.</t>
  </si>
  <si>
    <t>The Municipal Retirement/Social Security and the Tort Funds overdrew their shares of cash from a commingled checking account, resulting in unauthorized interfund loans.</t>
  </si>
  <si>
    <t>An overdraft of cash from a commingled account constitutes an unauthorized interfund loan.</t>
  </si>
  <si>
    <t>While the District had adequate cash reserves in the commingled account to pay expenditures, interfund transfers were not approved to cover the expenditures in the individual funds.</t>
  </si>
  <si>
    <t>The District should monitor individual funds' cash balances to ensure that unauthorized interfund loans do not occur.</t>
  </si>
  <si>
    <t>Management will ensure that the auditor's recommendation is implemented.  Monies will be transferred among funds to eliminate the occurrence of unauthorized loans.</t>
  </si>
  <si>
    <t>The Municipal Retirement/Social Security Fund was overdrawn in July 2018.  The Tort Fund was overdrawn in July and October, 2018.</t>
  </si>
  <si>
    <t>The District is not in compliance with Illinois statutes.</t>
  </si>
  <si>
    <t>The Municipal Retirement levy is a restricted tax levy which may only be spent on Illinois Municipal Retirement expenditures.</t>
  </si>
  <si>
    <t>Municipal Retirement tax levy proceeds were spent on social security and Medicare expenditures.</t>
  </si>
  <si>
    <t>A material amount of fund balance in the Municipal Retirement/Social Security Fund that is restricted for Illinois Municipal Retirement expenditures was used to pay for social security and Medicare expenditures during the fiscal year ending June 30, 2019.</t>
  </si>
  <si>
    <t>The District's prior Social Security levies were not adequate to pay for the District's social security and Medicare expenditures in the fiscal year ending June 30, 2019.</t>
  </si>
  <si>
    <t>The District will monitor the Municipal Retirement/Social Security expenditures and levies and will deposit unrestricted monies into the Municipal Retirement/Social Security Fund when necessary.</t>
  </si>
  <si>
    <t>The District should monitor expenditures in the Municipal Retirement/Social Security Fund by purpose and ensure that an adequate amount of property taxes are levied to pay for the respective expenditures.  If the District discovers that an appropriate amount of property taxes was not levied, the District should transfer unrestricted monies into the Municipal Retirement/Social Security Fund to cover the additional expenditures.</t>
  </si>
  <si>
    <t>Page 14, Line 265  "Other Restricted Revenue from Federal Sources"</t>
  </si>
  <si>
    <t>309-365-7381</t>
  </si>
  <si>
    <t xml:space="preserve">   Purchased Services - Bond/Coupon Fees $16,556</t>
  </si>
  <si>
    <t>LEXINGTON CUSD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</si>
</sst>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5" fillId="0" borderId="0"/>
  </cellStyleXfs>
  <cellXfs count="24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7"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5"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5"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4" fillId="16" borderId="158" xfId="17" applyNumberFormat="1" applyFont="1" applyFill="1" applyBorder="1" applyAlignment="1" applyProtection="1">
      <alignment horizontal="right" vertical="top"/>
    </xf>
    <xf numFmtId="49" fontId="4" fillId="0" borderId="157" xfId="17" applyNumberFormat="1" applyFont="1" applyBorder="1" applyAlignment="1" applyProtection="1">
      <alignment horizontal="center" vertical="top"/>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8" fontId="55" fillId="0" borderId="125" xfId="0" applyNumberFormat="1" applyFont="1" applyBorder="1" applyAlignment="1" applyProtection="1">
      <alignment horizontal="right"/>
      <protection locked="0"/>
    </xf>
    <xf numFmtId="38" fontId="55" fillId="0" borderId="125" xfId="0" applyNumberFormat="1" applyFont="1" applyFill="1" applyBorder="1" applyAlignment="1" applyProtection="1">
      <alignment horizontal="right"/>
      <protection locked="0"/>
    </xf>
    <xf numFmtId="0" fontId="3" fillId="0" borderId="157" xfId="17" applyFont="1" applyBorder="1" applyAlignment="1" applyProtection="1">
      <alignment horizontal="left" vertical="top" wrapText="1"/>
      <protection locked="0"/>
    </xf>
    <xf numFmtId="49" fontId="3" fillId="0" borderId="157" xfId="17" applyNumberFormat="1" applyFont="1" applyBorder="1" applyAlignment="1" applyProtection="1">
      <alignment horizontal="center" vertical="top"/>
      <protection locked="0"/>
    </xf>
    <xf numFmtId="0" fontId="3"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vertical="top" wrapText="1"/>
      <protection locked="0"/>
    </xf>
    <xf numFmtId="49" fontId="1" fillId="0" borderId="157" xfId="17" applyNumberFormat="1" applyFont="1" applyBorder="1" applyAlignment="1" applyProtection="1">
      <alignment horizontal="center" vertical="top"/>
      <protection locked="0"/>
    </xf>
    <xf numFmtId="0" fontId="54" fillId="0" borderId="0" xfId="3" applyFont="1" applyAlignment="1" applyProtection="1">
      <alignment horizontal="center" vertical="center"/>
    </xf>
    <xf numFmtId="0" fontId="54" fillId="0" borderId="0" xfId="3" applyFont="1" applyAlignment="1" applyProtection="1">
      <alignment horizontal="center" vertical="center"/>
    </xf>
    <xf numFmtId="0" fontId="33" fillId="0" borderId="125" xfId="2" applyBorder="1" applyAlignment="1" applyProtection="1">
      <protection locked="0"/>
    </xf>
    <xf numFmtId="0" fontId="16" fillId="0" borderId="128" xfId="0" applyFont="1" applyBorder="1" applyProtection="1">
      <protection locked="0"/>
    </xf>
    <xf numFmtId="0" fontId="16" fillId="0" borderId="126"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protection locked="0"/>
    </xf>
    <xf numFmtId="180" fontId="13" fillId="0" borderId="128" xfId="0" applyNumberFormat="1" applyFont="1" applyBorder="1" applyAlignment="1" applyProtection="1">
      <alignment horizontal="left" vertical="center"/>
      <protection locked="0"/>
    </xf>
    <xf numFmtId="180" fontId="13" fillId="0" borderId="126"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protection locked="0"/>
    </xf>
    <xf numFmtId="0" fontId="13" fillId="0" borderId="125" xfId="12" applyNumberFormat="1" applyFont="1" applyBorder="1" applyAlignment="1" applyProtection="1">
      <alignment horizontal="left" vertical="center"/>
      <protection locked="0"/>
    </xf>
    <xf numFmtId="0" fontId="13" fillId="0" borderId="128" xfId="0" applyNumberFormat="1" applyFont="1" applyBorder="1" applyAlignment="1" applyProtection="1">
      <alignment horizontal="left" vertical="center"/>
      <protection locked="0"/>
    </xf>
    <xf numFmtId="0" fontId="13" fillId="0" borderId="128" xfId="0" applyFont="1" applyBorder="1" applyAlignment="1" applyProtection="1">
      <alignment horizontal="left" vertical="center"/>
      <protection locked="0"/>
    </xf>
    <xf numFmtId="0" fontId="13" fillId="0" borderId="126" xfId="0" applyFont="1" applyBorder="1" applyAlignment="1" applyProtection="1">
      <alignment horizontal="left" vertical="center"/>
      <protection locked="0"/>
    </xf>
    <xf numFmtId="0" fontId="44" fillId="0" borderId="125" xfId="2" applyNumberFormat="1" applyFont="1" applyBorder="1" applyAlignment="1" applyProtection="1">
      <alignment horizontal="left" vertical="center"/>
      <protection locked="0"/>
    </xf>
    <xf numFmtId="0" fontId="44" fillId="0" borderId="128" xfId="2" applyNumberFormat="1" applyFont="1" applyBorder="1" applyAlignment="1" applyProtection="1">
      <alignment horizontal="left" vertical="center"/>
      <protection locked="0"/>
    </xf>
    <xf numFmtId="0" fontId="44" fillId="0" borderId="128" xfId="2" applyFont="1" applyBorder="1" applyAlignment="1" applyProtection="1">
      <alignment horizontal="left" vertical="center"/>
      <protection locked="0"/>
    </xf>
    <xf numFmtId="0" fontId="44" fillId="0" borderId="126"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25" xfId="12" applyNumberFormat="1" applyFont="1" applyFill="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8"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readingOrder="1"/>
      <protection locked="0"/>
    </xf>
    <xf numFmtId="0" fontId="13" fillId="0" borderId="128" xfId="0" applyNumberFormat="1" applyFont="1" applyBorder="1" applyAlignment="1" applyProtection="1">
      <alignment horizontal="left" vertical="center" readingOrder="1"/>
      <protection locked="0"/>
    </xf>
    <xf numFmtId="0" fontId="10" fillId="0" borderId="128" xfId="0" applyFont="1" applyBorder="1" applyAlignment="1" applyProtection="1">
      <alignment vertical="center" readingOrder="1"/>
      <protection locked="0"/>
    </xf>
    <xf numFmtId="0" fontId="10" fillId="0" borderId="126" xfId="0" applyFont="1" applyBorder="1" applyAlignment="1" applyProtection="1">
      <alignment vertical="center" readingOrder="1"/>
      <protection locked="0"/>
    </xf>
    <xf numFmtId="0" fontId="10" fillId="0" borderId="128" xfId="0" applyFont="1" applyBorder="1" applyAlignment="1" applyProtection="1">
      <alignment vertical="center"/>
      <protection locked="0"/>
    </xf>
    <xf numFmtId="0" fontId="10" fillId="0" borderId="126"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49" fontId="33" fillId="0" borderId="125" xfId="2" applyNumberFormat="1" applyFill="1" applyBorder="1" applyAlignment="1" applyProtection="1">
      <alignment horizontal="left" vertical="center" indent="1"/>
      <protection locked="0"/>
    </xf>
    <xf numFmtId="49" fontId="37" fillId="0" borderId="128" xfId="0" applyNumberFormat="1" applyFont="1" applyBorder="1" applyAlignment="1" applyProtection="1">
      <alignment horizontal="left" vertical="center" indent="1"/>
      <protection locked="0"/>
    </xf>
    <xf numFmtId="49" fontId="37" fillId="0" borderId="126"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28" xfId="0" applyNumberFormat="1" applyFont="1" applyBorder="1" applyAlignment="1" applyProtection="1">
      <alignment horizontal="left" vertical="center" indent="1"/>
      <protection locked="0"/>
    </xf>
    <xf numFmtId="180" fontId="13" fillId="0" borderId="126"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80" fontId="13" fillId="0" borderId="19" xfId="12"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25" xfId="2" applyNumberFormat="1" applyBorder="1" applyAlignment="1" applyProtection="1">
      <alignment horizontal="left" vertical="center" indent="1"/>
      <protection locked="0"/>
    </xf>
    <xf numFmtId="0" fontId="44" fillId="0" borderId="128" xfId="2" applyNumberFormat="1" applyFont="1" applyBorder="1" applyAlignment="1" applyProtection="1">
      <alignment horizontal="left" vertical="center" indent="1"/>
      <protection locked="0"/>
    </xf>
    <xf numFmtId="0" fontId="44" fillId="0" borderId="128" xfId="2" applyFont="1" applyBorder="1" applyAlignment="1" applyProtection="1">
      <alignment horizontal="left" vertical="center" indent="1"/>
      <protection locked="0"/>
    </xf>
    <xf numFmtId="0" fontId="20" fillId="0" borderId="128" xfId="0" applyFont="1" applyBorder="1" applyAlignment="1" applyProtection="1">
      <alignment horizontal="left" vertical="center" indent="1"/>
      <protection locked="0"/>
    </xf>
    <xf numFmtId="0" fontId="20" fillId="0" borderId="126" xfId="0" applyFont="1" applyBorder="1" applyAlignment="1" applyProtection="1">
      <alignment horizontal="left" vertical="center" indent="1"/>
      <protection locked="0"/>
    </xf>
    <xf numFmtId="180" fontId="13" fillId="0" borderId="125"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5" fillId="0" borderId="141" xfId="18" applyFont="1" applyBorder="1" applyAlignment="1" applyProtection="1">
      <alignment horizontal="center" vertical="top" wrapText="1"/>
      <protection locked="0"/>
    </xf>
    <xf numFmtId="0" fontId="5"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xdr:col>
          <xdr:colOff>876300</xdr:colOff>
          <xdr:row>4</xdr:row>
          <xdr:rowOff>133350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0</xdr:row>
          <xdr:rowOff>114300</xdr:rowOff>
        </xdr:from>
        <xdr:to>
          <xdr:col>1</xdr:col>
          <xdr:colOff>1914525</xdr:colOff>
          <xdr:row>4</xdr:row>
          <xdr:rowOff>152400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2019300</xdr:colOff>
          <xdr:row>0</xdr:row>
          <xdr:rowOff>133350</xdr:rowOff>
        </xdr:from>
        <xdr:to>
          <xdr:col>1</xdr:col>
          <xdr:colOff>2933700</xdr:colOff>
          <xdr:row>5</xdr:row>
          <xdr:rowOff>9525</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3028950</xdr:colOff>
          <xdr:row>0</xdr:row>
          <xdr:rowOff>133350</xdr:rowOff>
        </xdr:from>
        <xdr:to>
          <xdr:col>1</xdr:col>
          <xdr:colOff>3943350</xdr:colOff>
          <xdr:row>5</xdr:row>
          <xdr:rowOff>9525</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xdr:row>
          <xdr:rowOff>47625</xdr:rowOff>
        </xdr:from>
        <xdr:to>
          <xdr:col>1</xdr:col>
          <xdr:colOff>857250</xdr:colOff>
          <xdr:row>9</xdr:row>
          <xdr:rowOff>85725</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00000000-0008-0000-14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57150</xdr:rowOff>
        </xdr:from>
        <xdr:to>
          <xdr:col>1</xdr:col>
          <xdr:colOff>1914525</xdr:colOff>
          <xdr:row>9</xdr:row>
          <xdr:rowOff>95250</xdr:rowOff>
        </xdr:to>
        <xdr:sp macro="" textlink="">
          <xdr:nvSpPr>
            <xdr:cNvPr id="37894" name="Object 6" hidden="1">
              <a:extLst>
                <a:ext uri="{63B3BB69-23CF-44E3-9099-C40C66FF867C}">
                  <a14:compatExt spid="_x0000_s37894"/>
                </a:ext>
                <a:ext uri="{FF2B5EF4-FFF2-40B4-BE49-F238E27FC236}">
                  <a16:creationId xmlns:a16="http://schemas.microsoft.com/office/drawing/2014/main" id="{00000000-0008-0000-14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5</xdr:row>
          <xdr:rowOff>66675</xdr:rowOff>
        </xdr:from>
        <xdr:to>
          <xdr:col>1</xdr:col>
          <xdr:colOff>2943225</xdr:colOff>
          <xdr:row>9</xdr:row>
          <xdr:rowOff>104775</xdr:rowOff>
        </xdr:to>
        <xdr:sp macro="" textlink="">
          <xdr:nvSpPr>
            <xdr:cNvPr id="37895" name="Object 7" hidden="1">
              <a:extLst>
                <a:ext uri="{63B3BB69-23CF-44E3-9099-C40C66FF867C}">
                  <a14:compatExt spid="_x0000_s37895"/>
                </a:ext>
                <a:ext uri="{FF2B5EF4-FFF2-40B4-BE49-F238E27FC236}">
                  <a16:creationId xmlns:a16="http://schemas.microsoft.com/office/drawing/2014/main" id="{00000000-0008-0000-1400-000007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a:extLst>
            <a:ext uri="{FF2B5EF4-FFF2-40B4-BE49-F238E27FC236}">
              <a16:creationId xmlns:a16="http://schemas.microsoft.com/office/drawing/2014/main" id="{00000000-0008-0000-1F00-000004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a:extLst>
            <a:ext uri="{FF2B5EF4-FFF2-40B4-BE49-F238E27FC236}">
              <a16:creationId xmlns:a16="http://schemas.microsoft.com/office/drawing/2014/main" id="{00000000-0008-0000-1F00-000005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8" name="Text 1">
          <a:extLst>
            <a:ext uri="{FF2B5EF4-FFF2-40B4-BE49-F238E27FC236}">
              <a16:creationId xmlns:a16="http://schemas.microsoft.com/office/drawing/2014/main" id="{00000000-0008-0000-2000-000008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9" name="Rectangle 8">
          <a:extLst>
            <a:ext uri="{FF2B5EF4-FFF2-40B4-BE49-F238E27FC236}">
              <a16:creationId xmlns:a16="http://schemas.microsoft.com/office/drawing/2014/main" id="{00000000-0008-0000-2000-000009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5" t="s">
        <v>405</v>
      </c>
      <c r="J1" s="2016"/>
      <c r="K1" s="2016"/>
      <c r="L1" s="2016"/>
      <c r="M1" s="2016"/>
      <c r="N1" s="2016"/>
      <c r="O1" s="2016"/>
      <c r="P1" s="2016"/>
      <c r="Q1" s="2016"/>
      <c r="R1" s="2016"/>
      <c r="S1" s="2016"/>
    </row>
    <row r="2" spans="1:28" ht="12" customHeight="1" x14ac:dyDescent="0.2">
      <c r="A2" s="47" t="s">
        <v>1991</v>
      </c>
      <c r="D2" s="48"/>
      <c r="I2" s="2017" t="s">
        <v>979</v>
      </c>
      <c r="J2" s="2016"/>
      <c r="K2" s="2016"/>
      <c r="L2" s="2016"/>
      <c r="M2" s="2016"/>
      <c r="N2" s="2016"/>
      <c r="O2" s="2016"/>
      <c r="P2" s="2016"/>
      <c r="Q2" s="2016"/>
      <c r="R2" s="2016"/>
      <c r="S2" s="2016"/>
    </row>
    <row r="3" spans="1:28" ht="12" customHeight="1" x14ac:dyDescent="0.2">
      <c r="A3" s="155" t="s">
        <v>1943</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2065</v>
      </c>
      <c r="C5" s="26" t="s">
        <v>910</v>
      </c>
      <c r="D5" s="84"/>
      <c r="E5" s="84"/>
      <c r="H5" s="38"/>
      <c r="I5" s="2024" t="s">
        <v>680</v>
      </c>
      <c r="J5" s="1973"/>
      <c r="K5" s="1973"/>
      <c r="L5" s="1973"/>
      <c r="M5" s="1973"/>
      <c r="N5" s="1973"/>
      <c r="O5" s="1973"/>
      <c r="P5" s="1973"/>
      <c r="Q5" s="1973"/>
      <c r="R5" s="1973"/>
      <c r="S5" s="1973"/>
    </row>
    <row r="6" spans="1:28" ht="14.1" customHeight="1" x14ac:dyDescent="0.2">
      <c r="B6" s="104"/>
      <c r="C6" s="26" t="s">
        <v>911</v>
      </c>
      <c r="D6" s="84"/>
      <c r="E6" s="84"/>
      <c r="I6" s="2023" t="s">
        <v>883</v>
      </c>
      <c r="J6" s="1973"/>
      <c r="K6" s="1973"/>
      <c r="L6" s="1973"/>
      <c r="M6" s="1973"/>
      <c r="N6" s="1973"/>
      <c r="O6" s="1973"/>
      <c r="P6" s="1973"/>
      <c r="Q6" s="1973"/>
      <c r="R6" s="1973"/>
      <c r="S6" s="1973"/>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9" t="s">
        <v>533</v>
      </c>
      <c r="U9" s="1970"/>
      <c r="V9" s="1970"/>
      <c r="W9" s="1970"/>
      <c r="X9" s="1970"/>
      <c r="Y9" s="1970"/>
      <c r="Z9" s="1970"/>
      <c r="AA9" s="1971"/>
    </row>
    <row r="10" spans="1:28" ht="13.5" customHeight="1" x14ac:dyDescent="0.2">
      <c r="A10" s="1978" t="s">
        <v>675</v>
      </c>
      <c r="B10" s="1979"/>
      <c r="C10" s="1979"/>
      <c r="D10" s="1979"/>
      <c r="E10" s="1979"/>
      <c r="F10" s="1979"/>
      <c r="G10" s="1979"/>
      <c r="H10" s="1980"/>
      <c r="I10" s="29"/>
      <c r="J10" s="30"/>
      <c r="K10" s="28"/>
      <c r="R10" s="30"/>
      <c r="S10" s="30"/>
      <c r="T10" s="1972"/>
      <c r="U10" s="1973"/>
      <c r="V10" s="1973"/>
      <c r="W10" s="1973"/>
      <c r="X10" s="1973"/>
      <c r="Y10" s="1973"/>
      <c r="Z10" s="1973"/>
      <c r="AA10" s="1974"/>
    </row>
    <row r="11" spans="1:28" ht="14.25" customHeight="1" x14ac:dyDescent="0.2">
      <c r="A11" s="1981" t="s">
        <v>955</v>
      </c>
      <c r="B11" s="1982"/>
      <c r="C11" s="1982"/>
      <c r="D11" s="1982"/>
      <c r="E11" s="1982"/>
      <c r="F11" s="1982"/>
      <c r="G11" s="1982"/>
      <c r="H11" s="1983"/>
      <c r="I11" s="27"/>
      <c r="J11" s="74"/>
      <c r="K11" s="27"/>
      <c r="O11" s="148" t="s">
        <v>2065</v>
      </c>
      <c r="P11" s="100" t="s">
        <v>201</v>
      </c>
      <c r="Q11" s="30"/>
      <c r="R11" s="28"/>
      <c r="S11" s="27"/>
      <c r="T11" s="1975"/>
      <c r="U11" s="1976"/>
      <c r="V11" s="1976"/>
      <c r="W11" s="1976"/>
      <c r="X11" s="1976"/>
      <c r="Y11" s="1976"/>
      <c r="Z11" s="1976"/>
      <c r="AA11" s="1977"/>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9">
        <v>17064007026</v>
      </c>
      <c r="B13" s="1990"/>
      <c r="C13" s="1990"/>
      <c r="D13" s="1990"/>
      <c r="E13" s="1990"/>
      <c r="F13" s="1990"/>
      <c r="G13" s="1990"/>
      <c r="H13" s="1991"/>
      <c r="I13" s="31"/>
      <c r="J13" s="30"/>
      <c r="K13" s="28"/>
      <c r="L13" s="30"/>
      <c r="M13" s="30"/>
      <c r="N13" s="30"/>
      <c r="O13" s="30"/>
      <c r="P13" s="30"/>
      <c r="Q13" s="30"/>
      <c r="R13" s="30"/>
      <c r="S13" s="30"/>
      <c r="T13" s="1992" t="s">
        <v>2066</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7" t="s">
        <v>2076</v>
      </c>
      <c r="B15" s="1964"/>
      <c r="C15" s="1964"/>
      <c r="D15" s="1964"/>
      <c r="E15" s="1964"/>
      <c r="F15" s="1964"/>
      <c r="G15" s="1964"/>
      <c r="H15" s="1965"/>
      <c r="T15" s="1955" t="s">
        <v>2067</v>
      </c>
      <c r="U15" s="1956"/>
      <c r="V15" s="1956"/>
      <c r="W15" s="1956"/>
      <c r="X15" s="1956"/>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7" t="s">
        <v>2157</v>
      </c>
      <c r="B17" s="2013"/>
      <c r="C17" s="2013"/>
      <c r="D17" s="2013"/>
      <c r="E17" s="2013"/>
      <c r="F17" s="2013"/>
      <c r="G17" s="2013"/>
      <c r="H17" s="2014"/>
      <c r="T17" s="2000" t="s">
        <v>2068</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7" t="s">
        <v>2077</v>
      </c>
      <c r="B19" s="1988"/>
      <c r="C19" s="1988"/>
      <c r="D19" s="1988"/>
      <c r="E19" s="1988"/>
      <c r="F19" s="1988"/>
      <c r="G19" s="1988"/>
      <c r="H19" s="1986"/>
      <c r="I19" s="30"/>
      <c r="J19" s="99"/>
      <c r="K19" s="40"/>
      <c r="L19" s="38"/>
      <c r="M19" s="112" t="s">
        <v>315</v>
      </c>
      <c r="P19" s="27"/>
      <c r="Q19" s="27"/>
      <c r="R19" s="27"/>
      <c r="S19" s="31"/>
      <c r="T19" s="1987" t="s">
        <v>2069</v>
      </c>
      <c r="U19" s="1985"/>
      <c r="V19" s="1985"/>
      <c r="W19" s="1986"/>
      <c r="X19" s="1999" t="s">
        <v>2070</v>
      </c>
      <c r="Y19" s="1985"/>
      <c r="Z19" s="1998">
        <v>62565</v>
      </c>
      <c r="AA19" s="198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4" t="s">
        <v>2078</v>
      </c>
      <c r="B21" s="1985"/>
      <c r="C21" s="1985"/>
      <c r="D21" s="1985"/>
      <c r="E21" s="1985"/>
      <c r="F21" s="1985"/>
      <c r="G21" s="1985"/>
      <c r="H21" s="1986"/>
      <c r="I21" s="2006" t="s">
        <v>678</v>
      </c>
      <c r="J21" s="1973"/>
      <c r="K21" s="1973"/>
      <c r="L21" s="1973"/>
      <c r="M21" s="1973"/>
      <c r="N21" s="1973"/>
      <c r="O21" s="1973"/>
      <c r="P21" s="1973"/>
      <c r="Q21" s="1973"/>
      <c r="R21" s="1973"/>
      <c r="S21" s="1974"/>
      <c r="T21" s="1952" t="s">
        <v>2071</v>
      </c>
      <c r="U21" s="1953"/>
      <c r="V21" s="1953"/>
      <c r="W21" s="1953"/>
      <c r="X21" s="1966" t="s">
        <v>2072</v>
      </c>
      <c r="Y21" s="1967"/>
      <c r="Z21" s="1967"/>
      <c r="AA21" s="1968"/>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2079</v>
      </c>
      <c r="B23" s="2004"/>
      <c r="C23" s="2004"/>
      <c r="D23" s="2004"/>
      <c r="E23" s="2004"/>
      <c r="F23" s="2004"/>
      <c r="G23" s="2004"/>
      <c r="H23" s="2005"/>
      <c r="T23" s="1947" t="s">
        <v>2073</v>
      </c>
      <c r="U23" s="1948"/>
      <c r="V23" s="1948"/>
      <c r="W23" s="1948"/>
      <c r="X23" s="1963">
        <v>44530</v>
      </c>
      <c r="Y23" s="1964"/>
      <c r="Z23" s="1964"/>
      <c r="AA23" s="1965"/>
    </row>
    <row r="24" spans="1:27" ht="14.1" customHeight="1" x14ac:dyDescent="0.2">
      <c r="A24" s="88" t="s">
        <v>677</v>
      </c>
      <c r="B24" s="49"/>
      <c r="C24" s="49"/>
      <c r="D24" s="49"/>
      <c r="E24" s="49"/>
      <c r="F24" s="49"/>
      <c r="G24" s="49"/>
      <c r="H24" s="61"/>
      <c r="J24" s="2056">
        <f>IF(B5="x",IF(AUDITCHECK!D29="AFR form Incomplete.","",IF(AUDITCHECK!D29="Deficit reduction plan is required.","School District must complete a deficit reduction plan in the 2019-2020 Budget",)),"")</f>
        <v>0</v>
      </c>
      <c r="K24" s="2056"/>
      <c r="L24" s="2056"/>
      <c r="M24" s="2056"/>
      <c r="N24" s="2056"/>
      <c r="O24" s="2056"/>
      <c r="P24" s="2056"/>
      <c r="Q24" s="2056"/>
      <c r="R24" s="2056"/>
      <c r="S24" s="2057"/>
      <c r="T24" s="105" t="s">
        <v>531</v>
      </c>
      <c r="U24" s="106"/>
      <c r="V24" s="106"/>
      <c r="W24" s="106"/>
      <c r="X24" s="107"/>
      <c r="Y24" s="107"/>
      <c r="Z24" s="107"/>
      <c r="AA24" s="108"/>
    </row>
    <row r="25" spans="1:27" ht="14.1" customHeight="1" x14ac:dyDescent="0.2">
      <c r="A25" s="1984">
        <v>61753</v>
      </c>
      <c r="B25" s="1985"/>
      <c r="C25" s="1985"/>
      <c r="D25" s="1985"/>
      <c r="E25" s="1985"/>
      <c r="F25" s="1985"/>
      <c r="G25" s="1985"/>
      <c r="H25" s="1986"/>
      <c r="I25" s="113"/>
      <c r="J25" s="2058"/>
      <c r="K25" s="2058"/>
      <c r="L25" s="2058"/>
      <c r="M25" s="2058"/>
      <c r="N25" s="2058"/>
      <c r="O25" s="2058"/>
      <c r="P25" s="2058"/>
      <c r="Q25" s="2058"/>
      <c r="R25" s="2058"/>
      <c r="S25" s="2059"/>
      <c r="T25" s="1944" t="s">
        <v>2074</v>
      </c>
      <c r="U25" s="1945"/>
      <c r="V25" s="1945"/>
      <c r="W25" s="1945"/>
      <c r="X25" s="1945"/>
      <c r="Y25" s="1945"/>
      <c r="Z25" s="1945"/>
      <c r="AA25" s="1946"/>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7"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4"/>
      <c r="Q35" s="2055"/>
      <c r="R35" s="205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7" t="s">
        <v>2080</v>
      </c>
      <c r="B38" s="2013"/>
      <c r="C38" s="2013"/>
      <c r="D38" s="2013"/>
      <c r="E38" s="2013"/>
      <c r="F38" s="1985"/>
      <c r="G38" s="1985"/>
      <c r="H38" s="1986"/>
      <c r="I38" s="2031"/>
      <c r="J38" s="2032"/>
      <c r="K38" s="2032"/>
      <c r="L38" s="2032"/>
      <c r="M38" s="2032"/>
      <c r="N38" s="2032"/>
      <c r="O38" s="2032"/>
      <c r="P38" s="2033"/>
      <c r="Q38" s="2033"/>
      <c r="R38" s="2033"/>
      <c r="S38" s="2034"/>
      <c r="T38" s="1955" t="s">
        <v>2082</v>
      </c>
      <c r="U38" s="1956"/>
      <c r="V38" s="1956"/>
      <c r="W38" s="1956"/>
      <c r="X38" s="1957"/>
      <c r="Y38" s="1957"/>
      <c r="Z38" s="1957"/>
      <c r="AA38" s="1958"/>
    </row>
    <row r="39" spans="1:27" ht="12" customHeight="1" x14ac:dyDescent="0.2">
      <c r="A39" s="2045" t="s">
        <v>531</v>
      </c>
      <c r="B39" s="2046"/>
      <c r="C39" s="72"/>
      <c r="D39" s="69"/>
      <c r="E39" s="69"/>
      <c r="F39" s="79"/>
      <c r="G39" s="69"/>
      <c r="H39" s="56"/>
      <c r="I39" s="2045" t="s">
        <v>531</v>
      </c>
      <c r="J39" s="2046"/>
      <c r="K39" s="2046"/>
      <c r="L39" s="2046"/>
      <c r="M39" s="2046"/>
      <c r="N39" s="67"/>
      <c r="O39" s="72"/>
      <c r="P39" s="72"/>
      <c r="Q39" s="78"/>
      <c r="R39" s="72"/>
      <c r="S39" s="56"/>
      <c r="T39" s="72" t="s">
        <v>531</v>
      </c>
      <c r="U39" s="51"/>
      <c r="V39" s="72"/>
      <c r="W39" s="50"/>
      <c r="X39" s="78"/>
      <c r="Y39" s="45"/>
      <c r="Z39" s="45"/>
      <c r="AA39" s="46"/>
    </row>
    <row r="40" spans="1:27" ht="13.5" customHeight="1" x14ac:dyDescent="0.2">
      <c r="A40" s="2048" t="s">
        <v>2079</v>
      </c>
      <c r="B40" s="2049"/>
      <c r="C40" s="2050"/>
      <c r="D40" s="2050"/>
      <c r="E40" s="2050"/>
      <c r="F40" s="2051"/>
      <c r="G40" s="2051"/>
      <c r="H40" s="2052"/>
      <c r="I40" s="2041"/>
      <c r="J40" s="2042"/>
      <c r="K40" s="2042"/>
      <c r="L40" s="2042"/>
      <c r="M40" s="2042"/>
      <c r="N40" s="2042"/>
      <c r="O40" s="2042"/>
      <c r="P40" s="2042"/>
      <c r="Q40" s="2042"/>
      <c r="R40" s="2042"/>
      <c r="S40" s="2043"/>
      <c r="T40" s="1959" t="s">
        <v>2083</v>
      </c>
      <c r="U40" s="1960"/>
      <c r="V40" s="1961"/>
      <c r="W40" s="1961"/>
      <c r="X40" s="1961"/>
      <c r="Y40" s="1961"/>
      <c r="Z40" s="1961"/>
      <c r="AA40" s="1962"/>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6" t="s">
        <v>2081</v>
      </c>
      <c r="B42" s="2029"/>
      <c r="C42" s="2030"/>
      <c r="D42" s="2053" t="s">
        <v>2155</v>
      </c>
      <c r="E42" s="2029"/>
      <c r="F42" s="2029"/>
      <c r="G42" s="2029"/>
      <c r="H42" s="2030"/>
      <c r="I42" s="2044"/>
      <c r="J42" s="2039"/>
      <c r="K42" s="2039"/>
      <c r="L42" s="2039"/>
      <c r="M42" s="2039"/>
      <c r="N42" s="2039"/>
      <c r="O42" s="2040"/>
      <c r="P42" s="2038"/>
      <c r="Q42" s="2039"/>
      <c r="R42" s="2039"/>
      <c r="S42" s="2040"/>
      <c r="T42" s="1954" t="s">
        <v>2084</v>
      </c>
      <c r="U42" s="1950"/>
      <c r="V42" s="1950"/>
      <c r="W42" s="1951"/>
      <c r="X42" s="1949" t="s">
        <v>2085</v>
      </c>
      <c r="Y42" s="1950"/>
      <c r="Z42" s="1950"/>
      <c r="AA42" s="195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5"/>
      <c r="B44" s="2036"/>
      <c r="C44" s="2036"/>
      <c r="D44" s="2036"/>
      <c r="E44" s="2036"/>
      <c r="F44" s="2036"/>
      <c r="G44" s="2036"/>
      <c r="H44" s="2037"/>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3" t="s">
        <v>1065</v>
      </c>
      <c r="B35" s="2063"/>
      <c r="C35" s="2063"/>
      <c r="D35" s="2063"/>
      <c r="E35" s="206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0" t="s">
        <v>691</v>
      </c>
      <c r="B40" s="2060"/>
      <c r="C40" s="2060"/>
      <c r="D40" s="2060"/>
      <c r="E40" s="2060"/>
    </row>
    <row r="41" spans="1:5" x14ac:dyDescent="0.2">
      <c r="A41" s="2061" t="s">
        <v>1608</v>
      </c>
      <c r="B41" s="2061"/>
      <c r="C41" s="2061"/>
      <c r="D41" s="2061"/>
      <c r="E41" s="2061"/>
    </row>
    <row r="42" spans="1:5" ht="12.75" customHeight="1" x14ac:dyDescent="0.2">
      <c r="A42" s="2062" t="s">
        <v>1022</v>
      </c>
      <c r="B42" s="2062"/>
      <c r="C42" s="2062"/>
      <c r="D42" s="2062"/>
      <c r="E42" s="2062"/>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6" colorId="8" zoomScale="110" zoomScaleNormal="110" workbookViewId="0">
      <selection activeCell="B15" sqref="B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4" t="s">
        <v>1168</v>
      </c>
      <c r="B2" s="2064"/>
      <c r="C2" s="2064"/>
      <c r="D2" s="2064"/>
      <c r="E2" s="2064"/>
      <c r="F2" s="2064"/>
      <c r="G2" s="2064"/>
      <c r="H2" s="2064"/>
      <c r="I2" s="2064"/>
      <c r="J2" s="206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t="s">
        <v>2065</v>
      </c>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t="s">
        <v>2065</v>
      </c>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8" t="s">
        <v>1633</v>
      </c>
      <c r="B35" s="2079"/>
      <c r="C35" s="2079"/>
      <c r="D35" s="2079"/>
      <c r="E35" s="2080"/>
      <c r="F35" s="2080"/>
      <c r="G35" s="2080"/>
      <c r="H35" s="2080"/>
      <c r="I35" s="208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8" t="s">
        <v>313</v>
      </c>
      <c r="B47" s="2081"/>
      <c r="C47" s="2081"/>
      <c r="D47" s="2081"/>
      <c r="E47" s="2082"/>
      <c r="F47" s="2082"/>
      <c r="G47" s="2082"/>
      <c r="H47" s="2082"/>
      <c r="I47" s="208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5" t="s">
        <v>2075</v>
      </c>
      <c r="C57" s="2086"/>
      <c r="D57" s="2086"/>
      <c r="E57" s="2086"/>
      <c r="F57" s="2086"/>
      <c r="G57" s="2086"/>
      <c r="H57" s="2086"/>
      <c r="I57" s="2086"/>
      <c r="J57" s="2087"/>
    </row>
    <row r="58" spans="1:10" s="181" customFormat="1" x14ac:dyDescent="0.2">
      <c r="A58" s="253"/>
      <c r="B58" s="2088"/>
      <c r="C58" s="2089"/>
      <c r="D58" s="2089"/>
      <c r="E58" s="2089"/>
      <c r="F58" s="2089"/>
      <c r="G58" s="2089"/>
      <c r="H58" s="2089"/>
      <c r="I58" s="2089"/>
      <c r="J58" s="2090"/>
    </row>
    <row r="59" spans="1:10" s="181" customFormat="1" x14ac:dyDescent="0.2">
      <c r="A59" s="253"/>
      <c r="B59" s="2088"/>
      <c r="C59" s="2089"/>
      <c r="D59" s="2089"/>
      <c r="E59" s="2089"/>
      <c r="F59" s="2089"/>
      <c r="G59" s="2089"/>
      <c r="H59" s="2089"/>
      <c r="I59" s="2089"/>
      <c r="J59" s="2090"/>
    </row>
    <row r="60" spans="1:10" s="181" customFormat="1" x14ac:dyDescent="0.2">
      <c r="A60" s="253"/>
      <c r="B60" s="2088"/>
      <c r="C60" s="2089"/>
      <c r="D60" s="2089"/>
      <c r="E60" s="2089"/>
      <c r="F60" s="2089"/>
      <c r="G60" s="2089"/>
      <c r="H60" s="2089"/>
      <c r="I60" s="2089"/>
      <c r="J60" s="2090"/>
    </row>
    <row r="61" spans="1:10" s="181" customFormat="1" x14ac:dyDescent="0.2">
      <c r="A61" s="253"/>
      <c r="B61" s="2088"/>
      <c r="C61" s="2089"/>
      <c r="D61" s="2089"/>
      <c r="E61" s="2089"/>
      <c r="F61" s="2089"/>
      <c r="G61" s="2089"/>
      <c r="H61" s="2089"/>
      <c r="I61" s="2089"/>
      <c r="J61" s="2090"/>
    </row>
    <row r="62" spans="1:10" s="181" customFormat="1" x14ac:dyDescent="0.2">
      <c r="A62" s="253"/>
      <c r="B62" s="2088"/>
      <c r="C62" s="2089"/>
      <c r="D62" s="2089"/>
      <c r="E62" s="2089"/>
      <c r="F62" s="2089"/>
      <c r="G62" s="2089"/>
      <c r="H62" s="2089"/>
      <c r="I62" s="2089"/>
      <c r="J62" s="2090"/>
    </row>
    <row r="63" spans="1:10" s="181" customFormat="1" x14ac:dyDescent="0.2">
      <c r="A63" s="253"/>
      <c r="B63" s="2088"/>
      <c r="C63" s="2089"/>
      <c r="D63" s="2089"/>
      <c r="E63" s="2089"/>
      <c r="F63" s="2089"/>
      <c r="G63" s="2089"/>
      <c r="H63" s="2089"/>
      <c r="I63" s="2089"/>
      <c r="J63" s="2090"/>
    </row>
    <row r="64" spans="1:10" s="181" customFormat="1" x14ac:dyDescent="0.2">
      <c r="A64" s="253"/>
      <c r="B64" s="2088"/>
      <c r="C64" s="2089"/>
      <c r="D64" s="2089"/>
      <c r="E64" s="2089"/>
      <c r="F64" s="2089"/>
      <c r="G64" s="2089"/>
      <c r="H64" s="2089"/>
      <c r="I64" s="2089"/>
      <c r="J64" s="2090"/>
    </row>
    <row r="65" spans="1:10" s="181" customFormat="1" x14ac:dyDescent="0.2">
      <c r="A65" s="253"/>
      <c r="B65" s="2088"/>
      <c r="C65" s="2089"/>
      <c r="D65" s="2089"/>
      <c r="E65" s="2089"/>
      <c r="F65" s="2089"/>
      <c r="G65" s="2089"/>
      <c r="H65" s="2089"/>
      <c r="I65" s="2089"/>
      <c r="J65" s="2090"/>
    </row>
    <row r="66" spans="1:10" s="181" customFormat="1" x14ac:dyDescent="0.2">
      <c r="A66" s="253"/>
      <c r="B66" s="2088"/>
      <c r="C66" s="2089"/>
      <c r="D66" s="2089"/>
      <c r="E66" s="2089"/>
      <c r="F66" s="2089"/>
      <c r="G66" s="2089"/>
      <c r="H66" s="2089"/>
      <c r="I66" s="2089"/>
      <c r="J66" s="2090"/>
    </row>
    <row r="67" spans="1:10" s="181" customFormat="1" ht="9" customHeight="1" x14ac:dyDescent="0.2">
      <c r="A67" s="254"/>
      <c r="B67" s="2091"/>
      <c r="C67" s="2092"/>
      <c r="D67" s="2092"/>
      <c r="E67" s="2092"/>
      <c r="F67" s="2092"/>
      <c r="G67" s="2092"/>
      <c r="H67" s="2092"/>
      <c r="I67" s="2092"/>
      <c r="J67" s="209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8" t="s">
        <v>1323</v>
      </c>
      <c r="B70" s="2081"/>
      <c r="C70" s="2081"/>
      <c r="D70" s="2081"/>
      <c r="E70" s="2082"/>
      <c r="F70" s="2082"/>
      <c r="G70" s="2082"/>
      <c r="H70" s="2082"/>
      <c r="I70" s="208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3" t="s">
        <v>1320</v>
      </c>
      <c r="B83" s="2083"/>
      <c r="C83" s="2083"/>
      <c r="D83" s="208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5"/>
      <c r="C102" s="2066"/>
      <c r="D102" s="2066"/>
      <c r="E102" s="2066"/>
      <c r="F102" s="2066"/>
      <c r="G102" s="2066"/>
      <c r="H102" s="2066"/>
      <c r="I102" s="2067"/>
    </row>
    <row r="103" spans="1:9" s="181" customFormat="1" ht="11.25" customHeight="1" x14ac:dyDescent="0.2">
      <c r="A103" s="316"/>
      <c r="B103" s="2068"/>
      <c r="C103" s="2069"/>
      <c r="D103" s="2069"/>
      <c r="E103" s="2069"/>
      <c r="F103" s="2069"/>
      <c r="G103" s="2069"/>
      <c r="H103" s="2069"/>
      <c r="I103" s="2070"/>
    </row>
    <row r="104" spans="1:9" s="181" customFormat="1" ht="11.25" customHeight="1" x14ac:dyDescent="0.2">
      <c r="A104" s="316"/>
      <c r="B104" s="2068"/>
      <c r="C104" s="2069"/>
      <c r="D104" s="2069"/>
      <c r="E104" s="2069"/>
      <c r="F104" s="2069"/>
      <c r="G104" s="2069"/>
      <c r="H104" s="2069"/>
      <c r="I104" s="2070"/>
    </row>
    <row r="105" spans="1:9" s="181" customFormat="1" x14ac:dyDescent="0.2">
      <c r="A105" s="316"/>
      <c r="B105" s="2068"/>
      <c r="C105" s="2069"/>
      <c r="D105" s="2069"/>
      <c r="E105" s="2069"/>
      <c r="F105" s="2069"/>
      <c r="G105" s="2069"/>
      <c r="H105" s="2069"/>
      <c r="I105" s="2070"/>
    </row>
    <row r="106" spans="1:9" s="181" customFormat="1" ht="11.25" customHeight="1" x14ac:dyDescent="0.2">
      <c r="A106" s="316"/>
      <c r="B106" s="2068"/>
      <c r="C106" s="2069"/>
      <c r="D106" s="2069"/>
      <c r="E106" s="2069"/>
      <c r="F106" s="2069"/>
      <c r="G106" s="2069"/>
      <c r="H106" s="2069"/>
      <c r="I106" s="2070"/>
    </row>
    <row r="107" spans="1:9" s="181" customFormat="1" ht="11.25" customHeight="1" x14ac:dyDescent="0.2">
      <c r="A107" s="316"/>
      <c r="B107" s="2068"/>
      <c r="C107" s="2069"/>
      <c r="D107" s="2069"/>
      <c r="E107" s="2069"/>
      <c r="F107" s="2069"/>
      <c r="G107" s="2069"/>
      <c r="H107" s="2069"/>
      <c r="I107" s="2070"/>
    </row>
    <row r="108" spans="1:9" s="181" customFormat="1" ht="11.25" customHeight="1" x14ac:dyDescent="0.2">
      <c r="A108" s="316"/>
      <c r="B108" s="2068"/>
      <c r="C108" s="2069"/>
      <c r="D108" s="2069"/>
      <c r="E108" s="2069"/>
      <c r="F108" s="2069"/>
      <c r="G108" s="2069"/>
      <c r="H108" s="2069"/>
      <c r="I108" s="2070"/>
    </row>
    <row r="109" spans="1:9" s="181" customFormat="1" ht="11.25" customHeight="1" x14ac:dyDescent="0.2">
      <c r="A109" s="316"/>
      <c r="B109" s="2068"/>
      <c r="C109" s="2069"/>
      <c r="D109" s="2069"/>
      <c r="E109" s="2069"/>
      <c r="F109" s="2069"/>
      <c r="G109" s="2069"/>
      <c r="H109" s="2069"/>
      <c r="I109" s="2070"/>
    </row>
    <row r="110" spans="1:9" s="181" customFormat="1" ht="11.25" customHeight="1" x14ac:dyDescent="0.2">
      <c r="A110" s="316"/>
      <c r="B110" s="2068"/>
      <c r="C110" s="2069"/>
      <c r="D110" s="2069"/>
      <c r="E110" s="2069"/>
      <c r="F110" s="2069"/>
      <c r="G110" s="2069"/>
      <c r="H110" s="2069"/>
      <c r="I110" s="2070"/>
    </row>
    <row r="111" spans="1:9" s="181" customFormat="1" ht="11.25" customHeight="1" x14ac:dyDescent="0.2">
      <c r="A111" s="316"/>
      <c r="B111" s="2068"/>
      <c r="C111" s="2069"/>
      <c r="D111" s="2069"/>
      <c r="E111" s="2069"/>
      <c r="F111" s="2069"/>
      <c r="G111" s="2069"/>
      <c r="H111" s="2069"/>
      <c r="I111" s="2070"/>
    </row>
    <row r="112" spans="1:9" s="181" customFormat="1" ht="11.25" customHeight="1" x14ac:dyDescent="0.2">
      <c r="A112" s="316"/>
      <c r="B112" s="2071"/>
      <c r="C112" s="2072"/>
      <c r="D112" s="2072"/>
      <c r="E112" s="2072"/>
      <c r="F112" s="2072"/>
      <c r="G112" s="2072"/>
      <c r="H112" s="2072"/>
      <c r="I112" s="207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4" t="s">
        <v>2066</v>
      </c>
      <c r="D114" s="207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5" t="s">
        <v>1330</v>
      </c>
      <c r="D117" s="2076"/>
      <c r="E117" s="2077"/>
      <c r="F117" s="2077"/>
      <c r="G117" s="2077"/>
      <c r="H117" s="2077"/>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F16" sqref="F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4" t="s">
        <v>386</v>
      </c>
      <c r="B1" s="2094"/>
      <c r="C1" s="2094"/>
      <c r="D1" s="2094"/>
      <c r="E1" s="2094"/>
      <c r="F1" s="2094"/>
      <c r="G1" s="2094"/>
      <c r="H1" s="2094"/>
      <c r="I1" s="2094"/>
      <c r="J1" s="2094"/>
      <c r="K1" s="2094"/>
      <c r="L1" s="2094"/>
      <c r="M1" s="209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79249964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3.8896199999999999E-2</v>
      </c>
      <c r="E10" s="356" t="s">
        <v>1005</v>
      </c>
      <c r="F10" s="355">
        <v>6.0339E-3</v>
      </c>
      <c r="G10" s="356" t="s">
        <v>1005</v>
      </c>
      <c r="H10" s="355">
        <v>1.9946999999999999E-3</v>
      </c>
      <c r="I10" s="356" t="s">
        <v>1006</v>
      </c>
      <c r="J10" s="1726">
        <f>ROUND(D10+F10+H10,5)</f>
        <v>4.6920000000000003E-2</v>
      </c>
      <c r="K10" s="222"/>
      <c r="L10" s="355">
        <v>4.9870000000000003E-4</v>
      </c>
      <c r="M10" s="222"/>
    </row>
    <row r="11" spans="1:14" ht="7.5" customHeight="1" x14ac:dyDescent="0.2">
      <c r="B11" s="222"/>
      <c r="C11" s="222"/>
      <c r="D11" s="2104" t="str">
        <f>IF(SUM(J10)&lt;=0.0999999,"","Enter the Tax Rates by moving the decimal two places to the left.")</f>
        <v/>
      </c>
      <c r="E11" s="2105"/>
      <c r="F11" s="2105"/>
      <c r="G11" s="2105"/>
      <c r="H11" s="2105"/>
      <c r="I11" s="2105"/>
      <c r="J11" s="210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5851975</v>
      </c>
      <c r="E16" s="356"/>
      <c r="F16" s="1727">
        <f>SUM('Acct Summary 7-8'!C17,'Acct Summary 7-8'!D17,'Acct Summary 7-8'!F17)</f>
        <v>5255617</v>
      </c>
      <c r="G16" s="356"/>
      <c r="H16" s="1727">
        <f>SUM(D16-F16)</f>
        <v>596358</v>
      </c>
      <c r="I16" s="222"/>
      <c r="J16" s="1727">
        <f>SUM('Acct Summary 7-8'!C81,'Acct Summary 7-8'!D81,'Acct Summary 7-8'!F81,'Acct Summary 7-8'!I81)</f>
        <v>3573334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10936495.032000002</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4452020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5"/>
      <c r="C54" s="2096"/>
      <c r="D54" s="2096"/>
      <c r="E54" s="2096"/>
      <c r="F54" s="2096"/>
      <c r="G54" s="2096"/>
      <c r="H54" s="2096"/>
      <c r="I54" s="2096"/>
      <c r="J54" s="2096"/>
      <c r="K54" s="2096"/>
      <c r="L54" s="2097"/>
      <c r="M54" s="380"/>
    </row>
    <row r="55" spans="1:13" ht="12.75" customHeight="1" x14ac:dyDescent="0.2">
      <c r="B55" s="2098"/>
      <c r="C55" s="2099"/>
      <c r="D55" s="2099"/>
      <c r="E55" s="2099"/>
      <c r="F55" s="2099"/>
      <c r="G55" s="2099"/>
      <c r="H55" s="2099"/>
      <c r="I55" s="2099"/>
      <c r="J55" s="2099"/>
      <c r="K55" s="2099"/>
      <c r="L55" s="2100"/>
      <c r="M55" s="380"/>
    </row>
    <row r="56" spans="1:13" ht="12.75" customHeight="1" x14ac:dyDescent="0.2">
      <c r="B56" s="2098"/>
      <c r="C56" s="2099"/>
      <c r="D56" s="2099"/>
      <c r="E56" s="2099"/>
      <c r="F56" s="2099"/>
      <c r="G56" s="2099"/>
      <c r="H56" s="2099"/>
      <c r="I56" s="2099"/>
      <c r="J56" s="2099"/>
      <c r="K56" s="2099"/>
      <c r="L56" s="2100"/>
      <c r="M56" s="222"/>
    </row>
    <row r="57" spans="1:13" ht="12.75" customHeight="1" x14ac:dyDescent="0.2">
      <c r="B57" s="2098"/>
      <c r="C57" s="2099"/>
      <c r="D57" s="2099"/>
      <c r="E57" s="2099"/>
      <c r="F57" s="2099"/>
      <c r="G57" s="2099"/>
      <c r="H57" s="2099"/>
      <c r="I57" s="2099"/>
      <c r="J57" s="2099"/>
      <c r="K57" s="2099"/>
      <c r="L57" s="2100"/>
      <c r="M57" s="222"/>
    </row>
    <row r="58" spans="1:13" x14ac:dyDescent="0.2">
      <c r="B58" s="2101"/>
      <c r="C58" s="2102"/>
      <c r="D58" s="2102"/>
      <c r="E58" s="2102"/>
      <c r="F58" s="2102"/>
      <c r="G58" s="2102"/>
      <c r="H58" s="2102"/>
      <c r="I58" s="2102"/>
      <c r="J58" s="2102"/>
      <c r="K58" s="2102"/>
      <c r="L58" s="210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6"/>
      <c r="D61" s="210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9"/>
      <c r="B1" s="2110"/>
      <c r="C1" s="2110"/>
      <c r="D1" s="384"/>
      <c r="E1" s="384"/>
      <c r="F1" s="384"/>
      <c r="G1" s="384"/>
      <c r="H1" s="384"/>
      <c r="I1" s="384"/>
      <c r="J1" s="384"/>
      <c r="K1" s="384"/>
      <c r="L1" s="384"/>
      <c r="M1" s="384"/>
      <c r="N1" s="384"/>
      <c r="O1" s="2109"/>
      <c r="P1" s="2110"/>
      <c r="Q1" s="2110"/>
    </row>
    <row r="2" spans="1:18" ht="15" x14ac:dyDescent="0.2">
      <c r="A2" s="2113" t="s">
        <v>556</v>
      </c>
      <c r="B2" s="2113"/>
      <c r="C2" s="2113"/>
      <c r="D2" s="2113"/>
      <c r="E2" s="2113"/>
      <c r="F2" s="2113"/>
      <c r="G2" s="2113"/>
      <c r="H2" s="2113"/>
      <c r="I2" s="2113"/>
      <c r="J2" s="2113"/>
      <c r="K2" s="2113"/>
      <c r="L2" s="2113"/>
      <c r="M2" s="2113"/>
      <c r="N2" s="2113"/>
      <c r="O2" s="2113"/>
      <c r="P2" s="2113"/>
      <c r="Q2" s="2113"/>
      <c r="R2" s="2113"/>
    </row>
    <row r="3" spans="1:18" ht="12.75" x14ac:dyDescent="0.2">
      <c r="A3" s="2114" t="s">
        <v>1413</v>
      </c>
      <c r="B3" s="2114"/>
      <c r="C3" s="2114"/>
      <c r="D3" s="2114"/>
      <c r="E3" s="2114"/>
      <c r="F3" s="2114"/>
      <c r="G3" s="2114"/>
      <c r="H3" s="2114"/>
      <c r="I3" s="2114"/>
      <c r="J3" s="2114"/>
      <c r="K3" s="2114"/>
      <c r="L3" s="2114"/>
      <c r="M3" s="2114"/>
      <c r="N3" s="2114"/>
      <c r="O3" s="2114"/>
      <c r="P3" s="2114"/>
      <c r="Q3" s="2114"/>
      <c r="R3" s="2114"/>
    </row>
    <row r="4" spans="1:18" x14ac:dyDescent="0.2">
      <c r="A4" s="2115" t="s">
        <v>1554</v>
      </c>
      <c r="B4" s="2115"/>
      <c r="C4" s="2115"/>
      <c r="D4" s="2115"/>
      <c r="E4" s="2115"/>
      <c r="F4" s="2115"/>
      <c r="G4" s="2115"/>
      <c r="H4" s="2115"/>
      <c r="I4" s="2115"/>
      <c r="J4" s="2115"/>
      <c r="K4" s="2115"/>
      <c r="L4" s="2115"/>
      <c r="M4" s="2115"/>
      <c r="N4" s="2115"/>
      <c r="O4" s="2115"/>
      <c r="P4" s="2115"/>
      <c r="Q4" s="2115"/>
      <c r="R4" s="211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LEXINGTON CUSD 7</v>
      </c>
      <c r="E7" s="391"/>
      <c r="G7" s="252"/>
      <c r="H7" s="387"/>
      <c r="I7" s="387"/>
      <c r="J7" s="387"/>
      <c r="K7" s="387"/>
      <c r="L7" s="329"/>
      <c r="M7" s="329"/>
      <c r="N7" s="329"/>
      <c r="O7" s="329"/>
      <c r="P7" s="329"/>
    </row>
    <row r="8" spans="1:18" ht="12.75" x14ac:dyDescent="0.2">
      <c r="A8" s="329"/>
      <c r="B8" s="329"/>
      <c r="C8" s="389" t="s">
        <v>1125</v>
      </c>
      <c r="D8" s="392">
        <f>COVER!A13</f>
        <v>17064007026</v>
      </c>
      <c r="E8" s="393"/>
      <c r="G8" s="329"/>
      <c r="H8" s="329"/>
      <c r="I8" s="329"/>
      <c r="J8" s="329"/>
      <c r="K8" s="329"/>
      <c r="L8" s="329"/>
      <c r="M8" s="329"/>
      <c r="N8" s="329"/>
      <c r="O8" s="329"/>
      <c r="P8" s="329"/>
    </row>
    <row r="9" spans="1:18" ht="12.75" x14ac:dyDescent="0.2">
      <c r="A9" s="329"/>
      <c r="B9" s="329"/>
      <c r="C9" s="389" t="s">
        <v>713</v>
      </c>
      <c r="D9" s="394" t="str">
        <f>COVER!A15</f>
        <v>MCLEAN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3573334</v>
      </c>
      <c r="I12" s="404"/>
      <c r="J12" s="404"/>
      <c r="K12" s="405">
        <f>TRUNC((H12/H13*100000),5)/100000</f>
        <v>0.61163232020000002</v>
      </c>
      <c r="L12" s="406"/>
      <c r="M12" s="360" t="s">
        <v>1144</v>
      </c>
      <c r="N12" s="360"/>
      <c r="O12" s="407">
        <v>0.35</v>
      </c>
      <c r="P12" s="218"/>
      <c r="Q12" s="218"/>
    </row>
    <row r="13" spans="1:18" s="408" customFormat="1" ht="12.75" x14ac:dyDescent="0.2">
      <c r="A13" s="218"/>
      <c r="B13" s="401"/>
      <c r="C13" s="2111" t="s">
        <v>1324</v>
      </c>
      <c r="D13" s="2112"/>
      <c r="E13" s="218"/>
      <c r="F13" s="409" t="s">
        <v>793</v>
      </c>
      <c r="G13" s="402"/>
      <c r="H13" s="403">
        <f>SUM('Acct Summary 7-8'!C8+'Acct Summary 7-8'!D8+'Acct Summary 7-8'!F8+'Acct Summary 7-8'!I8)+H14</f>
        <v>5842291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-9684</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5255617</v>
      </c>
      <c r="I17" s="404"/>
      <c r="J17" s="416"/>
      <c r="K17" s="405">
        <f>TRUNC((H17/H18*100000),5)/100000</f>
        <v>0.89958151689999999</v>
      </c>
      <c r="L17" s="406"/>
      <c r="M17" s="417" t="s">
        <v>1171</v>
      </c>
      <c r="O17" s="418" t="str">
        <f>IF(AND(O16="2", J20 &gt; 2),"1",IF(AND(O16 = "1", J20 &gt; 2),"2",IF(AND(O16="1", J20 &gt;1),"1","0")))</f>
        <v>0</v>
      </c>
      <c r="P17" s="218"/>
    </row>
    <row r="18" spans="1:18" s="408" customFormat="1" ht="11.25" x14ac:dyDescent="0.2">
      <c r="A18" s="218"/>
      <c r="B18" s="401"/>
      <c r="C18" s="2111" t="s">
        <v>1317</v>
      </c>
      <c r="D18" s="2112"/>
      <c r="E18" s="218"/>
      <c r="F18" s="419" t="s">
        <v>794</v>
      </c>
      <c r="G18" s="402"/>
      <c r="H18" s="403">
        <f>SUM('Acct Summary 7-8'!C8+'Acct Summary 7-8'!D8+'Acct Summary 7-8'!F8+'Acct Summary 7-8'!I8)+H19</f>
        <v>5842291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-9684</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8" t="s">
        <v>1412</v>
      </c>
      <c r="D24" s="2108"/>
      <c r="E24" s="218"/>
      <c r="F24" s="218" t="s">
        <v>445</v>
      </c>
      <c r="G24" s="402"/>
      <c r="H24" s="403">
        <f>SUM('Assets-Liab 5-6'!C4+'Assets-Liab 5-6'!D4+'Assets-Liab 5-6'!F4+'Assets-Liab 5-6'!I4+'Assets-Liab 5-6'!C5+'Assets-Liab 5-6'!D5+'Assets-Liab 5-6'!F5+'Assets-Liab 5-6'!I5)</f>
        <v>3582463</v>
      </c>
      <c r="I24" s="422"/>
      <c r="J24" s="422"/>
      <c r="K24" s="423">
        <f>TRUNC(((H24/H25*100000)/100000),2)</f>
        <v>245.39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14598.936110000001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3160647.0642499998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4452020</v>
      </c>
      <c r="I32" s="420"/>
      <c r="J32" s="420"/>
      <c r="K32" s="423">
        <f>TRUNC(100-((((H32/H33*100))*100)/100),2)</f>
        <v>59.29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10936495.032000002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0" activePane="bottomLeft" state="frozen"/>
      <selection pane="bottomLeft" activeCell="J50" sqref="J5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8" t="s">
        <v>973</v>
      </c>
      <c r="B3" s="2119"/>
      <c r="C3" s="1557"/>
      <c r="D3" s="1558"/>
      <c r="E3" s="1558"/>
      <c r="F3" s="1558"/>
      <c r="G3" s="1558"/>
      <c r="H3" s="1558"/>
      <c r="I3" s="1558"/>
      <c r="J3" s="1558"/>
      <c r="K3" s="1558"/>
      <c r="L3" s="1558"/>
      <c r="M3" s="1559"/>
      <c r="N3" s="1560"/>
    </row>
    <row r="4" spans="1:14" ht="13.5" customHeight="1" x14ac:dyDescent="0.2">
      <c r="A4" s="463" t="s">
        <v>1651</v>
      </c>
      <c r="B4" s="464"/>
      <c r="C4" s="465">
        <v>2216172</v>
      </c>
      <c r="D4" s="466">
        <v>279231</v>
      </c>
      <c r="E4" s="466">
        <v>386619</v>
      </c>
      <c r="F4" s="466">
        <v>238112</v>
      </c>
      <c r="G4" s="466">
        <v>20147</v>
      </c>
      <c r="H4" s="466">
        <v>0</v>
      </c>
      <c r="I4" s="466">
        <v>135148</v>
      </c>
      <c r="J4" s="467">
        <v>2502</v>
      </c>
      <c r="K4" s="466">
        <v>42289</v>
      </c>
      <c r="L4" s="466">
        <v>141153</v>
      </c>
      <c r="M4" s="468"/>
      <c r="N4" s="469"/>
    </row>
    <row r="5" spans="1:14" x14ac:dyDescent="0.2">
      <c r="A5" s="463" t="s">
        <v>992</v>
      </c>
      <c r="B5" s="470">
        <v>120</v>
      </c>
      <c r="C5" s="465">
        <v>713800</v>
      </c>
      <c r="D5" s="466">
        <v>0</v>
      </c>
      <c r="E5" s="466">
        <v>0</v>
      </c>
      <c r="F5" s="466">
        <v>0</v>
      </c>
      <c r="G5" s="466">
        <v>0</v>
      </c>
      <c r="H5" s="466">
        <v>0</v>
      </c>
      <c r="I5" s="466">
        <v>0</v>
      </c>
      <c r="J5" s="467">
        <v>0</v>
      </c>
      <c r="K5" s="471">
        <v>0</v>
      </c>
      <c r="L5" s="472">
        <v>10259</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2929972</v>
      </c>
      <c r="D13" s="1731">
        <f t="shared" ref="D13:L13" si="0">SUM(D4:D12)</f>
        <v>279231</v>
      </c>
      <c r="E13" s="1731">
        <f t="shared" si="0"/>
        <v>386619</v>
      </c>
      <c r="F13" s="1731">
        <f t="shared" si="0"/>
        <v>238112</v>
      </c>
      <c r="G13" s="1731">
        <f t="shared" si="0"/>
        <v>20147</v>
      </c>
      <c r="H13" s="1731">
        <f t="shared" si="0"/>
        <v>0</v>
      </c>
      <c r="I13" s="1731">
        <f t="shared" si="0"/>
        <v>135148</v>
      </c>
      <c r="J13" s="1731">
        <f t="shared" si="0"/>
        <v>2502</v>
      </c>
      <c r="K13" s="1731">
        <f t="shared" si="0"/>
        <v>42289</v>
      </c>
      <c r="L13" s="1731">
        <f t="shared" si="0"/>
        <v>151412</v>
      </c>
      <c r="M13" s="468"/>
      <c r="N13" s="469"/>
    </row>
    <row r="14" spans="1:14" ht="18" customHeight="1" thickTop="1" x14ac:dyDescent="0.2">
      <c r="A14" s="2120" t="s">
        <v>147</v>
      </c>
      <c r="B14" s="2121"/>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60642</v>
      </c>
      <c r="N16" s="484"/>
    </row>
    <row r="17" spans="1:14" s="485" customFormat="1" ht="12.75" customHeight="1" x14ac:dyDescent="0.2">
      <c r="A17" s="482" t="s">
        <v>1403</v>
      </c>
      <c r="B17" s="483">
        <v>230</v>
      </c>
      <c r="C17" s="477"/>
      <c r="D17" s="477"/>
      <c r="E17" s="477"/>
      <c r="F17" s="477"/>
      <c r="G17" s="477"/>
      <c r="H17" s="477"/>
      <c r="I17" s="477"/>
      <c r="J17" s="477"/>
      <c r="K17" s="477"/>
      <c r="L17" s="477"/>
      <c r="M17" s="467">
        <v>10303678</v>
      </c>
      <c r="N17" s="484"/>
    </row>
    <row r="18" spans="1:14" s="485" customFormat="1" ht="12.75" customHeight="1" x14ac:dyDescent="0.2">
      <c r="A18" s="482" t="s">
        <v>1404</v>
      </c>
      <c r="B18" s="483">
        <v>240</v>
      </c>
      <c r="C18" s="477"/>
      <c r="D18" s="477"/>
      <c r="E18" s="477"/>
      <c r="F18" s="477"/>
      <c r="G18" s="477"/>
      <c r="H18" s="477"/>
      <c r="I18" s="477"/>
      <c r="J18" s="477"/>
      <c r="K18" s="477"/>
      <c r="L18" s="477"/>
      <c r="M18" s="467">
        <v>233159</v>
      </c>
      <c r="N18" s="484"/>
    </row>
    <row r="19" spans="1:14" s="485" customFormat="1" ht="12.75" customHeight="1" x14ac:dyDescent="0.2">
      <c r="A19" s="482" t="s">
        <v>1405</v>
      </c>
      <c r="B19" s="483">
        <v>250</v>
      </c>
      <c r="C19" s="477"/>
      <c r="D19" s="477"/>
      <c r="E19" s="477"/>
      <c r="F19" s="477"/>
      <c r="G19" s="477"/>
      <c r="H19" s="477"/>
      <c r="I19" s="477"/>
      <c r="J19" s="477"/>
      <c r="K19" s="477"/>
      <c r="L19" s="477"/>
      <c r="M19" s="467">
        <v>843584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386619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4065401</v>
      </c>
    </row>
    <row r="23" spans="1:14" ht="13.5" customHeight="1" thickBot="1" x14ac:dyDescent="0.25">
      <c r="A23" s="1730" t="s">
        <v>643</v>
      </c>
      <c r="B23" s="1735"/>
      <c r="C23" s="468"/>
      <c r="D23" s="468"/>
      <c r="E23" s="468"/>
      <c r="F23" s="468"/>
      <c r="G23" s="468"/>
      <c r="H23" s="468"/>
      <c r="I23" s="468"/>
      <c r="J23" s="468"/>
      <c r="K23" s="468"/>
      <c r="L23" s="468"/>
      <c r="M23" s="1682">
        <f>SUM(M15:M22)</f>
        <v>11441063</v>
      </c>
      <c r="N23" s="1682">
        <f>SUM(N21:N22)</f>
        <v>4452020</v>
      </c>
    </row>
    <row r="24" spans="1:14" ht="18" customHeight="1" thickTop="1" x14ac:dyDescent="0.2">
      <c r="A24" s="2122" t="s">
        <v>598</v>
      </c>
      <c r="B24" s="2123"/>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6138</v>
      </c>
      <c r="D31" s="467">
        <v>1681</v>
      </c>
      <c r="E31" s="467">
        <v>0</v>
      </c>
      <c r="F31" s="466">
        <v>1310</v>
      </c>
      <c r="G31" s="467">
        <v>0</v>
      </c>
      <c r="H31" s="467">
        <v>0</v>
      </c>
      <c r="I31" s="467">
        <v>0</v>
      </c>
      <c r="J31" s="467">
        <v>2170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131605</v>
      </c>
      <c r="M33" s="468"/>
      <c r="N33" s="469"/>
    </row>
    <row r="34" spans="1:14" ht="13.5" customHeight="1" thickBot="1" x14ac:dyDescent="0.25">
      <c r="A34" s="1732" t="s">
        <v>654</v>
      </c>
      <c r="B34" s="1733"/>
      <c r="C34" s="1734">
        <f>SUM(C25:C33)</f>
        <v>6138</v>
      </c>
      <c r="D34" s="1734">
        <f t="shared" ref="D34:K34" si="1">SUM(D25:D33)</f>
        <v>1681</v>
      </c>
      <c r="E34" s="1734">
        <f t="shared" si="1"/>
        <v>0</v>
      </c>
      <c r="F34" s="1734">
        <f t="shared" si="1"/>
        <v>1310</v>
      </c>
      <c r="G34" s="1734">
        <f t="shared" si="1"/>
        <v>0</v>
      </c>
      <c r="H34" s="1734">
        <f t="shared" si="1"/>
        <v>0</v>
      </c>
      <c r="I34" s="1734">
        <f t="shared" si="1"/>
        <v>0</v>
      </c>
      <c r="J34" s="1734">
        <f t="shared" si="1"/>
        <v>2170</v>
      </c>
      <c r="K34" s="1734">
        <f t="shared" si="1"/>
        <v>0</v>
      </c>
      <c r="L34" s="1715">
        <f>SUM(L33)</f>
        <v>131605</v>
      </c>
      <c r="M34" s="468"/>
      <c r="N34" s="480"/>
    </row>
    <row r="35" spans="1:14" ht="18" customHeight="1" thickTop="1" x14ac:dyDescent="0.2">
      <c r="A35" s="2124" t="s">
        <v>529</v>
      </c>
      <c r="B35" s="2125"/>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4452020</v>
      </c>
    </row>
    <row r="37" spans="1:14" ht="13.5" thickBot="1" x14ac:dyDescent="0.25">
      <c r="A37" s="1730" t="s">
        <v>653</v>
      </c>
      <c r="B37" s="1735"/>
      <c r="C37" s="477"/>
      <c r="D37" s="477"/>
      <c r="E37" s="477"/>
      <c r="F37" s="477"/>
      <c r="G37" s="477"/>
      <c r="H37" s="477"/>
      <c r="I37" s="477"/>
      <c r="J37" s="477"/>
      <c r="K37" s="477"/>
      <c r="L37" s="480"/>
      <c r="M37" s="468"/>
      <c r="N37" s="1682">
        <f>SUM(N36:N36)</f>
        <v>4452020</v>
      </c>
    </row>
    <row r="38" spans="1:14" s="329" customFormat="1" ht="13.5" customHeight="1" thickTop="1" x14ac:dyDescent="0.2">
      <c r="A38" s="496" t="s">
        <v>420</v>
      </c>
      <c r="B38" s="483">
        <v>714</v>
      </c>
      <c r="C38" s="466"/>
      <c r="D38" s="466"/>
      <c r="E38" s="466"/>
      <c r="F38" s="466"/>
      <c r="G38" s="466"/>
      <c r="H38" s="466"/>
      <c r="I38" s="466"/>
      <c r="J38" s="467"/>
      <c r="K38" s="466"/>
      <c r="L38" s="568">
        <v>19807</v>
      </c>
      <c r="M38" s="497"/>
      <c r="N38" s="497"/>
    </row>
    <row r="39" spans="1:14" s="329" customFormat="1" ht="13.5" customHeight="1" x14ac:dyDescent="0.2">
      <c r="A39" s="496" t="s">
        <v>342</v>
      </c>
      <c r="B39" s="483">
        <v>730</v>
      </c>
      <c r="C39" s="466">
        <v>2923834</v>
      </c>
      <c r="D39" s="466">
        <v>277550</v>
      </c>
      <c r="E39" s="466">
        <v>386619</v>
      </c>
      <c r="F39" s="466">
        <v>236802</v>
      </c>
      <c r="G39" s="466">
        <v>20147</v>
      </c>
      <c r="H39" s="466"/>
      <c r="I39" s="466">
        <v>135148</v>
      </c>
      <c r="J39" s="467">
        <v>332</v>
      </c>
      <c r="K39" s="466">
        <v>42289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11441063</v>
      </c>
      <c r="N40" s="497"/>
    </row>
    <row r="41" spans="1:14" ht="13.5" customHeight="1" thickBot="1" x14ac:dyDescent="0.25">
      <c r="A41" s="1730" t="s">
        <v>655</v>
      </c>
      <c r="B41" s="1700"/>
      <c r="C41" s="1682">
        <f>(SUM(C34,C37,C38,C39))</f>
        <v>2929972</v>
      </c>
      <c r="D41" s="1682">
        <f t="shared" ref="D41:L41" si="2">SUM(D34,D37,D38:D39)</f>
        <v>279231</v>
      </c>
      <c r="E41" s="1682">
        <f t="shared" si="2"/>
        <v>386619</v>
      </c>
      <c r="F41" s="1682">
        <f t="shared" si="2"/>
        <v>238112</v>
      </c>
      <c r="G41" s="1682">
        <f t="shared" si="2"/>
        <v>20147</v>
      </c>
      <c r="H41" s="1682">
        <f t="shared" si="2"/>
        <v>0</v>
      </c>
      <c r="I41" s="1682">
        <f t="shared" si="2"/>
        <v>135148</v>
      </c>
      <c r="J41" s="1682">
        <f t="shared" si="2"/>
        <v>2502</v>
      </c>
      <c r="K41" s="1682">
        <f t="shared" si="2"/>
        <v>42289</v>
      </c>
      <c r="L41" s="1682">
        <f t="shared" si="2"/>
        <v>151412</v>
      </c>
      <c r="M41" s="1682">
        <f>SUM(M40)</f>
        <v>11441063</v>
      </c>
      <c r="N41" s="1682">
        <f>SUM(N37)</f>
        <v>4452020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72" activePane="bottomLeft" state="frozen"/>
      <selection pane="bottomLeft" activeCell="G39" sqref="G3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6" t="s">
        <v>1175</v>
      </c>
      <c r="B3" s="2147"/>
      <c r="C3" s="1571"/>
      <c r="D3" s="1572"/>
      <c r="E3" s="1572"/>
      <c r="F3" s="1572"/>
      <c r="G3" s="1572"/>
      <c r="H3" s="1572"/>
      <c r="I3" s="1572"/>
      <c r="J3" s="1572"/>
      <c r="K3" s="1573"/>
      <c r="L3" s="506"/>
    </row>
    <row r="4" spans="1:13" ht="15.75" customHeight="1" x14ac:dyDescent="0.2">
      <c r="A4" s="1921" t="s">
        <v>1499</v>
      </c>
      <c r="B4" s="1922">
        <v>1000</v>
      </c>
      <c r="C4" s="1736">
        <f>'Revenues 9-14'!C109</f>
        <v>3657728</v>
      </c>
      <c r="D4" s="1736">
        <f>'Revenues 9-14'!D109</f>
        <v>569738</v>
      </c>
      <c r="E4" s="1736">
        <f>'Revenues 9-14'!E109</f>
        <v>691154</v>
      </c>
      <c r="F4" s="1736">
        <f>'Revenues 9-14'!F109</f>
        <v>157364</v>
      </c>
      <c r="G4" s="1736">
        <f>'Revenues 9-14'!G109</f>
        <v>187137</v>
      </c>
      <c r="H4" s="1736">
        <f>'Revenues 9-14'!H109</f>
        <v>0</v>
      </c>
      <c r="I4" s="1736">
        <f>'Revenues 9-14'!I109</f>
        <v>39147</v>
      </c>
      <c r="J4" s="1736">
        <f>'Revenues 9-14'!J109</f>
        <v>178002</v>
      </c>
      <c r="K4" s="1736">
        <f>'Revenues 9-14'!K109</f>
        <v>37</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1025031</v>
      </c>
      <c r="D6" s="1737">
        <f>'Revenues 9-14'!D170</f>
        <v>0</v>
      </c>
      <c r="E6" s="1737">
        <f>'Revenues 9-14'!E170</f>
        <v>0</v>
      </c>
      <c r="F6" s="1737">
        <f>'Revenues 9-14'!F170</f>
        <v>78049</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324918</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5007677</v>
      </c>
      <c r="D8" s="1682">
        <f t="shared" ref="D8:K8" si="0">SUM(D4:D7)</f>
        <v>569738</v>
      </c>
      <c r="E8" s="1682">
        <f t="shared" si="0"/>
        <v>691154</v>
      </c>
      <c r="F8" s="1682">
        <f t="shared" si="0"/>
        <v>235413</v>
      </c>
      <c r="G8" s="1682">
        <f t="shared" si="0"/>
        <v>187137</v>
      </c>
      <c r="H8" s="1682">
        <f t="shared" si="0"/>
        <v>0</v>
      </c>
      <c r="I8" s="1682">
        <f t="shared" si="0"/>
        <v>39147</v>
      </c>
      <c r="J8" s="1682">
        <f t="shared" si="0"/>
        <v>178002</v>
      </c>
      <c r="K8" s="1682">
        <f t="shared" si="0"/>
        <v>37</v>
      </c>
      <c r="L8" s="347"/>
    </row>
    <row r="9" spans="1:13" ht="15.75" thickTop="1" x14ac:dyDescent="0.2">
      <c r="A9" s="514" t="s">
        <v>1653</v>
      </c>
      <c r="B9" s="515">
        <v>3998</v>
      </c>
      <c r="C9" s="568">
        <v>2041796</v>
      </c>
      <c r="D9" s="516"/>
      <c r="E9" s="481"/>
      <c r="F9" s="481"/>
      <c r="G9" s="517"/>
      <c r="H9" s="481"/>
      <c r="I9" s="509" t="s">
        <v>1169</v>
      </c>
      <c r="J9" s="478"/>
      <c r="K9" s="481"/>
      <c r="L9" s="347"/>
    </row>
    <row r="10" spans="1:13" s="519" customFormat="1" ht="13.5" thickBot="1" x14ac:dyDescent="0.25">
      <c r="A10" s="1730" t="s">
        <v>1173</v>
      </c>
      <c r="B10" s="1703"/>
      <c r="C10" s="1682">
        <f>SUM(C8:C9)</f>
        <v>7049473</v>
      </c>
      <c r="D10" s="1682">
        <f t="shared" ref="D10:K10" si="1">SUM(D8:D9)</f>
        <v>569738</v>
      </c>
      <c r="E10" s="1682">
        <f t="shared" si="1"/>
        <v>691154</v>
      </c>
      <c r="F10" s="1682">
        <f t="shared" si="1"/>
        <v>235413</v>
      </c>
      <c r="G10" s="1682">
        <f t="shared" si="1"/>
        <v>187137</v>
      </c>
      <c r="H10" s="1682">
        <f t="shared" si="1"/>
        <v>0</v>
      </c>
      <c r="I10" s="1682">
        <f t="shared" si="1"/>
        <v>39147</v>
      </c>
      <c r="J10" s="1682">
        <f t="shared" si="1"/>
        <v>178002</v>
      </c>
      <c r="K10" s="1682">
        <f t="shared" si="1"/>
        <v>37</v>
      </c>
      <c r="L10" s="518"/>
    </row>
    <row r="11" spans="1:13" s="519" customFormat="1" ht="16.7" customHeight="1" thickTop="1" x14ac:dyDescent="0.2">
      <c r="A11" s="2120" t="s">
        <v>1176</v>
      </c>
      <c r="B11" s="2121"/>
      <c r="C11" s="1568"/>
      <c r="D11" s="1569"/>
      <c r="E11" s="1569"/>
      <c r="F11" s="1569"/>
      <c r="G11" s="1569"/>
      <c r="H11" s="1569"/>
      <c r="I11" s="1569"/>
      <c r="J11" s="1569"/>
      <c r="K11" s="1570"/>
      <c r="L11" s="518"/>
    </row>
    <row r="12" spans="1:13" ht="15.75" customHeight="1" x14ac:dyDescent="0.2">
      <c r="A12" s="1574" t="s">
        <v>456</v>
      </c>
      <c r="B12" s="1576">
        <v>1000</v>
      </c>
      <c r="C12" s="1736">
        <f>'Expenditures 15-22'!K33</f>
        <v>3582547</v>
      </c>
      <c r="D12" s="520" t="s">
        <v>1169</v>
      </c>
      <c r="E12" s="468" t="s">
        <v>1169</v>
      </c>
      <c r="F12" s="468" t="s">
        <v>1169</v>
      </c>
      <c r="G12" s="1736">
        <f>'Expenditures 15-22'!K229</f>
        <v>76126</v>
      </c>
      <c r="H12" s="521"/>
      <c r="I12" s="468" t="s">
        <v>1169</v>
      </c>
      <c r="J12" s="468" t="s">
        <v>1169</v>
      </c>
      <c r="K12" s="521" t="s">
        <v>1169</v>
      </c>
      <c r="L12" s="347"/>
    </row>
    <row r="13" spans="1:13" ht="15.75" customHeight="1" x14ac:dyDescent="0.2">
      <c r="A13" s="1574" t="s">
        <v>457</v>
      </c>
      <c r="B13" s="1576">
        <v>2000</v>
      </c>
      <c r="C13" s="1737">
        <f>'Expenditures 15-22'!K74</f>
        <v>818416</v>
      </c>
      <c r="D13" s="1737">
        <f>'Expenditures 15-22'!K129</f>
        <v>533151</v>
      </c>
      <c r="E13" s="469" t="s">
        <v>1169</v>
      </c>
      <c r="F13" s="1737">
        <f>'Expenditures 15-22'!K184</f>
        <v>210041</v>
      </c>
      <c r="G13" s="1737">
        <f>'Expenditures 15-22'!K279</f>
        <v>101787</v>
      </c>
      <c r="H13" s="1737">
        <f>'Expenditures 15-22'!K303</f>
        <v>0</v>
      </c>
      <c r="I13" s="468" t="s">
        <v>1169</v>
      </c>
      <c r="J13" s="1737">
        <f>'Expenditures 15-22'!K330</f>
        <v>177994</v>
      </c>
      <c r="K13" s="1741">
        <f>'Expenditures 15-22'!K352</f>
        <v>169733</v>
      </c>
      <c r="L13" s="347"/>
    </row>
    <row r="14" spans="1:13" ht="15.75" customHeight="1" x14ac:dyDescent="0.2">
      <c r="A14" s="1574" t="s">
        <v>449</v>
      </c>
      <c r="B14" s="1576">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111462</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1409348</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4512425</v>
      </c>
      <c r="D17" s="1682">
        <f t="shared" si="2"/>
        <v>533151</v>
      </c>
      <c r="E17" s="1682">
        <f t="shared" si="2"/>
        <v>1409348</v>
      </c>
      <c r="F17" s="1682">
        <f t="shared" si="2"/>
        <v>210041</v>
      </c>
      <c r="G17" s="1682">
        <f t="shared" si="2"/>
        <v>177913</v>
      </c>
      <c r="H17" s="1682">
        <f t="shared" si="2"/>
        <v>0</v>
      </c>
      <c r="I17" s="468"/>
      <c r="J17" s="1682">
        <f>SUM(J12:J16)</f>
        <v>177994</v>
      </c>
      <c r="K17" s="1682">
        <f>SUM(K12:K16)</f>
        <v>169733</v>
      </c>
      <c r="L17" s="347"/>
    </row>
    <row r="18" spans="1:12" ht="15" customHeight="1" thickTop="1" x14ac:dyDescent="0.2">
      <c r="A18" s="1738" t="s">
        <v>1654</v>
      </c>
      <c r="B18" s="1739">
        <v>4180</v>
      </c>
      <c r="C18" s="1736">
        <f t="shared" ref="C18:H18" si="3">C9</f>
        <v>2041796</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6554221</v>
      </c>
      <c r="D19" s="1682">
        <f t="shared" si="4"/>
        <v>533151</v>
      </c>
      <c r="E19" s="1682">
        <f t="shared" si="4"/>
        <v>1409348</v>
      </c>
      <c r="F19" s="1682">
        <f t="shared" si="4"/>
        <v>210041</v>
      </c>
      <c r="G19" s="1682">
        <f t="shared" si="4"/>
        <v>177913</v>
      </c>
      <c r="H19" s="1682">
        <f t="shared" si="4"/>
        <v>0</v>
      </c>
      <c r="I19" s="468"/>
      <c r="J19" s="1682">
        <f>SUM(J17:J18)</f>
        <v>177994</v>
      </c>
      <c r="K19" s="1682">
        <f>SUM(K17:K18)</f>
        <v>169733</v>
      </c>
      <c r="L19" s="347"/>
    </row>
    <row r="20" spans="1:12" ht="16.5" thickTop="1" thickBot="1" x14ac:dyDescent="0.25">
      <c r="A20" s="2136" t="s">
        <v>1655</v>
      </c>
      <c r="B20" s="2137"/>
      <c r="C20" s="1740">
        <f>C8-C17</f>
        <v>495252</v>
      </c>
      <c r="D20" s="1740">
        <f t="shared" ref="D20:K20" si="5">D8-D17</f>
        <v>36587</v>
      </c>
      <c r="E20" s="1740">
        <f t="shared" si="5"/>
        <v>-718194</v>
      </c>
      <c r="F20" s="1740">
        <f t="shared" si="5"/>
        <v>25372</v>
      </c>
      <c r="G20" s="1740">
        <f t="shared" si="5"/>
        <v>9224</v>
      </c>
      <c r="H20" s="1740">
        <f t="shared" si="5"/>
        <v>0</v>
      </c>
      <c r="I20" s="1740">
        <f t="shared" si="5"/>
        <v>39147</v>
      </c>
      <c r="J20" s="1740">
        <f t="shared" si="5"/>
        <v>8</v>
      </c>
      <c r="K20" s="1740">
        <f t="shared" si="5"/>
        <v>-169696</v>
      </c>
      <c r="L20" s="347"/>
    </row>
    <row r="21" spans="1:12" ht="16.7" customHeight="1" thickTop="1" x14ac:dyDescent="0.2">
      <c r="A21" s="2148" t="s">
        <v>595</v>
      </c>
      <c r="B21" s="2149"/>
      <c r="C21" s="1568"/>
      <c r="D21" s="1569"/>
      <c r="E21" s="1569"/>
      <c r="F21" s="1569"/>
      <c r="G21" s="1569"/>
      <c r="H21" s="1569"/>
      <c r="I21" s="1569"/>
      <c r="J21" s="1569"/>
      <c r="K21" s="1570"/>
      <c r="L21" s="524"/>
    </row>
    <row r="22" spans="1:12" ht="15.75" customHeight="1" collapsed="1" x14ac:dyDescent="0.2">
      <c r="A22" s="2144" t="s">
        <v>596</v>
      </c>
      <c r="B22" s="2145"/>
      <c r="C22" s="477"/>
      <c r="D22" s="477"/>
      <c r="E22" s="477"/>
      <c r="F22" s="477"/>
      <c r="G22" s="477"/>
      <c r="H22" s="477"/>
      <c r="I22" s="477"/>
      <c r="J22" s="477"/>
      <c r="K22" s="477"/>
      <c r="L22" s="347"/>
    </row>
    <row r="23" spans="1:12" s="485" customFormat="1" ht="15.75" customHeight="1" x14ac:dyDescent="0.2">
      <c r="A23" s="2140" t="s">
        <v>293</v>
      </c>
      <c r="B23" s="2141"/>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39137</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42" t="s">
        <v>981</v>
      </c>
      <c r="B32" s="2143"/>
      <c r="C32" s="477"/>
      <c r="D32" s="477"/>
      <c r="E32" s="475"/>
      <c r="F32" s="477"/>
      <c r="G32" s="477"/>
      <c r="H32" s="477"/>
      <c r="I32" s="477"/>
      <c r="J32" s="477"/>
      <c r="K32" s="477"/>
      <c r="L32" s="524"/>
    </row>
    <row r="33" spans="1:12" s="485" customFormat="1" x14ac:dyDescent="0.2">
      <c r="A33" s="1487" t="s">
        <v>412</v>
      </c>
      <c r="B33" s="525">
        <v>7210</v>
      </c>
      <c r="C33" s="467">
        <v>0</v>
      </c>
      <c r="D33" s="467">
        <v>0</v>
      </c>
      <c r="E33" s="467">
        <v>713800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7">
        <f>SUM(C54:D57,H54:H57)</f>
        <v>7523</v>
      </c>
      <c r="F37" s="475"/>
      <c r="G37" s="475"/>
      <c r="H37" s="475"/>
      <c r="I37" s="477"/>
      <c r="J37" s="475"/>
      <c r="K37" s="475"/>
      <c r="L37" s="524"/>
    </row>
    <row r="38" spans="1:12" s="485" customFormat="1" x14ac:dyDescent="0.2">
      <c r="A38" s="1487" t="s">
        <v>442</v>
      </c>
      <c r="B38" s="525">
        <v>7500</v>
      </c>
      <c r="C38" s="477"/>
      <c r="D38" s="477"/>
      <c r="E38" s="1737">
        <f>SUM(C58:D61,H58:H61)</f>
        <v>2161</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t="s">
        <v>1169</v>
      </c>
      <c r="J43" s="467">
        <v>0</v>
      </c>
      <c r="K43" s="467">
        <v>0</v>
      </c>
      <c r="L43" s="524"/>
    </row>
    <row r="44" spans="1:12" s="485" customFormat="1" ht="13.5" customHeight="1" thickBot="1" x14ac:dyDescent="0.25">
      <c r="A44" s="2150" t="s">
        <v>374</v>
      </c>
      <c r="B44" s="2151"/>
      <c r="C44" s="1697">
        <f>SUM(C24:C43)</f>
        <v>39137</v>
      </c>
      <c r="D44" s="1697">
        <f t="shared" ref="D44:K44" si="6">SUM(D24:D43)</f>
        <v>0</v>
      </c>
      <c r="E44" s="1697">
        <f t="shared" si="6"/>
        <v>723484</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44" t="s">
        <v>108</v>
      </c>
      <c r="B45" s="2145"/>
      <c r="C45" s="528"/>
      <c r="D45" s="528"/>
      <c r="E45" s="528"/>
      <c r="F45" s="528"/>
      <c r="G45" s="528"/>
      <c r="H45" s="528"/>
      <c r="I45" s="528"/>
      <c r="J45" s="528"/>
      <c r="K45" s="528"/>
      <c r="L45" s="347"/>
    </row>
    <row r="46" spans="1:12" s="485" customFormat="1" ht="15.75" customHeight="1" x14ac:dyDescent="0.2">
      <c r="A46" s="2152" t="s">
        <v>109</v>
      </c>
      <c r="B46" s="2153"/>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39137</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7523</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2161</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6" t="s">
        <v>440</v>
      </c>
      <c r="B76" s="2127"/>
      <c r="C76" s="1697">
        <f t="shared" ref="C76:K76" si="7">SUM(C47:C75)</f>
        <v>0</v>
      </c>
      <c r="D76" s="1697">
        <f t="shared" si="7"/>
        <v>9684</v>
      </c>
      <c r="E76" s="1697">
        <f t="shared" si="7"/>
        <v>0</v>
      </c>
      <c r="F76" s="1697">
        <f t="shared" si="7"/>
        <v>0</v>
      </c>
      <c r="G76" s="1697">
        <f t="shared" si="7"/>
        <v>0</v>
      </c>
      <c r="H76" s="1697">
        <f t="shared" si="7"/>
        <v>0</v>
      </c>
      <c r="I76" s="1697">
        <f t="shared" si="7"/>
        <v>39137</v>
      </c>
      <c r="J76" s="1697">
        <f t="shared" si="7"/>
        <v>0</v>
      </c>
      <c r="K76" s="1697">
        <f t="shared" si="7"/>
        <v>0</v>
      </c>
      <c r="L76" s="524"/>
    </row>
    <row r="77" spans="1:12" ht="14.25" thickTop="1" thickBot="1" x14ac:dyDescent="0.25">
      <c r="A77" s="2128" t="s">
        <v>1177</v>
      </c>
      <c r="B77" s="2129"/>
      <c r="C77" s="1697">
        <f t="shared" ref="C77:K77" si="8">C44-C76</f>
        <v>39137</v>
      </c>
      <c r="D77" s="1697">
        <f t="shared" si="8"/>
        <v>-9684</v>
      </c>
      <c r="E77" s="1697">
        <f t="shared" si="8"/>
        <v>723484</v>
      </c>
      <c r="F77" s="1697">
        <f t="shared" si="8"/>
        <v>0</v>
      </c>
      <c r="G77" s="1697">
        <f t="shared" si="8"/>
        <v>0</v>
      </c>
      <c r="H77" s="1697">
        <f t="shared" si="8"/>
        <v>0</v>
      </c>
      <c r="I77" s="1697">
        <f t="shared" si="8"/>
        <v>-39137</v>
      </c>
      <c r="J77" s="1697">
        <f t="shared" si="8"/>
        <v>0</v>
      </c>
      <c r="K77" s="1697">
        <f t="shared" si="8"/>
        <v>0</v>
      </c>
      <c r="L77" s="347"/>
    </row>
    <row r="78" spans="1:12" ht="21.75" customHeight="1" thickTop="1" thickBot="1" x14ac:dyDescent="0.25">
      <c r="A78" s="2132" t="s">
        <v>597</v>
      </c>
      <c r="B78" s="2133"/>
      <c r="C78" s="1696">
        <f t="shared" ref="C78:K78" si="9">C20+C77</f>
        <v>534389</v>
      </c>
      <c r="D78" s="1696">
        <f t="shared" si="9"/>
        <v>26903</v>
      </c>
      <c r="E78" s="1696">
        <f t="shared" si="9"/>
        <v>5290</v>
      </c>
      <c r="F78" s="1696">
        <f t="shared" si="9"/>
        <v>25372</v>
      </c>
      <c r="G78" s="1696">
        <f t="shared" si="9"/>
        <v>9224</v>
      </c>
      <c r="H78" s="1696">
        <f t="shared" si="9"/>
        <v>0</v>
      </c>
      <c r="I78" s="1696">
        <f t="shared" si="9"/>
        <v>10</v>
      </c>
      <c r="J78" s="1696">
        <f t="shared" si="9"/>
        <v>8</v>
      </c>
      <c r="K78" s="1696">
        <f t="shared" si="9"/>
        <v>-169696</v>
      </c>
      <c r="L78" s="533"/>
    </row>
    <row r="79" spans="1:12" ht="13.5" thickTop="1" x14ac:dyDescent="0.2">
      <c r="A79" s="1492" t="s">
        <v>1947</v>
      </c>
      <c r="B79" s="534"/>
      <c r="C79" s="639">
        <v>2389445</v>
      </c>
      <c r="D79" s="535">
        <v>250647</v>
      </c>
      <c r="E79" s="535">
        <v>381329</v>
      </c>
      <c r="F79" s="535">
        <v>211430</v>
      </c>
      <c r="G79" s="535">
        <v>10923</v>
      </c>
      <c r="H79" s="535"/>
      <c r="I79" s="535">
        <v>135138</v>
      </c>
      <c r="J79" s="535">
        <v>324</v>
      </c>
      <c r="K79" s="535">
        <v>211985</v>
      </c>
      <c r="L79" s="347"/>
    </row>
    <row r="80" spans="1:12" x14ac:dyDescent="0.2">
      <c r="A80" s="2138" t="s">
        <v>1795</v>
      </c>
      <c r="B80" s="2139"/>
      <c r="C80" s="467"/>
      <c r="D80" s="467"/>
      <c r="E80" s="467"/>
      <c r="F80" s="467"/>
      <c r="G80" s="467"/>
      <c r="H80" s="467"/>
      <c r="I80" s="467"/>
      <c r="J80" s="467"/>
      <c r="K80" s="467"/>
      <c r="L80" s="347"/>
    </row>
    <row r="81" spans="1:12" ht="13.5" thickBot="1" x14ac:dyDescent="0.25">
      <c r="A81" s="2130" t="s">
        <v>1948</v>
      </c>
      <c r="B81" s="2131"/>
      <c r="C81" s="1682">
        <f>(SUM(C78:C80))</f>
        <v>2923834</v>
      </c>
      <c r="D81" s="1682">
        <f>SUM(D78:D80)</f>
        <v>277550</v>
      </c>
      <c r="E81" s="1682">
        <f t="shared" ref="E81:K81" si="10">SUM(E78:E80)</f>
        <v>386619</v>
      </c>
      <c r="F81" s="1682">
        <f t="shared" si="10"/>
        <v>236802</v>
      </c>
      <c r="G81" s="1682">
        <f t="shared" si="10"/>
        <v>20147</v>
      </c>
      <c r="H81" s="1682">
        <f t="shared" si="10"/>
        <v>0</v>
      </c>
      <c r="I81" s="1682">
        <f t="shared" si="10"/>
        <v>135148</v>
      </c>
      <c r="J81" s="1682">
        <f t="shared" si="10"/>
        <v>332</v>
      </c>
      <c r="K81" s="1682">
        <f t="shared" si="10"/>
        <v>42289</v>
      </c>
      <c r="L81" s="347"/>
    </row>
    <row r="82" spans="1:12" ht="0.75" customHeight="1" thickTop="1" thickBot="1" x14ac:dyDescent="0.25">
      <c r="A82" s="536" t="s">
        <v>343</v>
      </c>
      <c r="B82" s="537"/>
      <c r="C82" s="538">
        <f>(C81-C79)</f>
        <v>534389</v>
      </c>
      <c r="D82" s="538">
        <f t="shared" ref="D82:K82" si="11">(D81-D79)</f>
        <v>26903</v>
      </c>
      <c r="E82" s="538">
        <f t="shared" si="11"/>
        <v>5290</v>
      </c>
      <c r="F82" s="538">
        <f t="shared" si="11"/>
        <v>25372</v>
      </c>
      <c r="G82" s="538">
        <f t="shared" si="11"/>
        <v>9224</v>
      </c>
      <c r="H82" s="538">
        <f t="shared" si="11"/>
        <v>0</v>
      </c>
      <c r="I82" s="538">
        <f t="shared" si="11"/>
        <v>10</v>
      </c>
      <c r="J82" s="538">
        <f t="shared" si="11"/>
        <v>8</v>
      </c>
      <c r="K82" s="538">
        <f t="shared" si="11"/>
        <v>-169696</v>
      </c>
    </row>
    <row r="83" spans="1:12" ht="14.25" hidden="1" thickTop="1" thickBot="1" x14ac:dyDescent="0.25">
      <c r="A83" s="539" t="s">
        <v>344</v>
      </c>
      <c r="B83" s="464"/>
      <c r="C83" s="540">
        <f>C82/C81</f>
        <v>0.18276995205610169</v>
      </c>
      <c r="D83" s="540">
        <f t="shared" ref="D83:K83" si="12">D82/D81</f>
        <v>9.6930282831922177E-2</v>
      </c>
      <c r="E83" s="540">
        <f t="shared" si="12"/>
        <v>1.3682721232013946E-2</v>
      </c>
      <c r="F83" s="540">
        <f t="shared" si="12"/>
        <v>0.10714436533475225</v>
      </c>
      <c r="G83" s="540">
        <f t="shared" si="12"/>
        <v>0.45783491338660842</v>
      </c>
      <c r="H83" s="540" t="e">
        <f t="shared" si="12"/>
        <v>#DIV/0!</v>
      </c>
      <c r="I83" s="540">
        <f t="shared" si="12"/>
        <v>7.3992955870601115E-5</v>
      </c>
      <c r="J83" s="540">
        <f t="shared" si="12"/>
        <v>2.4096385542168676E-2</v>
      </c>
      <c r="K83" s="540">
        <f t="shared" si="12"/>
        <v>-4.0127692780628532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3" activePane="bottomLeft" state="frozen"/>
      <selection pane="bottomLeft" activeCell="C72" sqref="C72:C7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4" t="s">
        <v>1802</v>
      </c>
      <c r="B1" s="452"/>
      <c r="C1" s="453" t="s">
        <v>425</v>
      </c>
      <c r="D1" s="453" t="s">
        <v>426</v>
      </c>
      <c r="E1" s="453" t="s">
        <v>427</v>
      </c>
      <c r="F1" s="453" t="s">
        <v>428</v>
      </c>
      <c r="G1" s="453" t="s">
        <v>429</v>
      </c>
      <c r="H1" s="453" t="s">
        <v>430</v>
      </c>
      <c r="I1" s="453" t="s">
        <v>431</v>
      </c>
      <c r="J1" s="453" t="s">
        <v>432</v>
      </c>
      <c r="K1" s="453" t="s">
        <v>756</v>
      </c>
    </row>
    <row r="2" spans="1:12" ht="36" x14ac:dyDescent="0.2">
      <c r="A2" s="213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3048150</v>
      </c>
      <c r="D5" s="568">
        <v>472855</v>
      </c>
      <c r="E5" s="466">
        <v>690365</v>
      </c>
      <c r="F5" s="548">
        <v>156318</v>
      </c>
      <c r="G5" s="466">
        <v>86769</v>
      </c>
      <c r="H5" s="466">
        <v>0</v>
      </c>
      <c r="I5" s="466">
        <v>39080</v>
      </c>
      <c r="J5" s="467">
        <v>177824</v>
      </c>
      <c r="K5" s="466">
        <v>0</v>
      </c>
    </row>
    <row r="6" spans="1:12" ht="15" x14ac:dyDescent="0.2">
      <c r="A6" s="463" t="s">
        <v>1662</v>
      </c>
      <c r="B6" s="470">
        <v>1130</v>
      </c>
      <c r="C6" s="466">
        <v>0</v>
      </c>
      <c r="D6" s="466">
        <v>39080</v>
      </c>
      <c r="E6" s="475"/>
      <c r="F6" s="475"/>
      <c r="G6" s="468"/>
      <c r="H6" s="468"/>
      <c r="I6" s="468"/>
      <c r="J6" s="468"/>
      <c r="K6" s="468"/>
    </row>
    <row r="7" spans="1:12" x14ac:dyDescent="0.2">
      <c r="A7" s="463" t="s">
        <v>110</v>
      </c>
      <c r="B7" s="549">
        <v>1140</v>
      </c>
      <c r="C7" s="466">
        <v>31262</v>
      </c>
      <c r="D7" s="466">
        <v>0</v>
      </c>
      <c r="E7" s="468"/>
      <c r="F7" s="467">
        <v>0</v>
      </c>
      <c r="G7" s="467">
        <v>0</v>
      </c>
      <c r="H7" s="467">
        <v>0</v>
      </c>
      <c r="I7" s="468"/>
      <c r="J7" s="468"/>
      <c r="K7" s="468"/>
    </row>
    <row r="8" spans="1:12" x14ac:dyDescent="0.2">
      <c r="A8" s="463" t="s">
        <v>413</v>
      </c>
      <c r="B8" s="470">
        <v>1150</v>
      </c>
      <c r="C8" s="475"/>
      <c r="D8" s="475"/>
      <c r="E8" s="477"/>
      <c r="F8" s="477"/>
      <c r="G8" s="568">
        <v>94570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3079412</v>
      </c>
      <c r="D12" s="1701">
        <f t="shared" si="0"/>
        <v>511935</v>
      </c>
      <c r="E12" s="1701">
        <f t="shared" si="0"/>
        <v>690365</v>
      </c>
      <c r="F12" s="1701">
        <f t="shared" si="0"/>
        <v>156318</v>
      </c>
      <c r="G12" s="1701">
        <f t="shared" si="0"/>
        <v>181339</v>
      </c>
      <c r="H12" s="1701">
        <f t="shared" si="0"/>
        <v>0</v>
      </c>
      <c r="I12" s="1701">
        <f t="shared" si="0"/>
        <v>39080</v>
      </c>
      <c r="J12" s="1701">
        <f t="shared" si="0"/>
        <v>177824</v>
      </c>
      <c r="K12" s="1682">
        <f t="shared" si="0"/>
        <v>0</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3035</v>
      </c>
      <c r="D14" s="466">
        <v>505</v>
      </c>
      <c r="E14" s="466">
        <v>685</v>
      </c>
      <c r="F14" s="466">
        <v>154</v>
      </c>
      <c r="G14" s="466">
        <v>181</v>
      </c>
      <c r="H14" s="466">
        <v>0</v>
      </c>
      <c r="I14" s="466">
        <v>39</v>
      </c>
      <c r="J14" s="467">
        <v>169</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199979</v>
      </c>
      <c r="D16" s="466">
        <v>0</v>
      </c>
      <c r="E16" s="466">
        <v>0</v>
      </c>
      <c r="F16" s="466">
        <v>0</v>
      </c>
      <c r="G16" s="466">
        <v>5606</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203014</v>
      </c>
      <c r="D18" s="1704">
        <f t="shared" ref="D18:K18" si="1">SUM(D14:D17)</f>
        <v>505</v>
      </c>
      <c r="E18" s="1704">
        <f t="shared" si="1"/>
        <v>685</v>
      </c>
      <c r="F18" s="1704">
        <f t="shared" si="1"/>
        <v>154</v>
      </c>
      <c r="G18" s="1704">
        <f t="shared" si="1"/>
        <v>5787</v>
      </c>
      <c r="H18" s="1704">
        <f t="shared" si="1"/>
        <v>0</v>
      </c>
      <c r="I18" s="1704">
        <f t="shared" si="1"/>
        <v>39</v>
      </c>
      <c r="J18" s="1704">
        <f t="shared" si="1"/>
        <v>169</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8880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8880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0</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0</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6397</v>
      </c>
      <c r="D65" s="466">
        <v>88</v>
      </c>
      <c r="E65" s="466">
        <v>104</v>
      </c>
      <c r="F65" s="467">
        <v>104</v>
      </c>
      <c r="G65" s="466">
        <v>11</v>
      </c>
      <c r="H65" s="466">
        <v>0</v>
      </c>
      <c r="I65" s="466">
        <v>28</v>
      </c>
      <c r="J65" s="467">
        <v>9</v>
      </c>
      <c r="K65" s="466">
        <v>37</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6397</v>
      </c>
      <c r="D67" s="1682">
        <f t="shared" ref="D67:K67" si="2">SUM(D65:D66)</f>
        <v>88</v>
      </c>
      <c r="E67" s="1682">
        <f t="shared" si="2"/>
        <v>104</v>
      </c>
      <c r="F67" s="1682">
        <f t="shared" si="2"/>
        <v>104</v>
      </c>
      <c r="G67" s="1682">
        <f t="shared" si="2"/>
        <v>11</v>
      </c>
      <c r="H67" s="1682">
        <f t="shared" si="2"/>
        <v>0</v>
      </c>
      <c r="I67" s="1682">
        <f t="shared" si="2"/>
        <v>28</v>
      </c>
      <c r="J67" s="1682">
        <f t="shared" si="2"/>
        <v>9</v>
      </c>
      <c r="K67" s="1682">
        <f t="shared" si="2"/>
        <v>37</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36598</v>
      </c>
      <c r="D69" s="468"/>
      <c r="E69" s="468"/>
      <c r="F69" s="468"/>
      <c r="G69" s="468"/>
      <c r="H69" s="468"/>
      <c r="I69" s="468"/>
      <c r="J69" s="468"/>
      <c r="K69" s="468"/>
    </row>
    <row r="70" spans="1:11" ht="12.75" customHeight="1" x14ac:dyDescent="0.2">
      <c r="A70" s="463" t="s">
        <v>997</v>
      </c>
      <c r="B70" s="470">
        <v>1612</v>
      </c>
      <c r="C70" s="551">
        <v>6195</v>
      </c>
      <c r="D70" s="468"/>
      <c r="E70" s="468"/>
      <c r="F70" s="468"/>
      <c r="G70" s="468"/>
      <c r="H70" s="468"/>
      <c r="I70" s="468"/>
      <c r="J70" s="468"/>
      <c r="K70" s="468"/>
    </row>
    <row r="71" spans="1:11" ht="12.75" customHeight="1" x14ac:dyDescent="0.2">
      <c r="A71" s="463" t="s">
        <v>273</v>
      </c>
      <c r="B71" s="470">
        <v>1613</v>
      </c>
      <c r="C71" s="551">
        <v>50273</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1072</v>
      </c>
      <c r="D73" s="468"/>
      <c r="E73" s="468"/>
      <c r="F73" s="468"/>
      <c r="G73" s="468"/>
      <c r="H73" s="468"/>
      <c r="I73" s="468"/>
      <c r="J73" s="468"/>
      <c r="K73" s="468"/>
    </row>
    <row r="74" spans="1:11" ht="12.75" customHeight="1" x14ac:dyDescent="0.2">
      <c r="A74" s="463" t="s">
        <v>25</v>
      </c>
      <c r="B74" s="470">
        <v>1690</v>
      </c>
      <c r="C74" s="551">
        <v>3897</v>
      </c>
      <c r="D74" s="468"/>
      <c r="E74" s="468"/>
      <c r="F74" s="468"/>
      <c r="G74" s="468"/>
      <c r="H74" s="468"/>
      <c r="I74" s="468"/>
      <c r="J74" s="468"/>
      <c r="K74" s="468"/>
    </row>
    <row r="75" spans="1:11" ht="12.75" customHeight="1" thickBot="1" x14ac:dyDescent="0.25">
      <c r="A75" s="1702" t="s">
        <v>548</v>
      </c>
      <c r="B75" s="1703"/>
      <c r="C75" s="1682">
        <f>SUM(C69:C74)</f>
        <v>98035</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24093</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13788</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27536</v>
      </c>
      <c r="D81" s="466">
        <v>0</v>
      </c>
      <c r="E81" s="468"/>
      <c r="F81" s="468"/>
      <c r="G81" s="468"/>
      <c r="H81" s="468"/>
      <c r="I81" s="468"/>
      <c r="J81" s="468"/>
      <c r="K81" s="468"/>
    </row>
    <row r="82" spans="1:11" ht="12.75" customHeight="1" thickBot="1" x14ac:dyDescent="0.25">
      <c r="A82" s="1702" t="s">
        <v>241</v>
      </c>
      <c r="B82" s="1703"/>
      <c r="C82" s="1701">
        <f>SUM(C77:C81)</f>
        <v>65417</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30834</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30834</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112270</v>
      </c>
      <c r="D96" s="551">
        <v>23162</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27973</v>
      </c>
      <c r="D98" s="466">
        <v>0</v>
      </c>
      <c r="E98" s="512"/>
      <c r="F98" s="466">
        <v>0</v>
      </c>
      <c r="G98" s="512"/>
      <c r="H98" s="512"/>
      <c r="I98" s="510"/>
      <c r="J98" s="512"/>
      <c r="K98" s="512"/>
    </row>
    <row r="99" spans="1:12" ht="12.75" customHeight="1" x14ac:dyDescent="0.2">
      <c r="A99" s="463" t="s">
        <v>821</v>
      </c>
      <c r="B99" s="470">
        <v>1950</v>
      </c>
      <c r="C99" s="489">
        <v>16922</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7050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0</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1524</v>
      </c>
      <c r="D107" s="466">
        <v>34048</v>
      </c>
      <c r="E107" s="466">
        <v>0</v>
      </c>
      <c r="F107" s="466">
        <v>788</v>
      </c>
      <c r="G107" s="466">
        <v>0</v>
      </c>
      <c r="H107" s="466">
        <v>0</v>
      </c>
      <c r="I107" s="466">
        <v>0</v>
      </c>
      <c r="J107" s="467">
        <v>0</v>
      </c>
      <c r="K107" s="466">
        <v>0</v>
      </c>
    </row>
    <row r="108" spans="1:12" ht="12.75" customHeight="1" thickBot="1" x14ac:dyDescent="0.25">
      <c r="A108" s="1702" t="s">
        <v>487</v>
      </c>
      <c r="B108" s="1706"/>
      <c r="C108" s="1701">
        <f>SUM(C95:C107)</f>
        <v>165739</v>
      </c>
      <c r="D108" s="1701">
        <f t="shared" ref="D108:K108" si="3">SUM(D95:D107)</f>
        <v>57210</v>
      </c>
      <c r="E108" s="1701">
        <f t="shared" si="3"/>
        <v>0</v>
      </c>
      <c r="F108" s="1701">
        <f t="shared" si="3"/>
        <v>788</v>
      </c>
      <c r="G108" s="1701">
        <f t="shared" si="3"/>
        <v>0</v>
      </c>
      <c r="H108" s="1701">
        <f t="shared" si="3"/>
        <v>0</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3657728</v>
      </c>
      <c r="D109" s="1709">
        <f t="shared" si="4"/>
        <v>569738</v>
      </c>
      <c r="E109" s="1709">
        <f t="shared" si="4"/>
        <v>691154</v>
      </c>
      <c r="F109" s="1709">
        <f t="shared" si="4"/>
        <v>157364</v>
      </c>
      <c r="G109" s="1709">
        <f t="shared" si="4"/>
        <v>187137</v>
      </c>
      <c r="H109" s="1709">
        <f t="shared" si="4"/>
        <v>0</v>
      </c>
      <c r="I109" s="1709">
        <f t="shared" si="4"/>
        <v>39147</v>
      </c>
      <c r="J109" s="1709">
        <f t="shared" si="4"/>
        <v>178002</v>
      </c>
      <c r="K109" s="1696">
        <f t="shared" si="4"/>
        <v>37</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858582</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858582</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115206</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27820</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143026</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15098</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15098</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1322</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5835</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47064</v>
      </c>
      <c r="G152" s="467">
        <v>0</v>
      </c>
      <c r="H152" s="468"/>
      <c r="I152" s="468"/>
      <c r="J152" s="468"/>
      <c r="K152" s="468"/>
    </row>
    <row r="153" spans="1:11" ht="12.75" customHeight="1" x14ac:dyDescent="0.2">
      <c r="A153" s="463" t="s">
        <v>1057</v>
      </c>
      <c r="B153" s="561">
        <v>3510</v>
      </c>
      <c r="C153" s="551">
        <v>0</v>
      </c>
      <c r="D153" s="466">
        <v>0</v>
      </c>
      <c r="E153" s="560"/>
      <c r="F153" s="466">
        <v>30985</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78049</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1168</v>
      </c>
      <c r="D168" s="579">
        <v>0</v>
      </c>
      <c r="E168" s="579">
        <v>0</v>
      </c>
      <c r="F168" s="579">
        <v>0</v>
      </c>
      <c r="G168" s="580">
        <v>0</v>
      </c>
      <c r="H168" s="581">
        <v>0</v>
      </c>
      <c r="I168" s="580">
        <v>0</v>
      </c>
      <c r="J168" s="580">
        <v>0</v>
      </c>
      <c r="K168" s="581">
        <v>0</v>
      </c>
    </row>
    <row r="169" spans="1:11" ht="12.75" customHeight="1" thickTop="1" thickBot="1" x14ac:dyDescent="0.25">
      <c r="A169" s="2154" t="s">
        <v>398</v>
      </c>
      <c r="B169" s="2155"/>
      <c r="C169" s="1716">
        <f t="shared" ref="C169:K169" si="6">SUM(C132,C141,C145,C146:C150,C155,C156:C167,C168)</f>
        <v>166449</v>
      </c>
      <c r="D169" s="1716">
        <f t="shared" si="6"/>
        <v>0</v>
      </c>
      <c r="E169" s="1716">
        <f t="shared" si="6"/>
        <v>0</v>
      </c>
      <c r="F169" s="1716">
        <f t="shared" si="6"/>
        <v>78049</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1025031</v>
      </c>
      <c r="D170" s="1709">
        <f t="shared" si="7"/>
        <v>0</v>
      </c>
      <c r="E170" s="1709">
        <f t="shared" si="7"/>
        <v>0</v>
      </c>
      <c r="F170" s="1709">
        <f t="shared" si="7"/>
        <v>78049</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6" t="s">
        <v>1492</v>
      </c>
      <c r="B172" s="2157"/>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60" t="s">
        <v>1665</v>
      </c>
      <c r="B175" s="2161"/>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4" t="s">
        <v>1664</v>
      </c>
      <c r="B176" s="2165"/>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36458</v>
      </c>
      <c r="D180" s="466">
        <v>0</v>
      </c>
      <c r="E180" s="468"/>
      <c r="F180" s="466">
        <v>0</v>
      </c>
      <c r="G180" s="466">
        <v>0</v>
      </c>
      <c r="H180" s="466">
        <v>0</v>
      </c>
      <c r="I180" s="468"/>
      <c r="J180" s="468"/>
      <c r="K180" s="466">
        <v>0</v>
      </c>
    </row>
    <row r="181" spans="1:11" ht="13.5" thickBot="1" x14ac:dyDescent="0.25">
      <c r="A181" s="2162" t="s">
        <v>785</v>
      </c>
      <c r="B181" s="2163"/>
      <c r="C181" s="1701">
        <f>SUM(C177:C180)</f>
        <v>36458</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8" t="s">
        <v>1803</v>
      </c>
      <c r="B182" s="2159"/>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53697</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17830</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71527</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61989</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61989</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5345</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92546</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97891</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11670</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10967</v>
      </c>
      <c r="D263" s="575">
        <v>0</v>
      </c>
      <c r="E263" s="468"/>
      <c r="F263" s="575">
        <v>0</v>
      </c>
      <c r="G263" s="575">
        <v>0</v>
      </c>
      <c r="H263" s="468"/>
      <c r="I263" s="468"/>
      <c r="J263" s="468"/>
      <c r="K263" s="468"/>
    </row>
    <row r="264" spans="1:11" ht="12.75" customHeight="1" thickTop="1" thickBot="1" x14ac:dyDescent="0.25">
      <c r="A264" s="463" t="s">
        <v>377</v>
      </c>
      <c r="B264" s="470">
        <v>4992</v>
      </c>
      <c r="C264" s="574">
        <v>19289</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15127</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288460</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324918</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5007677</v>
      </c>
      <c r="D268" s="1709">
        <f t="shared" si="12"/>
        <v>569738</v>
      </c>
      <c r="E268" s="1709">
        <f t="shared" si="12"/>
        <v>691154</v>
      </c>
      <c r="F268" s="1709">
        <f t="shared" si="12"/>
        <v>235413</v>
      </c>
      <c r="G268" s="1709">
        <f t="shared" si="12"/>
        <v>187137</v>
      </c>
      <c r="H268" s="1709">
        <f t="shared" si="12"/>
        <v>0</v>
      </c>
      <c r="I268" s="1709">
        <f t="shared" si="12"/>
        <v>39147</v>
      </c>
      <c r="J268" s="1709">
        <f t="shared" si="12"/>
        <v>178002</v>
      </c>
      <c r="K268" s="1696">
        <f t="shared" si="12"/>
        <v>37</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39" activePane="bottomLeft" state="frozen"/>
      <selection pane="bottomLeft" activeCell="L102" sqref="L102"/>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34"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6"/>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72" t="s">
        <v>297</v>
      </c>
      <c r="B3" s="2173"/>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1607386</v>
      </c>
      <c r="D5" s="466">
        <v>368500</v>
      </c>
      <c r="E5" s="466">
        <v>13332</v>
      </c>
      <c r="F5" s="466">
        <v>65117</v>
      </c>
      <c r="G5" s="466">
        <v>5553</v>
      </c>
      <c r="H5" s="466">
        <v>10221</v>
      </c>
      <c r="I5" s="466">
        <v>0</v>
      </c>
      <c r="J5" s="466">
        <v>0</v>
      </c>
      <c r="K5" s="1665">
        <f>SUM(C5:J5)</f>
        <v>2070109</v>
      </c>
      <c r="L5" s="466">
        <v>1332488</v>
      </c>
    </row>
    <row r="6" spans="1:14" x14ac:dyDescent="0.2">
      <c r="A6" s="1502" t="s">
        <v>1433</v>
      </c>
      <c r="B6" s="613" t="s">
        <v>1431</v>
      </c>
      <c r="C6" s="477"/>
      <c r="D6" s="477"/>
      <c r="E6" s="466" t="s">
        <v>1169</v>
      </c>
      <c r="F6" s="477"/>
      <c r="G6" s="477"/>
      <c r="H6" s="477"/>
      <c r="I6" s="477"/>
      <c r="J6" s="477"/>
      <c r="K6" s="1665">
        <f>SUM(C6,E6)</f>
        <v>0</v>
      </c>
      <c r="L6" s="466"/>
    </row>
    <row r="7" spans="1:14" x14ac:dyDescent="0.2">
      <c r="A7" s="1502" t="s">
        <v>163</v>
      </c>
      <c r="B7" s="613" t="s">
        <v>967</v>
      </c>
      <c r="C7" s="466">
        <v>4691</v>
      </c>
      <c r="D7" s="466">
        <v>69</v>
      </c>
      <c r="E7" s="466">
        <v>0</v>
      </c>
      <c r="F7" s="466">
        <v>0</v>
      </c>
      <c r="G7" s="466">
        <v>0</v>
      </c>
      <c r="H7" s="466">
        <v>0</v>
      </c>
      <c r="I7" s="466">
        <v>0</v>
      </c>
      <c r="J7" s="466">
        <v>0</v>
      </c>
      <c r="K7" s="1665">
        <f t="shared" ref="K7:K32" si="0">SUM(C7:J7)</f>
        <v>4760</v>
      </c>
      <c r="L7" s="466">
        <v>737752</v>
      </c>
    </row>
    <row r="8" spans="1:14" x14ac:dyDescent="0.2">
      <c r="A8" s="1502" t="s">
        <v>164</v>
      </c>
      <c r="B8" s="613">
        <v>1200</v>
      </c>
      <c r="C8" s="466">
        <v>618274</v>
      </c>
      <c r="D8" s="466">
        <v>140386</v>
      </c>
      <c r="E8" s="466">
        <v>1784</v>
      </c>
      <c r="F8" s="466">
        <v>3703</v>
      </c>
      <c r="G8" s="466">
        <v>0</v>
      </c>
      <c r="H8" s="466">
        <v>0</v>
      </c>
      <c r="I8" s="466">
        <v>0</v>
      </c>
      <c r="J8" s="466">
        <v>0</v>
      </c>
      <c r="K8" s="1665">
        <f t="shared" si="0"/>
        <v>764147</v>
      </c>
      <c r="L8" s="466">
        <v>764148</v>
      </c>
    </row>
    <row r="9" spans="1:14" x14ac:dyDescent="0.2">
      <c r="A9" s="1502" t="s">
        <v>721</v>
      </c>
      <c r="B9" s="613" t="s">
        <v>968</v>
      </c>
      <c r="C9" s="466">
        <v>60198</v>
      </c>
      <c r="D9" s="466">
        <v>13236</v>
      </c>
      <c r="E9" s="466">
        <v>0</v>
      </c>
      <c r="F9" s="466">
        <v>0</v>
      </c>
      <c r="G9" s="466">
        <v>0</v>
      </c>
      <c r="H9" s="466">
        <v>0</v>
      </c>
      <c r="I9" s="466">
        <v>0</v>
      </c>
      <c r="J9" s="466">
        <v>0</v>
      </c>
      <c r="K9" s="1665">
        <f t="shared" si="0"/>
        <v>73434</v>
      </c>
      <c r="L9" s="466">
        <v>73433</v>
      </c>
    </row>
    <row r="10" spans="1:14" x14ac:dyDescent="0.2">
      <c r="A10" s="1502" t="s">
        <v>722</v>
      </c>
      <c r="B10" s="613">
        <v>1250</v>
      </c>
      <c r="C10" s="466">
        <v>85039</v>
      </c>
      <c r="D10" s="466">
        <v>23180</v>
      </c>
      <c r="E10" s="466">
        <v>0</v>
      </c>
      <c r="F10" s="466">
        <v>0</v>
      </c>
      <c r="G10" s="466">
        <v>0</v>
      </c>
      <c r="H10" s="466">
        <v>0</v>
      </c>
      <c r="I10" s="466">
        <v>0</v>
      </c>
      <c r="J10" s="466">
        <v>0</v>
      </c>
      <c r="K10" s="1665">
        <f t="shared" si="0"/>
        <v>108219</v>
      </c>
      <c r="L10" s="466">
        <v>108219</v>
      </c>
    </row>
    <row r="11" spans="1:14" x14ac:dyDescent="0.2">
      <c r="A11" s="1502" t="s">
        <v>1130</v>
      </c>
      <c r="B11" s="613" t="s">
        <v>161</v>
      </c>
      <c r="C11" s="466">
        <v>0</v>
      </c>
      <c r="D11" s="466">
        <v>0</v>
      </c>
      <c r="E11" s="466">
        <v>0</v>
      </c>
      <c r="F11" s="466">
        <v>0</v>
      </c>
      <c r="G11" s="466">
        <v>0</v>
      </c>
      <c r="H11" s="466">
        <v>0</v>
      </c>
      <c r="I11" s="466">
        <v>0</v>
      </c>
      <c r="J11" s="466">
        <v>0</v>
      </c>
      <c r="K11" s="1665">
        <f t="shared" si="0"/>
        <v>0</v>
      </c>
      <c r="L11" s="466"/>
    </row>
    <row r="12" spans="1:14" x14ac:dyDescent="0.2">
      <c r="A12" s="1502" t="s">
        <v>962</v>
      </c>
      <c r="B12" s="613">
        <v>1300</v>
      </c>
      <c r="C12" s="466">
        <v>0</v>
      </c>
      <c r="D12" s="466">
        <v>0</v>
      </c>
      <c r="E12" s="466">
        <v>0</v>
      </c>
      <c r="F12" s="466">
        <v>0</v>
      </c>
      <c r="G12" s="466">
        <v>0</v>
      </c>
      <c r="H12" s="466">
        <v>0</v>
      </c>
      <c r="I12" s="466">
        <v>0</v>
      </c>
      <c r="J12" s="466">
        <v>0</v>
      </c>
      <c r="K12" s="1665">
        <f t="shared" si="0"/>
        <v>0</v>
      </c>
      <c r="L12" s="466"/>
    </row>
    <row r="13" spans="1:14" x14ac:dyDescent="0.2">
      <c r="A13" s="1502" t="s">
        <v>723</v>
      </c>
      <c r="B13" s="613">
        <v>1400</v>
      </c>
      <c r="C13" s="466">
        <v>65671</v>
      </c>
      <c r="D13" s="466">
        <v>15362</v>
      </c>
      <c r="E13" s="466">
        <v>808</v>
      </c>
      <c r="F13" s="466">
        <v>2141</v>
      </c>
      <c r="G13" s="466">
        <v>0</v>
      </c>
      <c r="H13" s="466">
        <v>0</v>
      </c>
      <c r="I13" s="466">
        <v>0</v>
      </c>
      <c r="J13" s="466">
        <v>0</v>
      </c>
      <c r="K13" s="1665">
        <f t="shared" si="0"/>
        <v>83982</v>
      </c>
      <c r="L13" s="466">
        <v>83982</v>
      </c>
    </row>
    <row r="14" spans="1:14" x14ac:dyDescent="0.2">
      <c r="A14" s="1502" t="s">
        <v>963</v>
      </c>
      <c r="B14" s="613">
        <v>1500</v>
      </c>
      <c r="C14" s="466">
        <v>150975</v>
      </c>
      <c r="D14" s="466">
        <v>16452</v>
      </c>
      <c r="E14" s="466">
        <v>26667</v>
      </c>
      <c r="F14" s="466">
        <v>18184</v>
      </c>
      <c r="G14" s="466">
        <v>0</v>
      </c>
      <c r="H14" s="466">
        <v>7269</v>
      </c>
      <c r="I14" s="466">
        <v>0</v>
      </c>
      <c r="J14" s="466">
        <v>0</v>
      </c>
      <c r="K14" s="1665">
        <f t="shared" si="0"/>
        <v>219547</v>
      </c>
      <c r="L14" s="466">
        <v>219547</v>
      </c>
    </row>
    <row r="15" spans="1:14" x14ac:dyDescent="0.2">
      <c r="A15" s="1502" t="s">
        <v>964</v>
      </c>
      <c r="B15" s="613">
        <v>1600</v>
      </c>
      <c r="C15" s="466">
        <v>0</v>
      </c>
      <c r="D15" s="466">
        <v>0</v>
      </c>
      <c r="E15" s="466">
        <v>0</v>
      </c>
      <c r="F15" s="466">
        <v>0</v>
      </c>
      <c r="G15" s="466">
        <v>0</v>
      </c>
      <c r="H15" s="466">
        <v>0</v>
      </c>
      <c r="I15" s="466">
        <v>0</v>
      </c>
      <c r="J15" s="466">
        <v>0</v>
      </c>
      <c r="K15" s="1665">
        <f t="shared" si="0"/>
        <v>0</v>
      </c>
      <c r="L15" s="466"/>
    </row>
    <row r="16" spans="1:14" x14ac:dyDescent="0.2">
      <c r="A16" s="1502" t="s">
        <v>987</v>
      </c>
      <c r="B16" s="613" t="s">
        <v>424</v>
      </c>
      <c r="C16" s="466">
        <v>0</v>
      </c>
      <c r="D16" s="466">
        <v>0</v>
      </c>
      <c r="E16" s="466">
        <v>0</v>
      </c>
      <c r="F16" s="466">
        <v>0</v>
      </c>
      <c r="G16" s="466">
        <v>0</v>
      </c>
      <c r="H16" s="466">
        <v>0</v>
      </c>
      <c r="I16" s="466">
        <v>0</v>
      </c>
      <c r="J16" s="466">
        <v>0</v>
      </c>
      <c r="K16" s="1665">
        <f t="shared" si="0"/>
        <v>0</v>
      </c>
      <c r="L16" s="466"/>
    </row>
    <row r="17" spans="1:12" x14ac:dyDescent="0.2">
      <c r="A17" s="1502" t="s">
        <v>724</v>
      </c>
      <c r="B17" s="613" t="s">
        <v>162</v>
      </c>
      <c r="C17" s="466">
        <v>18382</v>
      </c>
      <c r="D17" s="466">
        <v>2344</v>
      </c>
      <c r="E17" s="466">
        <v>0</v>
      </c>
      <c r="F17" s="466">
        <v>0</v>
      </c>
      <c r="G17" s="466">
        <v>0</v>
      </c>
      <c r="H17" s="466">
        <v>0</v>
      </c>
      <c r="I17" s="466">
        <v>0</v>
      </c>
      <c r="J17" s="466">
        <v>0</v>
      </c>
      <c r="K17" s="1665">
        <f t="shared" si="0"/>
        <v>20726</v>
      </c>
      <c r="L17" s="466">
        <v>20726</v>
      </c>
    </row>
    <row r="18" spans="1:12" x14ac:dyDescent="0.2">
      <c r="A18" s="1502" t="s">
        <v>1087</v>
      </c>
      <c r="B18" s="613">
        <v>1800</v>
      </c>
      <c r="C18" s="466">
        <v>0</v>
      </c>
      <c r="D18" s="466">
        <v>0</v>
      </c>
      <c r="E18" s="466">
        <v>0</v>
      </c>
      <c r="F18" s="466">
        <v>0</v>
      </c>
      <c r="G18" s="466">
        <v>0</v>
      </c>
      <c r="H18" s="466">
        <v>0</v>
      </c>
      <c r="I18" s="466">
        <v>0</v>
      </c>
      <c r="J18" s="466">
        <v>0</v>
      </c>
      <c r="K18" s="1665">
        <f t="shared" si="0"/>
        <v>0</v>
      </c>
      <c r="L18" s="466"/>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738</v>
      </c>
      <c r="B20" s="601" t="s">
        <v>725</v>
      </c>
      <c r="C20" s="477"/>
      <c r="D20" s="477"/>
      <c r="E20" s="477"/>
      <c r="F20" s="477"/>
      <c r="G20" s="477"/>
      <c r="H20" s="466">
        <v>0</v>
      </c>
      <c r="I20" s="615"/>
      <c r="J20" s="475"/>
      <c r="K20" s="1665">
        <f t="shared" si="0"/>
        <v>0</v>
      </c>
      <c r="L20" s="471"/>
    </row>
    <row r="21" spans="1:12" x14ac:dyDescent="0.2">
      <c r="A21" s="1503" t="s">
        <v>739</v>
      </c>
      <c r="B21" s="601" t="s">
        <v>726</v>
      </c>
      <c r="C21" s="477"/>
      <c r="D21" s="477"/>
      <c r="E21" s="477"/>
      <c r="F21" s="477"/>
      <c r="G21" s="477"/>
      <c r="H21" s="466">
        <v>0</v>
      </c>
      <c r="I21" s="615"/>
      <c r="J21" s="477"/>
      <c r="K21" s="1665">
        <f t="shared" si="0"/>
        <v>0</v>
      </c>
      <c r="L21" s="471"/>
    </row>
    <row r="22" spans="1:12" x14ac:dyDescent="0.2">
      <c r="A22" s="1503" t="s">
        <v>740</v>
      </c>
      <c r="B22" s="601" t="s">
        <v>727</v>
      </c>
      <c r="C22" s="477"/>
      <c r="D22" s="477"/>
      <c r="E22" s="477"/>
      <c r="F22" s="477"/>
      <c r="G22" s="477"/>
      <c r="H22" s="466">
        <v>237623</v>
      </c>
      <c r="I22" s="615"/>
      <c r="J22" s="477"/>
      <c r="K22" s="1665">
        <f t="shared" si="0"/>
        <v>237623</v>
      </c>
      <c r="L22" s="471">
        <v>237623</v>
      </c>
    </row>
    <row r="23" spans="1:12" x14ac:dyDescent="0.2">
      <c r="A23" s="1503" t="s">
        <v>741</v>
      </c>
      <c r="B23" s="601" t="s">
        <v>728</v>
      </c>
      <c r="C23" s="477"/>
      <c r="D23" s="477"/>
      <c r="E23" s="477"/>
      <c r="F23" s="477"/>
      <c r="G23" s="477"/>
      <c r="H23" s="466">
        <v>0</v>
      </c>
      <c r="I23" s="615"/>
      <c r="J23" s="477"/>
      <c r="K23" s="1665">
        <f t="shared" si="0"/>
        <v>0</v>
      </c>
      <c r="L23" s="471"/>
    </row>
    <row r="24" spans="1:12" ht="12.75" customHeight="1" x14ac:dyDescent="0.2">
      <c r="A24" s="1503" t="s">
        <v>742</v>
      </c>
      <c r="B24" s="601" t="s">
        <v>729</v>
      </c>
      <c r="C24" s="477"/>
      <c r="D24" s="477"/>
      <c r="E24" s="477"/>
      <c r="F24" s="477"/>
      <c r="G24" s="477"/>
      <c r="H24" s="466">
        <v>0</v>
      </c>
      <c r="I24" s="615"/>
      <c r="J24" s="477"/>
      <c r="K24" s="1665">
        <f t="shared" si="0"/>
        <v>0</v>
      </c>
      <c r="L24" s="471"/>
    </row>
    <row r="25" spans="1:12" ht="12.75" customHeight="1" x14ac:dyDescent="0.2">
      <c r="A25" s="1503" t="s">
        <v>802</v>
      </c>
      <c r="B25" s="601" t="s">
        <v>730</v>
      </c>
      <c r="C25" s="477"/>
      <c r="D25" s="477"/>
      <c r="E25" s="477"/>
      <c r="F25" s="477"/>
      <c r="G25" s="477"/>
      <c r="H25" s="466">
        <v>0</v>
      </c>
      <c r="I25" s="615"/>
      <c r="J25" s="477"/>
      <c r="K25" s="1665">
        <f t="shared" si="0"/>
        <v>0</v>
      </c>
      <c r="L25" s="471"/>
    </row>
    <row r="26" spans="1:12" x14ac:dyDescent="0.2">
      <c r="A26" s="1503" t="s">
        <v>622</v>
      </c>
      <c r="B26" s="601" t="s">
        <v>731</v>
      </c>
      <c r="C26" s="477"/>
      <c r="D26" s="477"/>
      <c r="E26" s="477"/>
      <c r="F26" s="477"/>
      <c r="G26" s="477"/>
      <c r="H26" s="466">
        <v>0</v>
      </c>
      <c r="I26" s="615"/>
      <c r="J26" s="477"/>
      <c r="K26" s="1665">
        <f t="shared" si="0"/>
        <v>0</v>
      </c>
      <c r="L26" s="471"/>
    </row>
    <row r="27" spans="1:12" x14ac:dyDescent="0.2">
      <c r="A27" s="1503" t="s">
        <v>623</v>
      </c>
      <c r="B27" s="601" t="s">
        <v>732</v>
      </c>
      <c r="C27" s="477"/>
      <c r="D27" s="477"/>
      <c r="E27" s="477"/>
      <c r="F27" s="477"/>
      <c r="G27" s="477"/>
      <c r="H27" s="466">
        <v>0</v>
      </c>
      <c r="I27" s="615"/>
      <c r="J27" s="477"/>
      <c r="K27" s="1665">
        <f t="shared" si="0"/>
        <v>0</v>
      </c>
      <c r="L27" s="471"/>
    </row>
    <row r="28" spans="1:12" x14ac:dyDescent="0.2">
      <c r="A28" s="1503" t="s">
        <v>150</v>
      </c>
      <c r="B28" s="601" t="s">
        <v>733</v>
      </c>
      <c r="C28" s="477"/>
      <c r="D28" s="477"/>
      <c r="E28" s="477"/>
      <c r="F28" s="477"/>
      <c r="G28" s="477"/>
      <c r="H28" s="466">
        <v>0</v>
      </c>
      <c r="I28" s="615"/>
      <c r="J28" s="477"/>
      <c r="K28" s="1665">
        <f t="shared" si="0"/>
        <v>0</v>
      </c>
      <c r="L28" s="471"/>
    </row>
    <row r="29" spans="1:12" x14ac:dyDescent="0.2">
      <c r="A29" s="1503" t="s">
        <v>151</v>
      </c>
      <c r="B29" s="601" t="s">
        <v>734</v>
      </c>
      <c r="C29" s="477"/>
      <c r="D29" s="477"/>
      <c r="E29" s="477"/>
      <c r="F29" s="477"/>
      <c r="G29" s="477"/>
      <c r="H29" s="466" t="s">
        <v>1169</v>
      </c>
      <c r="I29" s="615"/>
      <c r="J29" s="477"/>
      <c r="K29" s="1665">
        <f t="shared" si="0"/>
        <v>0</v>
      </c>
      <c r="L29" s="471"/>
    </row>
    <row r="30" spans="1:12" x14ac:dyDescent="0.2">
      <c r="A30" s="1503" t="s">
        <v>152</v>
      </c>
      <c r="B30" s="601" t="s">
        <v>735</v>
      </c>
      <c r="C30" s="477"/>
      <c r="D30" s="477"/>
      <c r="E30" s="477"/>
      <c r="F30" s="477"/>
      <c r="G30" s="477"/>
      <c r="H30" s="466">
        <v>0</v>
      </c>
      <c r="I30" s="615"/>
      <c r="J30" s="477"/>
      <c r="K30" s="1665">
        <f t="shared" si="0"/>
        <v>0</v>
      </c>
      <c r="L30" s="471"/>
    </row>
    <row r="31" spans="1:12" x14ac:dyDescent="0.2">
      <c r="A31" s="1503" t="s">
        <v>153</v>
      </c>
      <c r="B31" s="601" t="s">
        <v>736</v>
      </c>
      <c r="C31" s="477"/>
      <c r="D31" s="477"/>
      <c r="E31" s="477"/>
      <c r="F31" s="477"/>
      <c r="G31" s="477"/>
      <c r="H31" s="466">
        <v>0</v>
      </c>
      <c r="I31" s="615"/>
      <c r="J31" s="477"/>
      <c r="K31" s="1665">
        <f t="shared" si="0"/>
        <v>0</v>
      </c>
      <c r="L31" s="471"/>
    </row>
    <row r="32" spans="1:12" x14ac:dyDescent="0.2">
      <c r="A32" s="1504" t="s">
        <v>1129</v>
      </c>
      <c r="B32" s="613" t="s">
        <v>737</v>
      </c>
      <c r="C32" s="477"/>
      <c r="D32" s="477"/>
      <c r="E32" s="477"/>
      <c r="F32" s="477"/>
      <c r="G32" s="477"/>
      <c r="H32" s="466">
        <v>0</v>
      </c>
      <c r="I32" s="615"/>
      <c r="J32" s="480"/>
      <c r="K32" s="1665">
        <f t="shared" si="0"/>
        <v>0</v>
      </c>
      <c r="L32" s="471"/>
    </row>
    <row r="33" spans="1:14" ht="12.75" customHeight="1" thickBot="1" x14ac:dyDescent="0.25">
      <c r="A33" s="1662" t="s">
        <v>1668</v>
      </c>
      <c r="B33" s="1663" t="s">
        <v>570</v>
      </c>
      <c r="C33" s="1664">
        <f>SUM(C5:C32)</f>
        <v>2610616</v>
      </c>
      <c r="D33" s="1664">
        <f t="shared" ref="D33:L33" si="1">SUM(D5:D32)</f>
        <v>579529</v>
      </c>
      <c r="E33" s="1664">
        <f t="shared" si="1"/>
        <v>42591</v>
      </c>
      <c r="F33" s="1664">
        <f t="shared" si="1"/>
        <v>89145</v>
      </c>
      <c r="G33" s="1664">
        <f t="shared" si="1"/>
        <v>5553</v>
      </c>
      <c r="H33" s="1664">
        <f t="shared" si="1"/>
        <v>255113</v>
      </c>
      <c r="I33" s="1664">
        <f t="shared" si="1"/>
        <v>0</v>
      </c>
      <c r="J33" s="1664">
        <f t="shared" si="1"/>
        <v>0</v>
      </c>
      <c r="K33" s="1664">
        <f t="shared" si="1"/>
        <v>3582547</v>
      </c>
      <c r="L33" s="1664">
        <f t="shared" si="1"/>
        <v>3577918</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5">
        <f t="shared" ref="K36:K41" si="2">SUM(C36:J36)</f>
        <v>0</v>
      </c>
      <c r="L36" s="466"/>
    </row>
    <row r="37" spans="1:14" x14ac:dyDescent="0.2">
      <c r="A37" s="1502" t="s">
        <v>1090</v>
      </c>
      <c r="B37" s="613">
        <v>2120</v>
      </c>
      <c r="C37" s="466">
        <v>105768</v>
      </c>
      <c r="D37" s="466">
        <v>26276</v>
      </c>
      <c r="E37" s="466">
        <v>82</v>
      </c>
      <c r="F37" s="466">
        <v>662</v>
      </c>
      <c r="G37" s="466">
        <v>0</v>
      </c>
      <c r="H37" s="466">
        <v>0</v>
      </c>
      <c r="I37" s="466">
        <v>0</v>
      </c>
      <c r="J37" s="466">
        <v>0</v>
      </c>
      <c r="K37" s="1665">
        <f t="shared" si="2"/>
        <v>132788</v>
      </c>
      <c r="L37" s="466">
        <v>132788</v>
      </c>
    </row>
    <row r="38" spans="1:14" x14ac:dyDescent="0.2">
      <c r="A38" s="1502" t="s">
        <v>198</v>
      </c>
      <c r="B38" s="613">
        <v>2130</v>
      </c>
      <c r="C38" s="466">
        <v>0</v>
      </c>
      <c r="D38" s="466">
        <v>0</v>
      </c>
      <c r="E38" s="466">
        <v>0</v>
      </c>
      <c r="F38" s="466">
        <v>0</v>
      </c>
      <c r="G38" s="466">
        <v>0</v>
      </c>
      <c r="H38" s="466">
        <v>0</v>
      </c>
      <c r="I38" s="466">
        <v>0</v>
      </c>
      <c r="J38" s="466">
        <v>0</v>
      </c>
      <c r="K38" s="1665">
        <f t="shared" si="2"/>
        <v>0</v>
      </c>
      <c r="L38" s="466"/>
    </row>
    <row r="39" spans="1:14" x14ac:dyDescent="0.2">
      <c r="A39" s="1502" t="s">
        <v>199</v>
      </c>
      <c r="B39" s="613">
        <v>2140</v>
      </c>
      <c r="C39" s="466">
        <v>0</v>
      </c>
      <c r="D39" s="466">
        <v>0</v>
      </c>
      <c r="E39" s="466">
        <v>0</v>
      </c>
      <c r="F39" s="466">
        <v>0</v>
      </c>
      <c r="G39" s="466">
        <v>0</v>
      </c>
      <c r="H39" s="466">
        <v>0</v>
      </c>
      <c r="I39" s="466">
        <v>0</v>
      </c>
      <c r="J39" s="466">
        <v>0</v>
      </c>
      <c r="K39" s="1665">
        <f t="shared" si="2"/>
        <v>0</v>
      </c>
      <c r="L39" s="466"/>
    </row>
    <row r="40" spans="1:14" x14ac:dyDescent="0.2">
      <c r="A40" s="1502" t="s">
        <v>200</v>
      </c>
      <c r="B40" s="613">
        <v>2150</v>
      </c>
      <c r="C40" s="466">
        <v>0</v>
      </c>
      <c r="D40" s="466">
        <v>0</v>
      </c>
      <c r="E40" s="466">
        <v>0</v>
      </c>
      <c r="F40" s="466">
        <v>0</v>
      </c>
      <c r="G40" s="466">
        <v>0</v>
      </c>
      <c r="H40" s="466">
        <v>0</v>
      </c>
      <c r="I40" s="466">
        <v>0</v>
      </c>
      <c r="J40" s="466">
        <v>0</v>
      </c>
      <c r="K40" s="1665">
        <f t="shared" si="2"/>
        <v>0</v>
      </c>
      <c r="L40" s="466"/>
    </row>
    <row r="41" spans="1:14" x14ac:dyDescent="0.2">
      <c r="A41" s="1502" t="s">
        <v>1669</v>
      </c>
      <c r="B41" s="613">
        <v>2190</v>
      </c>
      <c r="C41" s="466">
        <v>16418</v>
      </c>
      <c r="D41" s="466">
        <v>849</v>
      </c>
      <c r="E41" s="466">
        <v>0</v>
      </c>
      <c r="F41" s="466">
        <v>634</v>
      </c>
      <c r="G41" s="466">
        <v>0</v>
      </c>
      <c r="H41" s="466">
        <v>0</v>
      </c>
      <c r="I41" s="466">
        <v>0</v>
      </c>
      <c r="J41" s="466">
        <v>0</v>
      </c>
      <c r="K41" s="1665">
        <f t="shared" si="2"/>
        <v>17901</v>
      </c>
      <c r="L41" s="466">
        <v>17901</v>
      </c>
    </row>
    <row r="42" spans="1:14" ht="12.75" customHeight="1" thickBot="1" x14ac:dyDescent="0.25">
      <c r="A42" s="1662" t="s">
        <v>560</v>
      </c>
      <c r="B42" s="1663" t="s">
        <v>716</v>
      </c>
      <c r="C42" s="1664">
        <f>SUM(C36:C41)</f>
        <v>122186</v>
      </c>
      <c r="D42" s="1664">
        <f t="shared" ref="D42:L42" si="3">SUM(D36:D41)</f>
        <v>27125</v>
      </c>
      <c r="E42" s="1664">
        <f t="shared" si="3"/>
        <v>82</v>
      </c>
      <c r="F42" s="1664">
        <f t="shared" si="3"/>
        <v>1296</v>
      </c>
      <c r="G42" s="1664">
        <f t="shared" si="3"/>
        <v>0</v>
      </c>
      <c r="H42" s="1664">
        <f t="shared" si="3"/>
        <v>0</v>
      </c>
      <c r="I42" s="1664">
        <f t="shared" si="3"/>
        <v>0</v>
      </c>
      <c r="J42" s="1664">
        <f t="shared" si="3"/>
        <v>0</v>
      </c>
      <c r="K42" s="1664">
        <f t="shared" si="3"/>
        <v>150689</v>
      </c>
      <c r="L42" s="1664">
        <f t="shared" si="3"/>
        <v>150689</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0</v>
      </c>
      <c r="D44" s="466">
        <v>0</v>
      </c>
      <c r="E44" s="466">
        <v>25832</v>
      </c>
      <c r="F44" s="466">
        <v>0</v>
      </c>
      <c r="G44" s="466">
        <v>0</v>
      </c>
      <c r="H44" s="466">
        <v>0</v>
      </c>
      <c r="I44" s="466">
        <v>0</v>
      </c>
      <c r="J44" s="466">
        <v>0</v>
      </c>
      <c r="K44" s="1666">
        <f>SUM(C44:J44)</f>
        <v>25832</v>
      </c>
      <c r="L44" s="568">
        <v>25832</v>
      </c>
    </row>
    <row r="45" spans="1:14" x14ac:dyDescent="0.2">
      <c r="A45" s="1502" t="s">
        <v>815</v>
      </c>
      <c r="B45" s="613">
        <v>2220</v>
      </c>
      <c r="C45" s="466">
        <v>18477</v>
      </c>
      <c r="D45" s="466">
        <v>69</v>
      </c>
      <c r="E45" s="466">
        <v>0</v>
      </c>
      <c r="F45" s="466">
        <v>1671</v>
      </c>
      <c r="G45" s="466">
        <v>0</v>
      </c>
      <c r="H45" s="466">
        <v>0</v>
      </c>
      <c r="I45" s="466">
        <v>0</v>
      </c>
      <c r="J45" s="466">
        <v>0</v>
      </c>
      <c r="K45" s="1666">
        <f>SUM(C45:J45)</f>
        <v>20217</v>
      </c>
      <c r="L45" s="466">
        <v>20217</v>
      </c>
    </row>
    <row r="46" spans="1:14" x14ac:dyDescent="0.2">
      <c r="A46" s="1502" t="s">
        <v>816</v>
      </c>
      <c r="B46" s="613">
        <v>2230</v>
      </c>
      <c r="C46" s="466">
        <v>0</v>
      </c>
      <c r="D46" s="466">
        <v>0</v>
      </c>
      <c r="E46" s="466">
        <v>0</v>
      </c>
      <c r="F46" s="466">
        <v>0</v>
      </c>
      <c r="G46" s="466">
        <v>0</v>
      </c>
      <c r="H46" s="466">
        <v>0</v>
      </c>
      <c r="I46" s="466">
        <v>0</v>
      </c>
      <c r="J46" s="466">
        <v>0</v>
      </c>
      <c r="K46" s="1666">
        <f>SUM(C46:J46)</f>
        <v>0</v>
      </c>
      <c r="L46" s="466"/>
    </row>
    <row r="47" spans="1:14" ht="12.75" customHeight="1" thickBot="1" x14ac:dyDescent="0.25">
      <c r="A47" s="1662" t="s">
        <v>561</v>
      </c>
      <c r="B47" s="1663" t="s">
        <v>32</v>
      </c>
      <c r="C47" s="1664">
        <f>SUM(C44:C46)</f>
        <v>18477</v>
      </c>
      <c r="D47" s="1664">
        <f t="shared" ref="D47:K47" si="4">SUM(D44:D46)</f>
        <v>69</v>
      </c>
      <c r="E47" s="1664">
        <f t="shared" si="4"/>
        <v>25832</v>
      </c>
      <c r="F47" s="1664">
        <f t="shared" si="4"/>
        <v>1671</v>
      </c>
      <c r="G47" s="1664">
        <f t="shared" si="4"/>
        <v>0</v>
      </c>
      <c r="H47" s="1664">
        <f t="shared" si="4"/>
        <v>0</v>
      </c>
      <c r="I47" s="1664">
        <f t="shared" si="4"/>
        <v>0</v>
      </c>
      <c r="J47" s="1664">
        <f t="shared" si="4"/>
        <v>0</v>
      </c>
      <c r="K47" s="1664">
        <f t="shared" si="4"/>
        <v>46049</v>
      </c>
      <c r="L47" s="1664">
        <f>SUM(L44:L46)</f>
        <v>46049</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0</v>
      </c>
      <c r="D49" s="466">
        <v>0</v>
      </c>
      <c r="E49" s="466">
        <v>21208</v>
      </c>
      <c r="F49" s="466">
        <v>2286</v>
      </c>
      <c r="G49" s="466">
        <v>0</v>
      </c>
      <c r="H49" s="466">
        <v>3040</v>
      </c>
      <c r="I49" s="466">
        <v>0</v>
      </c>
      <c r="J49" s="466">
        <v>0</v>
      </c>
      <c r="K49" s="1666">
        <f>SUM(C49:J49)</f>
        <v>26534</v>
      </c>
      <c r="L49" s="568">
        <v>25533</v>
      </c>
    </row>
    <row r="50" spans="1:14" x14ac:dyDescent="0.2">
      <c r="A50" s="1502" t="s">
        <v>818</v>
      </c>
      <c r="B50" s="613">
        <v>2320</v>
      </c>
      <c r="C50" s="466">
        <v>104015</v>
      </c>
      <c r="D50" s="466">
        <v>28740</v>
      </c>
      <c r="E50" s="466">
        <v>0</v>
      </c>
      <c r="F50" s="466">
        <v>874</v>
      </c>
      <c r="G50" s="466">
        <v>0</v>
      </c>
      <c r="H50" s="466">
        <v>0</v>
      </c>
      <c r="I50" s="466">
        <v>0</v>
      </c>
      <c r="J50" s="466">
        <v>0</v>
      </c>
      <c r="K50" s="1666">
        <f>SUM(C50:J50)</f>
        <v>133629</v>
      </c>
      <c r="L50" s="466">
        <v>133629</v>
      </c>
    </row>
    <row r="51" spans="1:14" x14ac:dyDescent="0.2">
      <c r="A51" s="1502" t="s">
        <v>42</v>
      </c>
      <c r="B51" s="613">
        <v>2330</v>
      </c>
      <c r="C51" s="466">
        <v>0</v>
      </c>
      <c r="D51" s="466">
        <v>0</v>
      </c>
      <c r="E51" s="466">
        <v>0</v>
      </c>
      <c r="F51" s="466">
        <v>0</v>
      </c>
      <c r="G51" s="466">
        <v>0</v>
      </c>
      <c r="H51" s="466">
        <v>0</v>
      </c>
      <c r="I51" s="466" t="s">
        <v>1169</v>
      </c>
      <c r="J51" s="466">
        <v>0</v>
      </c>
      <c r="K51" s="1666">
        <f>SUM(C51:J51)</f>
        <v>0</v>
      </c>
      <c r="L51" s="466"/>
    </row>
    <row r="52" spans="1:14" ht="22.5" x14ac:dyDescent="0.2">
      <c r="A52" s="1503" t="s">
        <v>298</v>
      </c>
      <c r="B52" s="626" t="s">
        <v>366</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717</v>
      </c>
      <c r="B53" s="1663" t="s">
        <v>33</v>
      </c>
      <c r="C53" s="1664">
        <f>SUM(C49:C52)</f>
        <v>104015</v>
      </c>
      <c r="D53" s="1664">
        <f t="shared" ref="D53:L53" si="5">SUM(D49:D52)</f>
        <v>28740</v>
      </c>
      <c r="E53" s="1664">
        <f t="shared" si="5"/>
        <v>21208</v>
      </c>
      <c r="F53" s="1664">
        <f t="shared" si="5"/>
        <v>3160</v>
      </c>
      <c r="G53" s="1664">
        <f t="shared" si="5"/>
        <v>0</v>
      </c>
      <c r="H53" s="1664">
        <f t="shared" si="5"/>
        <v>3040</v>
      </c>
      <c r="I53" s="1664">
        <f t="shared" si="5"/>
        <v>0</v>
      </c>
      <c r="J53" s="1664">
        <f t="shared" si="5"/>
        <v>0</v>
      </c>
      <c r="K53" s="1664">
        <f t="shared" si="5"/>
        <v>160163</v>
      </c>
      <c r="L53" s="1664">
        <f t="shared" si="5"/>
        <v>159162</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145786</v>
      </c>
      <c r="D55" s="466">
        <v>41583</v>
      </c>
      <c r="E55" s="466">
        <v>5050</v>
      </c>
      <c r="F55" s="466">
        <v>7169</v>
      </c>
      <c r="G55" s="466">
        <v>1750</v>
      </c>
      <c r="H55" s="466">
        <v>0</v>
      </c>
      <c r="I55" s="466">
        <v>0</v>
      </c>
      <c r="J55" s="466">
        <v>0</v>
      </c>
      <c r="K55" s="1666">
        <f>SUM(C55:J55)</f>
        <v>201338</v>
      </c>
      <c r="L55" s="568">
        <v>201338</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145786</v>
      </c>
      <c r="D57" s="1668">
        <f t="shared" ref="D57:K57" si="6">SUM(D55:D56)</f>
        <v>41583</v>
      </c>
      <c r="E57" s="1668">
        <f t="shared" si="6"/>
        <v>5050</v>
      </c>
      <c r="F57" s="1668">
        <f t="shared" si="6"/>
        <v>7169</v>
      </c>
      <c r="G57" s="1668">
        <f t="shared" si="6"/>
        <v>1750</v>
      </c>
      <c r="H57" s="1668">
        <f t="shared" si="6"/>
        <v>0</v>
      </c>
      <c r="I57" s="1668">
        <f t="shared" si="6"/>
        <v>0</v>
      </c>
      <c r="J57" s="1668">
        <f t="shared" si="6"/>
        <v>0</v>
      </c>
      <c r="K57" s="1668">
        <f t="shared" si="6"/>
        <v>201338</v>
      </c>
      <c r="L57" s="1664">
        <f>SUM(L55:L56)</f>
        <v>201338</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463</v>
      </c>
      <c r="B60" s="613">
        <v>2520</v>
      </c>
      <c r="C60" s="466">
        <v>71148</v>
      </c>
      <c r="D60" s="466">
        <v>10023</v>
      </c>
      <c r="E60" s="466">
        <v>5536</v>
      </c>
      <c r="F60" s="466">
        <v>7821</v>
      </c>
      <c r="G60" s="466">
        <v>0</v>
      </c>
      <c r="H60" s="466">
        <v>0</v>
      </c>
      <c r="I60" s="466">
        <v>0</v>
      </c>
      <c r="J60" s="466">
        <v>0</v>
      </c>
      <c r="K60" s="1666">
        <f t="shared" si="7"/>
        <v>94528</v>
      </c>
      <c r="L60" s="466">
        <v>94528</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c r="M62" s="608"/>
      <c r="N62" s="608"/>
    </row>
    <row r="63" spans="1:14" s="608" customFormat="1" x14ac:dyDescent="0.2">
      <c r="A63" s="1502" t="s">
        <v>100</v>
      </c>
      <c r="B63" s="613">
        <v>2560</v>
      </c>
      <c r="C63" s="466">
        <v>56256</v>
      </c>
      <c r="D63" s="466">
        <v>6226</v>
      </c>
      <c r="E63" s="466">
        <v>3425</v>
      </c>
      <c r="F63" s="466">
        <v>76595</v>
      </c>
      <c r="G63" s="466">
        <v>7965</v>
      </c>
      <c r="H63" s="466">
        <v>0</v>
      </c>
      <c r="I63" s="466">
        <v>0</v>
      </c>
      <c r="J63" s="466">
        <v>0</v>
      </c>
      <c r="K63" s="1666">
        <f t="shared" si="7"/>
        <v>150467</v>
      </c>
      <c r="L63" s="466">
        <v>150467</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719</v>
      </c>
      <c r="B65" s="1663" t="s">
        <v>35</v>
      </c>
      <c r="C65" s="1664">
        <f>SUM(C59:C64)</f>
        <v>127404</v>
      </c>
      <c r="D65" s="1664">
        <f t="shared" ref="D65:L65" si="8">SUM(D59:D64)</f>
        <v>16249</v>
      </c>
      <c r="E65" s="1664">
        <f t="shared" si="8"/>
        <v>8961</v>
      </c>
      <c r="F65" s="1664">
        <f t="shared" si="8"/>
        <v>84416</v>
      </c>
      <c r="G65" s="1664">
        <f t="shared" si="8"/>
        <v>7965</v>
      </c>
      <c r="H65" s="1664">
        <f t="shared" si="8"/>
        <v>0</v>
      </c>
      <c r="I65" s="1664">
        <f t="shared" si="8"/>
        <v>0</v>
      </c>
      <c r="J65" s="1664">
        <f t="shared" si="8"/>
        <v>0</v>
      </c>
      <c r="K65" s="1664">
        <f t="shared" si="8"/>
        <v>244995</v>
      </c>
      <c r="L65" s="1664">
        <f t="shared" si="8"/>
        <v>244995</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404</v>
      </c>
      <c r="B71" s="613">
        <v>2660</v>
      </c>
      <c r="C71" s="466">
        <v>0</v>
      </c>
      <c r="D71" s="466">
        <v>0</v>
      </c>
      <c r="E71" s="466">
        <v>0</v>
      </c>
      <c r="F71" s="466">
        <v>0</v>
      </c>
      <c r="G71" s="466">
        <v>0</v>
      </c>
      <c r="H71" s="466">
        <v>0</v>
      </c>
      <c r="I71" s="466">
        <v>0</v>
      </c>
      <c r="J71" s="466">
        <v>0</v>
      </c>
      <c r="K71" s="1666">
        <f>SUM(C71:J71)</f>
        <v>0</v>
      </c>
      <c r="L71" s="466"/>
      <c r="M71" s="608"/>
      <c r="N71" s="608"/>
    </row>
    <row r="72" spans="1:14" s="343" customFormat="1" ht="12.75" customHeight="1" thickBot="1" x14ac:dyDescent="0.25">
      <c r="A72" s="1662" t="s">
        <v>37</v>
      </c>
      <c r="B72" s="1669"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608"/>
      <c r="N72" s="608"/>
    </row>
    <row r="73" spans="1:14" s="343" customFormat="1" ht="14.25" thickTop="1" thickBot="1" x14ac:dyDescent="0.25">
      <c r="A73" s="1508" t="s">
        <v>980</v>
      </c>
      <c r="B73" s="631" t="s">
        <v>574</v>
      </c>
      <c r="C73" s="466">
        <v>3325</v>
      </c>
      <c r="D73" s="466">
        <v>334</v>
      </c>
      <c r="E73" s="466">
        <v>8316</v>
      </c>
      <c r="F73" s="466">
        <v>3207</v>
      </c>
      <c r="G73" s="466">
        <v>0</v>
      </c>
      <c r="H73" s="466">
        <v>0</v>
      </c>
      <c r="I73" s="466">
        <v>0</v>
      </c>
      <c r="J73" s="466">
        <v>0</v>
      </c>
      <c r="K73" s="1664">
        <f>SUM(C73:J73)</f>
        <v>15182</v>
      </c>
      <c r="L73" s="575">
        <v>15182</v>
      </c>
      <c r="M73" s="608"/>
      <c r="N73" s="608"/>
    </row>
    <row r="74" spans="1:14" ht="12.75" customHeight="1" thickTop="1" thickBot="1" x14ac:dyDescent="0.25">
      <c r="A74" s="1662" t="s">
        <v>811</v>
      </c>
      <c r="B74" s="1670">
        <v>2000</v>
      </c>
      <c r="C74" s="1671">
        <f>SUM(C42,C47,C53,C57,C65,C72,C73)</f>
        <v>521193</v>
      </c>
      <c r="D74" s="1671">
        <f t="shared" ref="D74:K74" si="10">SUM(D42,D47,D53,D57,D65,D72,D73)</f>
        <v>114100</v>
      </c>
      <c r="E74" s="1671">
        <f t="shared" si="10"/>
        <v>69449</v>
      </c>
      <c r="F74" s="1671">
        <f t="shared" si="10"/>
        <v>100919</v>
      </c>
      <c r="G74" s="1671">
        <f t="shared" si="10"/>
        <v>9715</v>
      </c>
      <c r="H74" s="1671">
        <f t="shared" si="10"/>
        <v>3040</v>
      </c>
      <c r="I74" s="1671">
        <f t="shared" si="10"/>
        <v>0</v>
      </c>
      <c r="J74" s="1671">
        <f t="shared" si="10"/>
        <v>0</v>
      </c>
      <c r="K74" s="1671">
        <f t="shared" si="10"/>
        <v>818416</v>
      </c>
      <c r="L74" s="1671">
        <f>SUM(L42,L47,L53,L57,L65,L72,L73)</f>
        <v>817415</v>
      </c>
    </row>
    <row r="75" spans="1:14" s="259" customFormat="1" ht="15.75" customHeight="1" thickTop="1" thickBot="1" x14ac:dyDescent="0.25">
      <c r="A75" s="1608" t="s">
        <v>47</v>
      </c>
      <c r="B75" s="1609" t="s">
        <v>575</v>
      </c>
      <c r="C75" s="466">
        <v>0</v>
      </c>
      <c r="D75" s="466">
        <v>0</v>
      </c>
      <c r="E75" s="466">
        <v>0</v>
      </c>
      <c r="F75" s="466">
        <v>0</v>
      </c>
      <c r="G75" s="466">
        <v>0</v>
      </c>
      <c r="H75" s="466">
        <v>0</v>
      </c>
      <c r="I75" s="466">
        <v>0</v>
      </c>
      <c r="J75" s="466">
        <v>0</v>
      </c>
      <c r="K75" s="1664">
        <f>SUM(C75:J75)</f>
        <v>0</v>
      </c>
      <c r="L75" s="575"/>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row>
    <row r="79" spans="1:14" x14ac:dyDescent="0.2">
      <c r="A79" s="1502" t="s">
        <v>304</v>
      </c>
      <c r="B79" s="613">
        <v>4120</v>
      </c>
      <c r="C79" s="615"/>
      <c r="D79" s="615"/>
      <c r="E79" s="466">
        <v>91478</v>
      </c>
      <c r="F79" s="615"/>
      <c r="G79" s="615"/>
      <c r="H79" s="466">
        <v>0</v>
      </c>
      <c r="I79" s="477"/>
      <c r="J79" s="477"/>
      <c r="K79" s="1665">
        <f t="shared" si="11"/>
        <v>91478</v>
      </c>
      <c r="L79" s="466">
        <v>91478</v>
      </c>
    </row>
    <row r="80" spans="1:14" x14ac:dyDescent="0.2">
      <c r="A80" s="1502" t="s">
        <v>305</v>
      </c>
      <c r="B80" s="613">
        <v>4130</v>
      </c>
      <c r="C80" s="615"/>
      <c r="D80" s="615"/>
      <c r="E80" s="466">
        <v>0</v>
      </c>
      <c r="F80" s="615"/>
      <c r="G80" s="615"/>
      <c r="H80" s="466">
        <v>0</v>
      </c>
      <c r="I80" s="477"/>
      <c r="J80" s="477"/>
      <c r="K80" s="1665">
        <f t="shared" si="11"/>
        <v>0</v>
      </c>
      <c r="L80" s="466"/>
    </row>
    <row r="81" spans="1:12" x14ac:dyDescent="0.2">
      <c r="A81" s="1502" t="s">
        <v>697</v>
      </c>
      <c r="B81" s="613">
        <v>4140</v>
      </c>
      <c r="C81" s="615"/>
      <c r="D81" s="615"/>
      <c r="E81" s="466">
        <v>0</v>
      </c>
      <c r="F81" s="615"/>
      <c r="G81" s="615"/>
      <c r="H81" s="466">
        <v>570</v>
      </c>
      <c r="I81" s="477"/>
      <c r="J81" s="477"/>
      <c r="K81" s="1665">
        <f t="shared" si="11"/>
        <v>570</v>
      </c>
      <c r="L81" s="466">
        <v>570</v>
      </c>
    </row>
    <row r="82" spans="1:12" x14ac:dyDescent="0.2">
      <c r="A82" s="1502" t="s">
        <v>86</v>
      </c>
      <c r="B82" s="613">
        <v>4170</v>
      </c>
      <c r="C82" s="615"/>
      <c r="D82" s="615"/>
      <c r="E82" s="466">
        <v>0</v>
      </c>
      <c r="F82" s="615"/>
      <c r="G82" s="615"/>
      <c r="H82" s="466">
        <v>0</v>
      </c>
      <c r="I82" s="477"/>
      <c r="J82" s="477"/>
      <c r="K82" s="1665">
        <f t="shared" si="11"/>
        <v>0</v>
      </c>
      <c r="L82" s="466"/>
    </row>
    <row r="83" spans="1:12" x14ac:dyDescent="0.2">
      <c r="A83" s="1506" t="s">
        <v>698</v>
      </c>
      <c r="B83" s="627">
        <v>4190</v>
      </c>
      <c r="C83" s="615"/>
      <c r="D83" s="615"/>
      <c r="E83" s="466">
        <v>0</v>
      </c>
      <c r="F83" s="615"/>
      <c r="G83" s="615"/>
      <c r="H83" s="466">
        <v>0</v>
      </c>
      <c r="I83" s="477"/>
      <c r="J83" s="477"/>
      <c r="K83" s="1665">
        <f t="shared" si="11"/>
        <v>0</v>
      </c>
      <c r="L83" s="466"/>
    </row>
    <row r="84" spans="1:12" ht="13.5" thickBot="1" x14ac:dyDescent="0.25">
      <c r="A84" s="1662" t="s">
        <v>1485</v>
      </c>
      <c r="B84" s="1672">
        <v>4100</v>
      </c>
      <c r="C84" s="615"/>
      <c r="D84" s="615"/>
      <c r="E84" s="1664">
        <f>SUM(E78:E83)</f>
        <v>91478</v>
      </c>
      <c r="F84" s="615"/>
      <c r="G84" s="615"/>
      <c r="H84" s="1664">
        <f>SUM(H78:H83)</f>
        <v>570</v>
      </c>
      <c r="I84" s="477"/>
      <c r="J84" s="477"/>
      <c r="K84" s="1664">
        <f>SUM(K78:K83)</f>
        <v>92048</v>
      </c>
      <c r="L84" s="1664">
        <f>SUM(L78:L83)</f>
        <v>92048</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699</v>
      </c>
      <c r="B86" s="635">
        <v>4220</v>
      </c>
      <c r="C86" s="615"/>
      <c r="D86" s="615"/>
      <c r="E86" s="636"/>
      <c r="F86" s="615"/>
      <c r="G86" s="615"/>
      <c r="H86" s="466">
        <v>10314</v>
      </c>
      <c r="I86" s="477"/>
      <c r="J86" s="477"/>
      <c r="K86" s="1671">
        <f t="shared" ref="K86:K98" si="12">H86</f>
        <v>10314</v>
      </c>
      <c r="L86" s="530">
        <v>10314</v>
      </c>
    </row>
    <row r="87" spans="1:12" ht="14.25" thickTop="1" thickBot="1" x14ac:dyDescent="0.25">
      <c r="A87" s="1511" t="s">
        <v>700</v>
      </c>
      <c r="B87" s="637">
        <v>4230</v>
      </c>
      <c r="C87" s="615"/>
      <c r="D87" s="615"/>
      <c r="E87" s="636"/>
      <c r="F87" s="615"/>
      <c r="G87" s="615"/>
      <c r="H87" s="466">
        <v>0</v>
      </c>
      <c r="I87" s="477"/>
      <c r="J87" s="477"/>
      <c r="K87" s="1671">
        <f t="shared" si="12"/>
        <v>0</v>
      </c>
      <c r="L87" s="530"/>
    </row>
    <row r="88" spans="1:12" ht="12.75" customHeight="1" thickTop="1" thickBot="1" x14ac:dyDescent="0.25">
      <c r="A88" s="1511" t="s">
        <v>765</v>
      </c>
      <c r="B88" s="637">
        <v>4240</v>
      </c>
      <c r="C88" s="615"/>
      <c r="D88" s="615"/>
      <c r="E88" s="636"/>
      <c r="F88" s="615"/>
      <c r="G88" s="615"/>
      <c r="H88" s="466">
        <v>9100</v>
      </c>
      <c r="I88" s="477"/>
      <c r="J88" s="477"/>
      <c r="K88" s="1671">
        <f t="shared" si="12"/>
        <v>9100</v>
      </c>
      <c r="L88" s="530">
        <v>9100</v>
      </c>
    </row>
    <row r="89" spans="1:12" ht="12.75" customHeight="1" thickTop="1" thickBot="1" x14ac:dyDescent="0.25">
      <c r="A89" s="1511" t="s">
        <v>701</v>
      </c>
      <c r="B89" s="637">
        <v>4270</v>
      </c>
      <c r="C89" s="615"/>
      <c r="D89" s="615"/>
      <c r="E89" s="636"/>
      <c r="F89" s="615"/>
      <c r="G89" s="615"/>
      <c r="H89" s="466">
        <v>0</v>
      </c>
      <c r="I89" s="477"/>
      <c r="J89" s="477"/>
      <c r="K89" s="1671">
        <f t="shared" si="12"/>
        <v>0</v>
      </c>
      <c r="L89" s="530"/>
    </row>
    <row r="90" spans="1:12" ht="12.75" customHeight="1" thickTop="1" thickBot="1" x14ac:dyDescent="0.25">
      <c r="A90" s="1511" t="s">
        <v>686</v>
      </c>
      <c r="B90" s="637">
        <v>4280</v>
      </c>
      <c r="C90" s="615"/>
      <c r="D90" s="615"/>
      <c r="E90" s="636"/>
      <c r="F90" s="615"/>
      <c r="G90" s="615"/>
      <c r="H90" s="466">
        <v>0</v>
      </c>
      <c r="I90" s="477"/>
      <c r="J90" s="477"/>
      <c r="K90" s="1671">
        <f t="shared" si="12"/>
        <v>0</v>
      </c>
      <c r="L90" s="530"/>
    </row>
    <row r="91" spans="1:12" ht="12.75" customHeight="1" thickTop="1" thickBot="1" x14ac:dyDescent="0.25">
      <c r="A91" s="1511" t="s">
        <v>687</v>
      </c>
      <c r="B91" s="637">
        <v>4290</v>
      </c>
      <c r="C91" s="615"/>
      <c r="D91" s="615"/>
      <c r="E91" s="636"/>
      <c r="F91" s="615"/>
      <c r="G91" s="615"/>
      <c r="H91" s="466">
        <v>0</v>
      </c>
      <c r="I91" s="477"/>
      <c r="J91" s="477"/>
      <c r="K91" s="1671">
        <f t="shared" si="12"/>
        <v>0</v>
      </c>
      <c r="L91" s="530"/>
    </row>
    <row r="92" spans="1:12" ht="14.25" thickTop="1" thickBot="1" x14ac:dyDescent="0.25">
      <c r="A92" s="1674" t="s">
        <v>1560</v>
      </c>
      <c r="B92" s="1672">
        <v>4200</v>
      </c>
      <c r="C92" s="615"/>
      <c r="D92" s="615"/>
      <c r="E92" s="636"/>
      <c r="F92" s="615"/>
      <c r="G92" s="615"/>
      <c r="H92" s="1664">
        <f>SUM(H85:H91)</f>
        <v>19414</v>
      </c>
      <c r="I92" s="477"/>
      <c r="J92" s="477"/>
      <c r="K92" s="1671">
        <f t="shared" si="12"/>
        <v>19414</v>
      </c>
      <c r="L92" s="1664">
        <f>SUM(L85:L91)</f>
        <v>19414</v>
      </c>
    </row>
    <row r="93" spans="1:12" ht="14.25" thickTop="1" thickBot="1" x14ac:dyDescent="0.25">
      <c r="A93" s="1510" t="s">
        <v>688</v>
      </c>
      <c r="B93" s="638">
        <v>4310</v>
      </c>
      <c r="C93" s="615"/>
      <c r="D93" s="615"/>
      <c r="E93" s="636"/>
      <c r="F93" s="615"/>
      <c r="G93" s="615"/>
      <c r="H93" s="466">
        <v>0</v>
      </c>
      <c r="I93" s="477"/>
      <c r="J93" s="477"/>
      <c r="K93" s="1671">
        <f t="shared" si="12"/>
        <v>0</v>
      </c>
      <c r="L93" s="532"/>
    </row>
    <row r="94" spans="1:12" ht="12.75" customHeight="1" thickTop="1" thickBot="1" x14ac:dyDescent="0.25">
      <c r="A94" s="1511" t="s">
        <v>689</v>
      </c>
      <c r="B94" s="637">
        <v>4320</v>
      </c>
      <c r="C94" s="615"/>
      <c r="D94" s="615"/>
      <c r="E94" s="636"/>
      <c r="F94" s="615"/>
      <c r="G94" s="615"/>
      <c r="H94" s="466">
        <v>0</v>
      </c>
      <c r="I94" s="477"/>
      <c r="J94" s="477"/>
      <c r="K94" s="1671">
        <f t="shared" si="12"/>
        <v>0</v>
      </c>
      <c r="L94" s="530"/>
    </row>
    <row r="95" spans="1:12" ht="15" customHeight="1" thickTop="1" thickBot="1" x14ac:dyDescent="0.25">
      <c r="A95" s="1511" t="s">
        <v>1488</v>
      </c>
      <c r="B95" s="637">
        <v>4330</v>
      </c>
      <c r="C95" s="615"/>
      <c r="D95" s="615"/>
      <c r="E95" s="636"/>
      <c r="F95" s="615"/>
      <c r="G95" s="615"/>
      <c r="H95" s="466">
        <v>0</v>
      </c>
      <c r="I95" s="477"/>
      <c r="J95" s="477"/>
      <c r="K95" s="1671">
        <f t="shared" si="12"/>
        <v>0</v>
      </c>
      <c r="L95" s="530"/>
    </row>
    <row r="96" spans="1:12" ht="14.25" thickTop="1" thickBot="1" x14ac:dyDescent="0.25">
      <c r="A96" s="1511" t="s">
        <v>690</v>
      </c>
      <c r="B96" s="637">
        <v>4340</v>
      </c>
      <c r="C96" s="615"/>
      <c r="D96" s="615"/>
      <c r="E96" s="636"/>
      <c r="F96" s="615"/>
      <c r="G96" s="615"/>
      <c r="H96" s="466">
        <v>0</v>
      </c>
      <c r="I96" s="477"/>
      <c r="J96" s="477"/>
      <c r="K96" s="1671">
        <f t="shared" si="12"/>
        <v>0</v>
      </c>
      <c r="L96" s="530"/>
    </row>
    <row r="97" spans="1:14" ht="12.75" customHeight="1" thickTop="1" thickBot="1" x14ac:dyDescent="0.25">
      <c r="A97" s="1511" t="s">
        <v>763</v>
      </c>
      <c r="B97" s="637">
        <v>4370</v>
      </c>
      <c r="C97" s="615"/>
      <c r="D97" s="615"/>
      <c r="E97" s="636"/>
      <c r="F97" s="615"/>
      <c r="G97" s="615"/>
      <c r="H97" s="466">
        <v>0</v>
      </c>
      <c r="I97" s="477"/>
      <c r="J97" s="477"/>
      <c r="K97" s="1671">
        <f t="shared" si="12"/>
        <v>0</v>
      </c>
      <c r="L97" s="530"/>
    </row>
    <row r="98" spans="1:14" ht="14.25" thickTop="1" thickBot="1" x14ac:dyDescent="0.25">
      <c r="A98" s="1511" t="s">
        <v>764</v>
      </c>
      <c r="B98" s="637">
        <v>4380</v>
      </c>
      <c r="C98" s="615"/>
      <c r="D98" s="615"/>
      <c r="E98" s="640"/>
      <c r="F98" s="615"/>
      <c r="G98" s="615"/>
      <c r="H98" s="466">
        <v>0</v>
      </c>
      <c r="I98" s="477"/>
      <c r="J98" s="477"/>
      <c r="K98" s="1671">
        <f t="shared" si="12"/>
        <v>0</v>
      </c>
      <c r="L98" s="530"/>
    </row>
    <row r="99" spans="1:14" ht="14.25" thickTop="1" thickBot="1" x14ac:dyDescent="0.25">
      <c r="A99" s="1511" t="s">
        <v>367</v>
      </c>
      <c r="B99" s="637">
        <v>4390</v>
      </c>
      <c r="C99" s="615"/>
      <c r="D99" s="615"/>
      <c r="E99" s="466">
        <v>0</v>
      </c>
      <c r="F99" s="615"/>
      <c r="G99" s="615"/>
      <c r="H99" s="466">
        <v>0</v>
      </c>
      <c r="I99" s="477"/>
      <c r="J99" s="477"/>
      <c r="K99" s="1671">
        <f>SUM(E99,H99)</f>
        <v>0</v>
      </c>
      <c r="L99" s="530"/>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row>
    <row r="102" spans="1:14" ht="12.75" customHeight="1" thickTop="1" thickBot="1" x14ac:dyDescent="0.25">
      <c r="A102" s="1662" t="s">
        <v>1487</v>
      </c>
      <c r="B102" s="1672">
        <v>4000</v>
      </c>
      <c r="C102" s="615"/>
      <c r="D102" s="615"/>
      <c r="E102" s="1671">
        <f>SUM(E84,E92,E100,E101)</f>
        <v>91478</v>
      </c>
      <c r="F102" s="615"/>
      <c r="G102" s="615"/>
      <c r="H102" s="1671">
        <f>SUM(H84,H92,H100,H101)</f>
        <v>19984</v>
      </c>
      <c r="I102" s="477"/>
      <c r="J102" s="477"/>
      <c r="K102" s="1671">
        <f>SUM(K84,K92,K100,K101)</f>
        <v>111462</v>
      </c>
      <c r="L102" s="1671">
        <f>SUM(L84,L92,L100,L101)</f>
        <v>111462</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2" t="s">
        <v>48</v>
      </c>
      <c r="B114" s="1676"/>
      <c r="C114" s="1664">
        <f>SUM(C33,C74,C75,C102,C112,C113)</f>
        <v>3131809</v>
      </c>
      <c r="D114" s="1664">
        <f t="shared" ref="D114:K114" si="13">SUM(D33,D74,D75,D102,D112,D113)</f>
        <v>693629</v>
      </c>
      <c r="E114" s="1664">
        <f t="shared" si="13"/>
        <v>203518</v>
      </c>
      <c r="F114" s="1664">
        <f t="shared" si="13"/>
        <v>190064</v>
      </c>
      <c r="G114" s="1664">
        <f t="shared" si="13"/>
        <v>15268</v>
      </c>
      <c r="H114" s="1664">
        <f>SUM(H33,H74,H75,H102,H112,H113)</f>
        <v>278137</v>
      </c>
      <c r="I114" s="1664">
        <f t="shared" si="13"/>
        <v>0</v>
      </c>
      <c r="J114" s="1664">
        <f t="shared" si="13"/>
        <v>0</v>
      </c>
      <c r="K114" s="1664">
        <f t="shared" si="13"/>
        <v>4512425</v>
      </c>
      <c r="L114" s="1664">
        <f>SUM(L33,L74,L75,L102,L112,L113)</f>
        <v>4506795</v>
      </c>
    </row>
    <row r="115" spans="1:14" ht="13.5" thickTop="1" x14ac:dyDescent="0.2">
      <c r="A115" s="2191" t="s">
        <v>996</v>
      </c>
      <c r="B115" s="2192"/>
      <c r="C115" s="617"/>
      <c r="D115" s="617"/>
      <c r="E115" s="617"/>
      <c r="F115" s="617"/>
      <c r="G115" s="617"/>
      <c r="H115" s="617"/>
      <c r="I115" s="617"/>
      <c r="J115" s="617"/>
      <c r="K115" s="1678">
        <f>'Revenues 9-14'!C268-'Expenditures 15-22'!K114</f>
        <v>495252</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9" t="s">
        <v>296</v>
      </c>
      <c r="B117" s="2170"/>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row>
    <row r="124" spans="1:14" ht="14.25" thickTop="1" thickBot="1" x14ac:dyDescent="0.25">
      <c r="A124" s="1502" t="s">
        <v>197</v>
      </c>
      <c r="B124" s="613">
        <v>2540</v>
      </c>
      <c r="C124" s="466">
        <v>153520</v>
      </c>
      <c r="D124" s="466">
        <v>25657</v>
      </c>
      <c r="E124" s="466">
        <v>232505</v>
      </c>
      <c r="F124" s="466">
        <v>44566</v>
      </c>
      <c r="G124" s="466">
        <v>76903</v>
      </c>
      <c r="H124" s="466">
        <v>0</v>
      </c>
      <c r="I124" s="466">
        <v>0</v>
      </c>
      <c r="J124" s="466">
        <v>0</v>
      </c>
      <c r="K124" s="1664">
        <f>SUM(C124:J124)</f>
        <v>533151</v>
      </c>
      <c r="L124" s="466">
        <v>519792</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0</v>
      </c>
      <c r="H126" s="652"/>
      <c r="I126" s="466">
        <v>0</v>
      </c>
      <c r="J126" s="615"/>
      <c r="K126" s="1664">
        <f>SUM(C126:J126)</f>
        <v>0</v>
      </c>
      <c r="L126" s="466"/>
    </row>
    <row r="127" spans="1:14" ht="12.75" customHeight="1" thickTop="1" thickBot="1" x14ac:dyDescent="0.25">
      <c r="A127" s="1662" t="s">
        <v>719</v>
      </c>
      <c r="B127" s="1663" t="s">
        <v>35</v>
      </c>
      <c r="C127" s="1664">
        <f>SUM(C122:C126)</f>
        <v>153520</v>
      </c>
      <c r="D127" s="1664">
        <f t="shared" ref="D127:L127" si="14">SUM(D122:D126)</f>
        <v>25657</v>
      </c>
      <c r="E127" s="1664">
        <f t="shared" si="14"/>
        <v>232505</v>
      </c>
      <c r="F127" s="1664">
        <f t="shared" si="14"/>
        <v>44566</v>
      </c>
      <c r="G127" s="1664">
        <f t="shared" si="14"/>
        <v>76903</v>
      </c>
      <c r="H127" s="1664">
        <f t="shared" si="14"/>
        <v>0</v>
      </c>
      <c r="I127" s="1664">
        <f t="shared" si="14"/>
        <v>0</v>
      </c>
      <c r="J127" s="1664">
        <f t="shared" si="14"/>
        <v>0</v>
      </c>
      <c r="K127" s="1664">
        <f t="shared" si="14"/>
        <v>533151</v>
      </c>
      <c r="L127" s="1664">
        <f t="shared" si="14"/>
        <v>519792</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811</v>
      </c>
      <c r="B129" s="1681" t="s">
        <v>569</v>
      </c>
      <c r="C129" s="1671">
        <f>SUM(C120,C127,C128)</f>
        <v>153520</v>
      </c>
      <c r="D129" s="1671">
        <f t="shared" ref="D129:L129" si="15">SUM(D120,D127,D128)</f>
        <v>25657</v>
      </c>
      <c r="E129" s="1671">
        <f t="shared" si="15"/>
        <v>232505</v>
      </c>
      <c r="F129" s="1671">
        <f t="shared" si="15"/>
        <v>44566</v>
      </c>
      <c r="G129" s="1671">
        <f t="shared" si="15"/>
        <v>76903</v>
      </c>
      <c r="H129" s="1671">
        <f t="shared" si="15"/>
        <v>0</v>
      </c>
      <c r="I129" s="1671">
        <f t="shared" si="15"/>
        <v>0</v>
      </c>
      <c r="J129" s="1671">
        <f t="shared" si="15"/>
        <v>0</v>
      </c>
      <c r="K129" s="1671">
        <f t="shared" si="15"/>
        <v>533151</v>
      </c>
      <c r="L129" s="1671">
        <f t="shared" si="15"/>
        <v>519792</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c r="M133" s="206"/>
      <c r="N133" s="206"/>
    </row>
    <row r="134" spans="1:14" x14ac:dyDescent="0.2">
      <c r="A134" s="1502" t="s">
        <v>304</v>
      </c>
      <c r="B134" s="613">
        <v>4120</v>
      </c>
      <c r="C134" s="615"/>
      <c r="D134" s="615"/>
      <c r="E134" s="466">
        <v>0</v>
      </c>
      <c r="F134" s="615"/>
      <c r="G134" s="615"/>
      <c r="H134" s="466">
        <v>0</v>
      </c>
      <c r="I134" s="477"/>
      <c r="J134" s="615"/>
      <c r="K134" s="1666">
        <f>SUM(E134,H134)</f>
        <v>0</v>
      </c>
      <c r="L134" s="568"/>
    </row>
    <row r="135" spans="1:14" x14ac:dyDescent="0.2">
      <c r="A135" s="1502" t="s">
        <v>697</v>
      </c>
      <c r="B135" s="613">
        <v>4140</v>
      </c>
      <c r="C135" s="615"/>
      <c r="D135" s="615"/>
      <c r="E135" s="466">
        <v>0</v>
      </c>
      <c r="F135" s="615"/>
      <c r="G135" s="615"/>
      <c r="H135" s="466">
        <v>0</v>
      </c>
      <c r="I135" s="477"/>
      <c r="J135" s="615"/>
      <c r="K135" s="1666">
        <f>SUM(E135,H135)</f>
        <v>0</v>
      </c>
      <c r="L135" s="466"/>
    </row>
    <row r="136" spans="1:14" x14ac:dyDescent="0.2">
      <c r="A136" s="1506" t="s">
        <v>698</v>
      </c>
      <c r="B136" s="627">
        <v>4190</v>
      </c>
      <c r="C136" s="615"/>
      <c r="D136" s="615"/>
      <c r="E136" s="466">
        <v>0</v>
      </c>
      <c r="F136" s="615"/>
      <c r="G136" s="615"/>
      <c r="H136" s="466">
        <v>0</v>
      </c>
      <c r="I136" s="477"/>
      <c r="J136" s="615"/>
      <c r="K136" s="1666">
        <f>SUM(E136,H136)</f>
        <v>0</v>
      </c>
      <c r="L136" s="466"/>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1170</v>
      </c>
      <c r="B144" s="627" t="s">
        <v>617</v>
      </c>
      <c r="C144" s="615"/>
      <c r="D144" s="615"/>
      <c r="E144" s="615"/>
      <c r="F144" s="615"/>
      <c r="G144" s="615"/>
      <c r="H144" s="466">
        <v>0</v>
      </c>
      <c r="I144" s="468"/>
      <c r="J144" s="615"/>
      <c r="K144" s="1666">
        <f>SUM(H144)</f>
        <v>0</v>
      </c>
      <c r="L144" s="466"/>
    </row>
    <row r="145" spans="1:14" x14ac:dyDescent="0.2">
      <c r="A145" s="1502" t="s">
        <v>89</v>
      </c>
      <c r="B145" s="613" t="s">
        <v>589</v>
      </c>
      <c r="C145" s="615"/>
      <c r="D145" s="615"/>
      <c r="E145" s="615"/>
      <c r="F145" s="615"/>
      <c r="G145" s="615"/>
      <c r="H145" s="466">
        <v>0</v>
      </c>
      <c r="I145" s="468"/>
      <c r="J145" s="615"/>
      <c r="K145" s="1666">
        <f>SUM(H145)</f>
        <v>0</v>
      </c>
      <c r="L145" s="466"/>
    </row>
    <row r="146" spans="1:14" ht="12.75" customHeight="1" x14ac:dyDescent="0.2">
      <c r="A146" s="1502" t="s">
        <v>619</v>
      </c>
      <c r="B146" s="613" t="s">
        <v>618</v>
      </c>
      <c r="C146" s="615"/>
      <c r="D146" s="615"/>
      <c r="E146" s="615"/>
      <c r="F146" s="615"/>
      <c r="G146" s="615"/>
      <c r="H146" s="466">
        <v>0</v>
      </c>
      <c r="I146" s="468"/>
      <c r="J146" s="615"/>
      <c r="K146" s="1666">
        <f>SUM(H146)</f>
        <v>0</v>
      </c>
      <c r="L146" s="466"/>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row>
    <row r="151" spans="1:14" ht="12.75" customHeight="1" thickTop="1" thickBot="1" x14ac:dyDescent="0.25">
      <c r="A151" s="2181" t="s">
        <v>620</v>
      </c>
      <c r="B151" s="2163"/>
      <c r="C151" s="1664">
        <f>SUM(C129,C130,C139,C149,C150)</f>
        <v>153520</v>
      </c>
      <c r="D151" s="1664">
        <f t="shared" ref="D151:K151" si="16">SUM(D129,D130,D139,D149,D150)</f>
        <v>25657</v>
      </c>
      <c r="E151" s="1664">
        <f t="shared" si="16"/>
        <v>232505</v>
      </c>
      <c r="F151" s="1664">
        <f t="shared" si="16"/>
        <v>44566</v>
      </c>
      <c r="G151" s="1664">
        <f t="shared" si="16"/>
        <v>76903</v>
      </c>
      <c r="H151" s="1664">
        <f t="shared" si="16"/>
        <v>0</v>
      </c>
      <c r="I151" s="1664">
        <f t="shared" si="16"/>
        <v>0</v>
      </c>
      <c r="J151" s="1664">
        <f t="shared" si="16"/>
        <v>0</v>
      </c>
      <c r="K151" s="1664">
        <f t="shared" si="16"/>
        <v>533151</v>
      </c>
      <c r="L151" s="1664">
        <f>SUM(L129,L130,L139,L149,L150)</f>
        <v>519792</v>
      </c>
    </row>
    <row r="152" spans="1:14" ht="12.75" customHeight="1" thickTop="1" x14ac:dyDescent="0.2">
      <c r="A152" s="2184" t="s">
        <v>1178</v>
      </c>
      <c r="B152" s="2185"/>
      <c r="C152" s="617"/>
      <c r="D152" s="617"/>
      <c r="E152" s="617"/>
      <c r="F152" s="617"/>
      <c r="G152" s="617"/>
      <c r="H152" s="617"/>
      <c r="I152" s="617"/>
      <c r="J152" s="615"/>
      <c r="K152" s="1678">
        <f>'Revenues 9-14'!D268-'Expenditures 15-22'!K151</f>
        <v>36587</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9" t="s">
        <v>621</v>
      </c>
      <c r="B154" s="2171"/>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1170</v>
      </c>
      <c r="B165" s="613" t="s">
        <v>617</v>
      </c>
      <c r="C165" s="615"/>
      <c r="D165" s="615"/>
      <c r="E165" s="615"/>
      <c r="F165" s="615"/>
      <c r="G165" s="615"/>
      <c r="H165" s="466">
        <v>0</v>
      </c>
      <c r="I165" s="615"/>
      <c r="J165" s="615"/>
      <c r="K165" s="1665">
        <f>SUM(C165:J165)</f>
        <v>0</v>
      </c>
      <c r="L165" s="466"/>
    </row>
    <row r="166" spans="1:14" x14ac:dyDescent="0.2">
      <c r="A166" s="1502" t="s">
        <v>89</v>
      </c>
      <c r="B166" s="627" t="s">
        <v>589</v>
      </c>
      <c r="C166" s="615"/>
      <c r="D166" s="615"/>
      <c r="E166" s="615"/>
      <c r="F166" s="615"/>
      <c r="G166" s="615"/>
      <c r="H166" s="466">
        <v>0</v>
      </c>
      <c r="I166" s="615"/>
      <c r="J166" s="615"/>
      <c r="K166" s="1665">
        <f>SUM(C166:J166)</f>
        <v>0</v>
      </c>
      <c r="L166" s="466"/>
    </row>
    <row r="167" spans="1:14" ht="12.75" customHeight="1" x14ac:dyDescent="0.2">
      <c r="A167" s="1502" t="s">
        <v>619</v>
      </c>
      <c r="B167" s="613" t="s">
        <v>618</v>
      </c>
      <c r="C167" s="615"/>
      <c r="D167" s="615"/>
      <c r="E167" s="615"/>
      <c r="F167" s="615"/>
      <c r="G167" s="615"/>
      <c r="H167" s="466">
        <v>0</v>
      </c>
      <c r="I167" s="615"/>
      <c r="J167" s="615"/>
      <c r="K167" s="1665">
        <f>SUM(C167:J167)</f>
        <v>0</v>
      </c>
      <c r="L167" s="466"/>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0</v>
      </c>
    </row>
    <row r="169" spans="1:14" ht="15.75" customHeight="1" thickTop="1" x14ac:dyDescent="0.2">
      <c r="A169" s="667" t="s">
        <v>83</v>
      </c>
      <c r="B169" s="668" t="s">
        <v>38</v>
      </c>
      <c r="C169" s="615"/>
      <c r="D169" s="615"/>
      <c r="E169" s="615"/>
      <c r="F169" s="615"/>
      <c r="G169" s="615"/>
      <c r="H169" s="654">
        <v>190269</v>
      </c>
      <c r="I169" s="615"/>
      <c r="J169" s="615"/>
      <c r="K169" s="1665">
        <f>SUM(C169:H169)</f>
        <v>190269</v>
      </c>
      <c r="L169" s="654">
        <v>188108</v>
      </c>
    </row>
    <row r="170" spans="1:14" ht="33.75" customHeight="1" x14ac:dyDescent="0.2">
      <c r="A170" s="667" t="s">
        <v>1670</v>
      </c>
      <c r="B170" s="669" t="s">
        <v>31</v>
      </c>
      <c r="C170" s="615"/>
      <c r="D170" s="615"/>
      <c r="E170" s="615"/>
      <c r="F170" s="615"/>
      <c r="G170" s="615"/>
      <c r="H170" s="568">
        <v>1202523</v>
      </c>
      <c r="I170" s="615"/>
      <c r="J170" s="615"/>
      <c r="K170" s="1665">
        <f>SUM(C170:J170)</f>
        <v>1202523</v>
      </c>
      <c r="L170" s="568">
        <v>1195000</v>
      </c>
    </row>
    <row r="171" spans="1:14" ht="15.75" customHeight="1" x14ac:dyDescent="0.2">
      <c r="A171" s="620" t="s">
        <v>766</v>
      </c>
      <c r="B171" s="670" t="s">
        <v>84</v>
      </c>
      <c r="C171" s="615"/>
      <c r="D171" s="615"/>
      <c r="E171" s="466">
        <v>16556</v>
      </c>
      <c r="F171" s="615"/>
      <c r="G171" s="615"/>
      <c r="H171" s="568">
        <v>0</v>
      </c>
      <c r="I171" s="477"/>
      <c r="J171" s="615"/>
      <c r="K171" s="1665">
        <f>SUM(C171:J171)</f>
        <v>16556</v>
      </c>
      <c r="L171" s="568">
        <v>16556</v>
      </c>
    </row>
    <row r="172" spans="1:14" ht="12.75" customHeight="1" thickBot="1" x14ac:dyDescent="0.25">
      <c r="A172" s="1662" t="s">
        <v>638</v>
      </c>
      <c r="B172" s="1663" t="s">
        <v>492</v>
      </c>
      <c r="C172" s="615"/>
      <c r="D172" s="615"/>
      <c r="E172" s="1671">
        <f>SUM(E168,E169,E170,E171)</f>
        <v>16556</v>
      </c>
      <c r="F172" s="615"/>
      <c r="G172" s="615"/>
      <c r="H172" s="1671">
        <f>SUM(H168,H169,H170,H171)</f>
        <v>1392792</v>
      </c>
      <c r="I172" s="636"/>
      <c r="J172" s="615"/>
      <c r="K172" s="1671">
        <f>SUM(K168,K169,K170,K171)</f>
        <v>1409348</v>
      </c>
      <c r="L172" s="1671">
        <f>SUM(L168,L169,L170,L171)</f>
        <v>1399664</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16556</v>
      </c>
      <c r="F174" s="615"/>
      <c r="G174" s="615"/>
      <c r="H174" s="1671">
        <f>SUM(H160,H172,H173)</f>
        <v>1392792</v>
      </c>
      <c r="I174" s="636"/>
      <c r="J174" s="615"/>
      <c r="K174" s="1671">
        <f>SUM(K160,K172,K173)</f>
        <v>1409348</v>
      </c>
      <c r="L174" s="1671">
        <f>SUM(L160,L172,L173)</f>
        <v>1399664</v>
      </c>
    </row>
    <row r="175" spans="1:14" ht="13.5" thickTop="1" x14ac:dyDescent="0.2">
      <c r="A175" s="2191" t="s">
        <v>996</v>
      </c>
      <c r="B175" s="2192"/>
      <c r="C175" s="615"/>
      <c r="D175" s="615"/>
      <c r="E175" s="615"/>
      <c r="F175" s="615"/>
      <c r="G175" s="615"/>
      <c r="H175" s="617"/>
      <c r="I175" s="615"/>
      <c r="J175" s="615"/>
      <c r="K175" s="1678">
        <f>'Revenues 9-14'!E268-'Expenditures 15-22'!K174</f>
        <v>-718194</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111920</v>
      </c>
      <c r="D182" s="466">
        <v>6608</v>
      </c>
      <c r="E182" s="466">
        <v>67481</v>
      </c>
      <c r="F182" s="466">
        <v>24032</v>
      </c>
      <c r="G182" s="466">
        <v>0</v>
      </c>
      <c r="H182" s="466">
        <v>0</v>
      </c>
      <c r="I182" s="466">
        <v>0</v>
      </c>
      <c r="J182" s="466">
        <v>0</v>
      </c>
      <c r="K182" s="1665">
        <f>SUM(C182:J182)</f>
        <v>210041</v>
      </c>
      <c r="L182" s="466">
        <v>210041</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811</v>
      </c>
      <c r="B184" s="1663" t="s">
        <v>569</v>
      </c>
      <c r="C184" s="1671">
        <f>SUM(C180,C182,C183)</f>
        <v>111920</v>
      </c>
      <c r="D184" s="1671">
        <f t="shared" ref="D184:J184" si="17">SUM(D180,D182,D183)</f>
        <v>6608</v>
      </c>
      <c r="E184" s="1671">
        <f t="shared" si="17"/>
        <v>67481</v>
      </c>
      <c r="F184" s="1671">
        <f t="shared" si="17"/>
        <v>24032</v>
      </c>
      <c r="G184" s="1671">
        <f t="shared" si="17"/>
        <v>0</v>
      </c>
      <c r="H184" s="1671">
        <f t="shared" si="17"/>
        <v>0</v>
      </c>
      <c r="I184" s="1671">
        <f t="shared" si="17"/>
        <v>0</v>
      </c>
      <c r="J184" s="1671">
        <f t="shared" si="17"/>
        <v>0</v>
      </c>
      <c r="K184" s="1671">
        <f>SUM(K180,K182,K183)</f>
        <v>210041</v>
      </c>
      <c r="L184" s="1671">
        <f>SUM(L180, L182:L183)</f>
        <v>210041</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row>
    <row r="189" spans="1:14" x14ac:dyDescent="0.2">
      <c r="A189" s="1502" t="s">
        <v>304</v>
      </c>
      <c r="B189" s="613">
        <v>4120</v>
      </c>
      <c r="C189" s="615"/>
      <c r="D189" s="615"/>
      <c r="E189" s="466">
        <v>0</v>
      </c>
      <c r="F189" s="615"/>
      <c r="G189" s="615"/>
      <c r="H189" s="466">
        <v>0</v>
      </c>
      <c r="I189" s="477"/>
      <c r="J189" s="615"/>
      <c r="K189" s="1665">
        <f t="shared" si="18"/>
        <v>0</v>
      </c>
      <c r="L189" s="466"/>
    </row>
    <row r="190" spans="1:14" x14ac:dyDescent="0.2">
      <c r="A190" s="1502" t="s">
        <v>305</v>
      </c>
      <c r="B190" s="627">
        <v>4130</v>
      </c>
      <c r="C190" s="615"/>
      <c r="D190" s="615"/>
      <c r="E190" s="466">
        <v>0</v>
      </c>
      <c r="F190" s="615"/>
      <c r="G190" s="615"/>
      <c r="H190" s="466">
        <v>0</v>
      </c>
      <c r="I190" s="477"/>
      <c r="J190" s="615"/>
      <c r="K190" s="1665">
        <f t="shared" si="18"/>
        <v>0</v>
      </c>
      <c r="L190" s="466"/>
    </row>
    <row r="191" spans="1:14" x14ac:dyDescent="0.2">
      <c r="A191" s="1502" t="s">
        <v>697</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698</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1170</v>
      </c>
      <c r="B201" s="627" t="s">
        <v>617</v>
      </c>
      <c r="C201" s="615"/>
      <c r="D201" s="615"/>
      <c r="E201" s="615"/>
      <c r="F201" s="615"/>
      <c r="G201" s="615"/>
      <c r="H201" s="466">
        <v>0</v>
      </c>
      <c r="I201" s="615"/>
      <c r="J201" s="615"/>
      <c r="K201" s="1665">
        <f>SUM(H201)</f>
        <v>0</v>
      </c>
      <c r="L201" s="466"/>
    </row>
    <row r="202" spans="1:14" x14ac:dyDescent="0.2">
      <c r="A202" s="1502" t="s">
        <v>89</v>
      </c>
      <c r="B202" s="613" t="s">
        <v>589</v>
      </c>
      <c r="C202" s="615"/>
      <c r="D202" s="615"/>
      <c r="E202" s="615"/>
      <c r="F202" s="615"/>
      <c r="G202" s="615"/>
      <c r="H202" s="466">
        <v>0</v>
      </c>
      <c r="I202" s="615"/>
      <c r="J202" s="615"/>
      <c r="K202" s="1665">
        <f>SUM(H202)</f>
        <v>0</v>
      </c>
      <c r="L202" s="466"/>
    </row>
    <row r="203" spans="1:14" x14ac:dyDescent="0.2">
      <c r="A203" s="1514" t="s">
        <v>619</v>
      </c>
      <c r="B203" s="613" t="s">
        <v>618</v>
      </c>
      <c r="C203" s="615"/>
      <c r="D203" s="615"/>
      <c r="E203" s="615"/>
      <c r="F203" s="615"/>
      <c r="G203" s="615"/>
      <c r="H203" s="471">
        <v>0</v>
      </c>
      <c r="I203" s="615"/>
      <c r="J203" s="615"/>
      <c r="K203" s="1665">
        <f>SUM(H203)</f>
        <v>0</v>
      </c>
      <c r="L203" s="471"/>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row>
    <row r="206" spans="1:14" ht="30" customHeight="1" x14ac:dyDescent="0.2">
      <c r="A206" s="679" t="s">
        <v>1671</v>
      </c>
      <c r="B206" s="670" t="s">
        <v>31</v>
      </c>
      <c r="C206" s="615"/>
      <c r="D206" s="615"/>
      <c r="E206" s="615"/>
      <c r="F206" s="615"/>
      <c r="G206" s="615"/>
      <c r="H206" s="471">
        <v>0</v>
      </c>
      <c r="I206" s="615"/>
      <c r="J206" s="615"/>
      <c r="K206" s="1665">
        <f>SUM(H206)</f>
        <v>0</v>
      </c>
      <c r="L206" s="466"/>
    </row>
    <row r="207" spans="1:14" ht="15.75" customHeight="1" x14ac:dyDescent="0.2">
      <c r="A207" s="620" t="s">
        <v>766</v>
      </c>
      <c r="B207" s="670" t="s">
        <v>84</v>
      </c>
      <c r="C207" s="615"/>
      <c r="D207" s="615"/>
      <c r="E207" s="615"/>
      <c r="F207" s="615"/>
      <c r="G207" s="615"/>
      <c r="H207" s="471">
        <v>0</v>
      </c>
      <c r="I207" s="615"/>
      <c r="J207" s="615"/>
      <c r="K207" s="1665">
        <f>H207</f>
        <v>0</v>
      </c>
      <c r="L207" s="466"/>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6" t="s">
        <v>277</v>
      </c>
      <c r="B210" s="1687"/>
      <c r="C210" s="1664">
        <f>SUM(C184,C185)</f>
        <v>111920</v>
      </c>
      <c r="D210" s="1664">
        <f>SUM(D184,D185)</f>
        <v>6608</v>
      </c>
      <c r="E210" s="1664">
        <f>SUM(E184,E185,E196)</f>
        <v>67481</v>
      </c>
      <c r="F210" s="1664">
        <f>SUM(F184,F185)</f>
        <v>24032</v>
      </c>
      <c r="G210" s="1664">
        <f>SUM(G184,G185)</f>
        <v>0</v>
      </c>
      <c r="H210" s="1664">
        <f>SUM(H184,H185,H196,H208,H209)</f>
        <v>0</v>
      </c>
      <c r="I210" s="1664">
        <f>SUM(I184,I185)</f>
        <v>0</v>
      </c>
      <c r="J210" s="1664">
        <f>SUM(J184,J185)</f>
        <v>0</v>
      </c>
      <c r="K210" s="1665">
        <f>SUM(K184,K185,K196,K208,K209)</f>
        <v>210041</v>
      </c>
      <c r="L210" s="1664">
        <f>SUM(L184,L185,L196,L208,L209)</f>
        <v>210041</v>
      </c>
    </row>
    <row r="211" spans="1:14" ht="13.5" thickTop="1" x14ac:dyDescent="0.2">
      <c r="A211" s="2191" t="s">
        <v>996</v>
      </c>
      <c r="B211" s="2192"/>
      <c r="C211" s="617"/>
      <c r="D211" s="617"/>
      <c r="E211" s="617"/>
      <c r="F211" s="617"/>
      <c r="G211" s="617"/>
      <c r="H211" s="617"/>
      <c r="I211" s="615"/>
      <c r="J211" s="615"/>
      <c r="K211" s="1678">
        <f>'Revenues 9-14'!F268-'Expenditures 15-22'!K210</f>
        <v>25372</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6" t="s">
        <v>965</v>
      </c>
      <c r="B213" s="2187"/>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22891</v>
      </c>
      <c r="E215" s="615"/>
      <c r="F215" s="615"/>
      <c r="G215" s="615"/>
      <c r="H215" s="615"/>
      <c r="I215" s="615"/>
      <c r="J215" s="615"/>
      <c r="K215" s="1665">
        <f>D215</f>
        <v>22891</v>
      </c>
      <c r="L215" s="466">
        <v>15069</v>
      </c>
    </row>
    <row r="216" spans="1:14" x14ac:dyDescent="0.2">
      <c r="A216" s="1502" t="s">
        <v>163</v>
      </c>
      <c r="B216" s="613" t="s">
        <v>967</v>
      </c>
      <c r="C216" s="615"/>
      <c r="D216" s="467">
        <v>901</v>
      </c>
      <c r="E216" s="615"/>
      <c r="F216" s="615"/>
      <c r="G216" s="615"/>
      <c r="H216" s="615"/>
      <c r="I216" s="615"/>
      <c r="J216" s="615"/>
      <c r="K216" s="1665">
        <f t="shared" ref="K216:K228" si="19">D216</f>
        <v>901</v>
      </c>
      <c r="L216" s="466">
        <v>8723</v>
      </c>
    </row>
    <row r="217" spans="1:14" x14ac:dyDescent="0.2">
      <c r="A217" s="1502" t="s">
        <v>164</v>
      </c>
      <c r="B217" s="613">
        <v>1200</v>
      </c>
      <c r="C217" s="615"/>
      <c r="D217" s="466">
        <v>43467</v>
      </c>
      <c r="E217" s="615"/>
      <c r="F217" s="615"/>
      <c r="G217" s="615"/>
      <c r="H217" s="615"/>
      <c r="I217" s="615"/>
      <c r="J217" s="615"/>
      <c r="K217" s="1665">
        <f t="shared" si="19"/>
        <v>43467</v>
      </c>
      <c r="L217" s="466">
        <v>43467</v>
      </c>
    </row>
    <row r="218" spans="1:14" x14ac:dyDescent="0.2">
      <c r="A218" s="1502" t="s">
        <v>278</v>
      </c>
      <c r="B218" s="613" t="s">
        <v>968</v>
      </c>
      <c r="C218" s="615"/>
      <c r="D218" s="467">
        <v>1797</v>
      </c>
      <c r="E218" s="615"/>
      <c r="F218" s="615"/>
      <c r="G218" s="615"/>
      <c r="H218" s="615"/>
      <c r="I218" s="615"/>
      <c r="J218" s="615"/>
      <c r="K218" s="1665">
        <f t="shared" si="19"/>
        <v>1797</v>
      </c>
      <c r="L218" s="466">
        <v>1797</v>
      </c>
    </row>
    <row r="219" spans="1:14" x14ac:dyDescent="0.2">
      <c r="A219" s="1502" t="s">
        <v>279</v>
      </c>
      <c r="B219" s="613">
        <v>1250</v>
      </c>
      <c r="C219" s="615"/>
      <c r="D219" s="466">
        <v>1198</v>
      </c>
      <c r="E219" s="615"/>
      <c r="F219" s="615"/>
      <c r="G219" s="615"/>
      <c r="H219" s="615"/>
      <c r="I219" s="615"/>
      <c r="J219" s="615"/>
      <c r="K219" s="1665">
        <f t="shared" si="19"/>
        <v>1198</v>
      </c>
      <c r="L219" s="466">
        <v>1198</v>
      </c>
    </row>
    <row r="220" spans="1:14" x14ac:dyDescent="0.2">
      <c r="A220" s="1502" t="s">
        <v>280</v>
      </c>
      <c r="B220" s="613" t="s">
        <v>161</v>
      </c>
      <c r="C220" s="615"/>
      <c r="D220" s="467">
        <v>0</v>
      </c>
      <c r="E220" s="615"/>
      <c r="F220" s="615"/>
      <c r="G220" s="615"/>
      <c r="H220" s="615"/>
      <c r="I220" s="615"/>
      <c r="J220" s="615"/>
      <c r="K220" s="1665">
        <f t="shared" si="19"/>
        <v>0</v>
      </c>
      <c r="L220" s="466"/>
    </row>
    <row r="221" spans="1:14" x14ac:dyDescent="0.2">
      <c r="A221" s="1502" t="s">
        <v>962</v>
      </c>
      <c r="B221" s="613">
        <v>1300</v>
      </c>
      <c r="C221" s="615"/>
      <c r="D221" s="466">
        <v>0</v>
      </c>
      <c r="E221" s="615"/>
      <c r="F221" s="615"/>
      <c r="G221" s="615"/>
      <c r="H221" s="615"/>
      <c r="I221" s="615"/>
      <c r="J221" s="615"/>
      <c r="K221" s="1665">
        <f t="shared" si="19"/>
        <v>0</v>
      </c>
      <c r="L221" s="466"/>
    </row>
    <row r="222" spans="1:14" x14ac:dyDescent="0.2">
      <c r="A222" s="1502" t="s">
        <v>723</v>
      </c>
      <c r="B222" s="613">
        <v>1400</v>
      </c>
      <c r="C222" s="615"/>
      <c r="D222" s="466">
        <v>955</v>
      </c>
      <c r="E222" s="615"/>
      <c r="F222" s="615"/>
      <c r="G222" s="615"/>
      <c r="H222" s="615"/>
      <c r="I222" s="615"/>
      <c r="J222" s="615"/>
      <c r="K222" s="1665">
        <f t="shared" si="19"/>
        <v>955</v>
      </c>
      <c r="L222" s="466">
        <v>955</v>
      </c>
    </row>
    <row r="223" spans="1:14" x14ac:dyDescent="0.2">
      <c r="A223" s="1502" t="s">
        <v>963</v>
      </c>
      <c r="B223" s="613">
        <v>1500</v>
      </c>
      <c r="C223" s="615"/>
      <c r="D223" s="466">
        <v>4651</v>
      </c>
      <c r="E223" s="615"/>
      <c r="F223" s="615"/>
      <c r="G223" s="615"/>
      <c r="H223" s="615"/>
      <c r="I223" s="615"/>
      <c r="J223" s="615"/>
      <c r="K223" s="1665">
        <f t="shared" si="19"/>
        <v>4651</v>
      </c>
      <c r="L223" s="466">
        <v>4651</v>
      </c>
    </row>
    <row r="224" spans="1:14" x14ac:dyDescent="0.2">
      <c r="A224" s="1502" t="s">
        <v>964</v>
      </c>
      <c r="B224" s="613">
        <v>1600</v>
      </c>
      <c r="C224" s="615"/>
      <c r="D224" s="466">
        <v>0</v>
      </c>
      <c r="E224" s="615"/>
      <c r="F224" s="615"/>
      <c r="G224" s="615"/>
      <c r="H224" s="615"/>
      <c r="I224" s="615"/>
      <c r="J224" s="615"/>
      <c r="K224" s="1665">
        <f t="shared" si="19"/>
        <v>0</v>
      </c>
      <c r="L224" s="466"/>
    </row>
    <row r="225" spans="1:12" x14ac:dyDescent="0.2">
      <c r="A225" s="1502" t="s">
        <v>987</v>
      </c>
      <c r="B225" s="613">
        <v>1650</v>
      </c>
      <c r="C225" s="615"/>
      <c r="D225" s="466">
        <v>0</v>
      </c>
      <c r="E225" s="615"/>
      <c r="F225" s="615"/>
      <c r="G225" s="615"/>
      <c r="H225" s="615"/>
      <c r="I225" s="615"/>
      <c r="J225" s="615"/>
      <c r="K225" s="1665">
        <f t="shared" si="19"/>
        <v>0</v>
      </c>
      <c r="L225" s="466"/>
    </row>
    <row r="226" spans="1:12" x14ac:dyDescent="0.2">
      <c r="A226" s="1502" t="s">
        <v>724</v>
      </c>
      <c r="B226" s="613" t="s">
        <v>162</v>
      </c>
      <c r="C226" s="615"/>
      <c r="D226" s="467">
        <v>266</v>
      </c>
      <c r="E226" s="615"/>
      <c r="F226" s="615"/>
      <c r="G226" s="615"/>
      <c r="H226" s="615"/>
      <c r="I226" s="615"/>
      <c r="J226" s="615"/>
      <c r="K226" s="1665">
        <f t="shared" si="19"/>
        <v>266</v>
      </c>
      <c r="L226" s="466">
        <v>266</v>
      </c>
    </row>
    <row r="227" spans="1:12" x14ac:dyDescent="0.2">
      <c r="A227" s="1502" t="s">
        <v>1087</v>
      </c>
      <c r="B227" s="613">
        <v>1800</v>
      </c>
      <c r="C227" s="615"/>
      <c r="D227" s="466">
        <v>0</v>
      </c>
      <c r="E227" s="615"/>
      <c r="F227" s="615"/>
      <c r="G227" s="615"/>
      <c r="H227" s="615"/>
      <c r="I227" s="615"/>
      <c r="J227" s="615"/>
      <c r="K227" s="1665">
        <f t="shared" si="19"/>
        <v>0</v>
      </c>
      <c r="L227" s="466"/>
    </row>
    <row r="228" spans="1:12" x14ac:dyDescent="0.2">
      <c r="A228" s="1502" t="s">
        <v>1088</v>
      </c>
      <c r="B228" s="613">
        <v>1900</v>
      </c>
      <c r="C228" s="615"/>
      <c r="D228" s="466">
        <v>0</v>
      </c>
      <c r="E228" s="615"/>
      <c r="F228" s="615"/>
      <c r="G228" s="615"/>
      <c r="H228" s="615"/>
      <c r="I228" s="615"/>
      <c r="J228" s="615"/>
      <c r="K228" s="1665">
        <f t="shared" si="19"/>
        <v>0</v>
      </c>
      <c r="L228" s="466"/>
    </row>
    <row r="229" spans="1:12" ht="12.75" customHeight="1" thickBot="1" x14ac:dyDescent="0.25">
      <c r="A229" s="1662" t="s">
        <v>715</v>
      </c>
      <c r="B229" s="1669" t="s">
        <v>570</v>
      </c>
      <c r="C229" s="615"/>
      <c r="D229" s="1664">
        <f>SUM(D215:D228)</f>
        <v>76126</v>
      </c>
      <c r="E229" s="615"/>
      <c r="F229" s="615"/>
      <c r="G229" s="615"/>
      <c r="H229" s="615"/>
      <c r="I229" s="615"/>
      <c r="J229" s="615"/>
      <c r="K229" s="1664">
        <f>SUM(K215:K228)</f>
        <v>76126</v>
      </c>
      <c r="L229" s="1664">
        <f>SUM(L215:L228)</f>
        <v>76126</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5">
        <f t="shared" ref="K232:K237" si="20">D232</f>
        <v>0</v>
      </c>
      <c r="L232" s="466"/>
    </row>
    <row r="233" spans="1:12" x14ac:dyDescent="0.2">
      <c r="A233" s="1502" t="s">
        <v>1090</v>
      </c>
      <c r="B233" s="613">
        <v>2120</v>
      </c>
      <c r="C233" s="615"/>
      <c r="D233" s="466">
        <v>1451</v>
      </c>
      <c r="E233" s="615"/>
      <c r="F233" s="615"/>
      <c r="G233" s="615"/>
      <c r="H233" s="615"/>
      <c r="I233" s="615"/>
      <c r="J233" s="615"/>
      <c r="K233" s="1665">
        <f t="shared" si="20"/>
        <v>1451</v>
      </c>
      <c r="L233" s="466">
        <v>1451</v>
      </c>
    </row>
    <row r="234" spans="1:12" x14ac:dyDescent="0.2">
      <c r="A234" s="1502" t="s">
        <v>198</v>
      </c>
      <c r="B234" s="613">
        <v>2130</v>
      </c>
      <c r="C234" s="615"/>
      <c r="D234" s="466">
        <v>0</v>
      </c>
      <c r="E234" s="615"/>
      <c r="F234" s="615"/>
      <c r="G234" s="615"/>
      <c r="H234" s="615"/>
      <c r="I234" s="615"/>
      <c r="J234" s="615"/>
      <c r="K234" s="1665">
        <f t="shared" si="20"/>
        <v>0</v>
      </c>
      <c r="L234" s="466"/>
    </row>
    <row r="235" spans="1:12" x14ac:dyDescent="0.2">
      <c r="A235" s="1502" t="s">
        <v>199</v>
      </c>
      <c r="B235" s="613">
        <v>2140</v>
      </c>
      <c r="C235" s="615"/>
      <c r="D235" s="466">
        <v>0</v>
      </c>
      <c r="E235" s="615"/>
      <c r="F235" s="615"/>
      <c r="G235" s="615"/>
      <c r="H235" s="615"/>
      <c r="I235" s="615"/>
      <c r="J235" s="615"/>
      <c r="K235" s="1665">
        <f t="shared" si="20"/>
        <v>0</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1788</v>
      </c>
      <c r="E237" s="615"/>
      <c r="F237" s="615"/>
      <c r="G237" s="615"/>
      <c r="H237" s="615"/>
      <c r="I237" s="615"/>
      <c r="J237" s="615"/>
      <c r="K237" s="1665">
        <f t="shared" si="20"/>
        <v>1788</v>
      </c>
      <c r="L237" s="466">
        <v>1789</v>
      </c>
    </row>
    <row r="238" spans="1:12" ht="12.75" customHeight="1" thickBot="1" x14ac:dyDescent="0.25">
      <c r="A238" s="1662" t="s">
        <v>560</v>
      </c>
      <c r="B238" s="1669" t="s">
        <v>716</v>
      </c>
      <c r="C238" s="615"/>
      <c r="D238" s="1664">
        <f>SUM(D232:D237)</f>
        <v>3239</v>
      </c>
      <c r="E238" s="615"/>
      <c r="F238" s="615"/>
      <c r="G238" s="615"/>
      <c r="H238" s="615"/>
      <c r="I238" s="615"/>
      <c r="J238" s="615"/>
      <c r="K238" s="1664">
        <f>SUM(K232:K237)</f>
        <v>3239</v>
      </c>
      <c r="L238" s="1664">
        <f>SUM(L232:L237)</f>
        <v>3240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0</v>
      </c>
      <c r="E240" s="615"/>
      <c r="F240" s="615"/>
      <c r="G240" s="615"/>
      <c r="H240" s="615"/>
      <c r="I240" s="615"/>
      <c r="J240" s="615"/>
      <c r="K240" s="1666">
        <f>D240</f>
        <v>0</v>
      </c>
      <c r="L240" s="568"/>
    </row>
    <row r="241" spans="1:12" x14ac:dyDescent="0.2">
      <c r="A241" s="1502" t="s">
        <v>815</v>
      </c>
      <c r="B241" s="613">
        <v>2220</v>
      </c>
      <c r="C241" s="615"/>
      <c r="D241" s="466">
        <v>3143</v>
      </c>
      <c r="E241" s="615"/>
      <c r="F241" s="615"/>
      <c r="G241" s="615"/>
      <c r="H241" s="615"/>
      <c r="I241" s="615"/>
      <c r="J241" s="615"/>
      <c r="K241" s="1666">
        <f>D241</f>
        <v>3143</v>
      </c>
      <c r="L241" s="466">
        <v>3143</v>
      </c>
    </row>
    <row r="242" spans="1:12" x14ac:dyDescent="0.2">
      <c r="A242" s="1502" t="s">
        <v>816</v>
      </c>
      <c r="B242" s="613">
        <v>2230</v>
      </c>
      <c r="C242" s="615"/>
      <c r="D242" s="466">
        <v>0</v>
      </c>
      <c r="E242" s="615"/>
      <c r="F242" s="615"/>
      <c r="G242" s="615"/>
      <c r="H242" s="615"/>
      <c r="I242" s="615"/>
      <c r="J242" s="615"/>
      <c r="K242" s="1666">
        <f>D242</f>
        <v>0</v>
      </c>
      <c r="L242" s="466"/>
    </row>
    <row r="243" spans="1:12" ht="12.75" customHeight="1" thickBot="1" x14ac:dyDescent="0.25">
      <c r="A243" s="1688" t="s">
        <v>561</v>
      </c>
      <c r="B243" s="1689">
        <v>2200</v>
      </c>
      <c r="C243" s="615"/>
      <c r="D243" s="1664">
        <f>SUM(D240:D242)</f>
        <v>3143</v>
      </c>
      <c r="E243" s="615"/>
      <c r="F243" s="615"/>
      <c r="G243" s="615"/>
      <c r="H243" s="615"/>
      <c r="I243" s="615"/>
      <c r="J243" s="615"/>
      <c r="K243" s="1664">
        <f>SUM(K240:K242)</f>
        <v>3143</v>
      </c>
      <c r="L243" s="1664">
        <f>SUM(L240:L242)</f>
        <v>3143</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0</v>
      </c>
      <c r="E245" s="615"/>
      <c r="F245" s="615"/>
      <c r="G245" s="615"/>
      <c r="H245" s="615"/>
      <c r="I245" s="615"/>
      <c r="J245" s="615"/>
      <c r="K245" s="1666">
        <f>D245</f>
        <v>0</v>
      </c>
      <c r="L245" s="568"/>
    </row>
    <row r="246" spans="1:12" x14ac:dyDescent="0.2">
      <c r="A246" s="1502" t="s">
        <v>818</v>
      </c>
      <c r="B246" s="613">
        <v>2320</v>
      </c>
      <c r="C246" s="615"/>
      <c r="D246" s="466">
        <v>2781</v>
      </c>
      <c r="E246" s="615"/>
      <c r="F246" s="615"/>
      <c r="G246" s="615"/>
      <c r="H246" s="615"/>
      <c r="I246" s="615"/>
      <c r="J246" s="615"/>
      <c r="K246" s="1666">
        <f t="shared" ref="K246:K256" si="21">D246</f>
        <v>2781</v>
      </c>
      <c r="L246" s="466">
        <v>2781</v>
      </c>
    </row>
    <row r="247" spans="1:12" x14ac:dyDescent="0.2">
      <c r="A247" s="1502" t="s">
        <v>819</v>
      </c>
      <c r="B247" s="613">
        <v>2330</v>
      </c>
      <c r="C247" s="615"/>
      <c r="D247" s="466">
        <v>0</v>
      </c>
      <c r="E247" s="615"/>
      <c r="F247" s="615"/>
      <c r="G247" s="615"/>
      <c r="H247" s="615"/>
      <c r="I247" s="615"/>
      <c r="J247" s="615"/>
      <c r="K247" s="1666">
        <f t="shared" si="21"/>
        <v>0</v>
      </c>
      <c r="L247" s="466"/>
    </row>
    <row r="248" spans="1:12" x14ac:dyDescent="0.2">
      <c r="A248" s="1503" t="s">
        <v>299</v>
      </c>
      <c r="B248" s="601" t="s">
        <v>281</v>
      </c>
      <c r="C248" s="615"/>
      <c r="D248" s="474">
        <v>0</v>
      </c>
      <c r="E248" s="615"/>
      <c r="F248" s="615"/>
      <c r="G248" s="615"/>
      <c r="H248" s="615"/>
      <c r="I248" s="615"/>
      <c r="J248" s="615"/>
      <c r="K248" s="1666">
        <f t="shared" si="21"/>
        <v>0</v>
      </c>
      <c r="L248" s="466"/>
    </row>
    <row r="249" spans="1:12" x14ac:dyDescent="0.2">
      <c r="A249" s="1504" t="s">
        <v>1805</v>
      </c>
      <c r="B249" s="681" t="s">
        <v>282</v>
      </c>
      <c r="C249" s="615"/>
      <c r="D249" s="474">
        <v>0</v>
      </c>
      <c r="E249" s="615"/>
      <c r="F249" s="615"/>
      <c r="G249" s="615"/>
      <c r="H249" s="615"/>
      <c r="I249" s="615"/>
      <c r="J249" s="615"/>
      <c r="K249" s="1666">
        <f t="shared" si="21"/>
        <v>0</v>
      </c>
      <c r="L249" s="466"/>
    </row>
    <row r="250" spans="1:12" x14ac:dyDescent="0.2">
      <c r="A250" s="1503" t="s">
        <v>1806</v>
      </c>
      <c r="B250" s="601" t="s">
        <v>283</v>
      </c>
      <c r="C250" s="615"/>
      <c r="D250" s="474">
        <v>0</v>
      </c>
      <c r="E250" s="615"/>
      <c r="F250" s="615"/>
      <c r="G250" s="615"/>
      <c r="H250" s="615"/>
      <c r="I250" s="615"/>
      <c r="J250" s="615"/>
      <c r="K250" s="1666">
        <f t="shared" si="21"/>
        <v>0</v>
      </c>
      <c r="L250" s="466"/>
    </row>
    <row r="251" spans="1:12" x14ac:dyDescent="0.2">
      <c r="A251" s="1503" t="s">
        <v>238</v>
      </c>
      <c r="B251" s="601" t="s">
        <v>284</v>
      </c>
      <c r="C251" s="615"/>
      <c r="D251" s="474">
        <v>0</v>
      </c>
      <c r="E251" s="615"/>
      <c r="F251" s="615"/>
      <c r="G251" s="615"/>
      <c r="H251" s="615"/>
      <c r="I251" s="615"/>
      <c r="J251" s="615"/>
      <c r="K251" s="1666">
        <f t="shared" si="21"/>
        <v>0</v>
      </c>
      <c r="L251" s="466"/>
    </row>
    <row r="252" spans="1:12" x14ac:dyDescent="0.2">
      <c r="A252" s="1503" t="s">
        <v>702</v>
      </c>
      <c r="B252" s="601" t="s">
        <v>285</v>
      </c>
      <c r="C252" s="615"/>
      <c r="D252" s="474">
        <v>0</v>
      </c>
      <c r="E252" s="615"/>
      <c r="F252" s="615"/>
      <c r="G252" s="615"/>
      <c r="H252" s="615"/>
      <c r="I252" s="615"/>
      <c r="J252" s="615"/>
      <c r="K252" s="1666">
        <f t="shared" si="21"/>
        <v>0</v>
      </c>
      <c r="L252" s="466"/>
    </row>
    <row r="253" spans="1:12" x14ac:dyDescent="0.2">
      <c r="A253" s="1503" t="s">
        <v>239</v>
      </c>
      <c r="B253" s="601" t="s">
        <v>286</v>
      </c>
      <c r="C253" s="615"/>
      <c r="D253" s="474">
        <v>0</v>
      </c>
      <c r="E253" s="615"/>
      <c r="F253" s="615"/>
      <c r="G253" s="615"/>
      <c r="H253" s="615"/>
      <c r="I253" s="615"/>
      <c r="J253" s="615"/>
      <c r="K253" s="1666">
        <f t="shared" si="21"/>
        <v>0</v>
      </c>
      <c r="L253" s="466"/>
    </row>
    <row r="254" spans="1:12" ht="22.5" x14ac:dyDescent="0.2">
      <c r="A254" s="1503" t="s">
        <v>1029</v>
      </c>
      <c r="B254" s="681" t="s">
        <v>287</v>
      </c>
      <c r="C254" s="615"/>
      <c r="D254" s="474">
        <v>9191</v>
      </c>
      <c r="E254" s="615"/>
      <c r="F254" s="615"/>
      <c r="G254" s="615"/>
      <c r="H254" s="615"/>
      <c r="I254" s="615"/>
      <c r="J254" s="615"/>
      <c r="K254" s="1666">
        <f t="shared" si="21"/>
        <v>9191</v>
      </c>
      <c r="L254" s="466">
        <v>9191</v>
      </c>
    </row>
    <row r="255" spans="1:12" x14ac:dyDescent="0.2">
      <c r="A255" s="1503" t="s">
        <v>1030</v>
      </c>
      <c r="B255" s="601" t="s">
        <v>288</v>
      </c>
      <c r="C255" s="615"/>
      <c r="D255" s="474">
        <v>0</v>
      </c>
      <c r="E255" s="615"/>
      <c r="F255" s="615"/>
      <c r="G255" s="615"/>
      <c r="H255" s="615"/>
      <c r="I255" s="615"/>
      <c r="J255" s="615"/>
      <c r="K255" s="1666">
        <f t="shared" si="21"/>
        <v>0</v>
      </c>
      <c r="L255" s="466"/>
    </row>
    <row r="256" spans="1:12" x14ac:dyDescent="0.2">
      <c r="A256" s="1503" t="s">
        <v>971</v>
      </c>
      <c r="B256" s="613" t="s">
        <v>289</v>
      </c>
      <c r="C256" s="615"/>
      <c r="D256" s="474">
        <v>0</v>
      </c>
      <c r="E256" s="615"/>
      <c r="F256" s="615"/>
      <c r="G256" s="615"/>
      <c r="H256" s="615"/>
      <c r="I256" s="615"/>
      <c r="J256" s="615"/>
      <c r="K256" s="1666">
        <f t="shared" si="21"/>
        <v>0</v>
      </c>
      <c r="L256" s="466"/>
    </row>
    <row r="257" spans="1:14" ht="12.75" customHeight="1" thickBot="1" x14ac:dyDescent="0.25">
      <c r="A257" s="1662" t="s">
        <v>717</v>
      </c>
      <c r="B257" s="1690">
        <v>2300</v>
      </c>
      <c r="C257" s="615"/>
      <c r="D257" s="1664">
        <f>SUM(D245:D256)</f>
        <v>11972</v>
      </c>
      <c r="E257" s="615"/>
      <c r="F257" s="615"/>
      <c r="G257" s="615"/>
      <c r="H257" s="615"/>
      <c r="I257" s="615"/>
      <c r="J257" s="615"/>
      <c r="K257" s="1664">
        <f>SUM(K245:K256)</f>
        <v>11972</v>
      </c>
      <c r="L257" s="1664">
        <f>SUM(L245:L256)</f>
        <v>11972</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12696</v>
      </c>
      <c r="E259" s="615"/>
      <c r="F259" s="615"/>
      <c r="G259" s="615"/>
      <c r="H259" s="615"/>
      <c r="I259" s="615"/>
      <c r="J259" s="615"/>
      <c r="K259" s="1666">
        <f>D259</f>
        <v>12696</v>
      </c>
      <c r="L259" s="568">
        <v>12696</v>
      </c>
    </row>
    <row r="260" spans="1:14" s="596" customFormat="1" x14ac:dyDescent="0.2">
      <c r="A260" s="1520" t="s">
        <v>1804</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12696</v>
      </c>
      <c r="E261" s="615"/>
      <c r="F261" s="615"/>
      <c r="G261" s="615"/>
      <c r="H261" s="615"/>
      <c r="I261" s="615"/>
      <c r="J261" s="615"/>
      <c r="K261" s="1664">
        <f>SUM(K259:K260)</f>
        <v>12696</v>
      </c>
      <c r="L261" s="1664">
        <f>SUM(L259:L260)</f>
        <v>12696</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row>
    <row r="264" spans="1:14" x14ac:dyDescent="0.2">
      <c r="A264" s="1502" t="s">
        <v>463</v>
      </c>
      <c r="B264" s="683">
        <v>2520</v>
      </c>
      <c r="C264" s="615"/>
      <c r="D264" s="466">
        <v>13603</v>
      </c>
      <c r="E264" s="615"/>
      <c r="F264" s="615"/>
      <c r="G264" s="615"/>
      <c r="H264" s="615"/>
      <c r="I264" s="615"/>
      <c r="J264" s="615"/>
      <c r="K264" s="1666">
        <f t="shared" ref="K264:K269" si="22">D264</f>
        <v>13603</v>
      </c>
      <c r="L264" s="466">
        <v>13603</v>
      </c>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28660</v>
      </c>
      <c r="E266" s="615"/>
      <c r="F266" s="615"/>
      <c r="G266" s="615"/>
      <c r="H266" s="615"/>
      <c r="I266" s="615"/>
      <c r="J266" s="615"/>
      <c r="K266" s="1666">
        <f t="shared" si="22"/>
        <v>28660</v>
      </c>
      <c r="L266" s="466">
        <v>28660</v>
      </c>
    </row>
    <row r="267" spans="1:14" x14ac:dyDescent="0.2">
      <c r="A267" s="1502" t="s">
        <v>953</v>
      </c>
      <c r="B267" s="613">
        <v>2550</v>
      </c>
      <c r="C267" s="615"/>
      <c r="D267" s="466">
        <v>17504</v>
      </c>
      <c r="E267" s="615"/>
      <c r="F267" s="615"/>
      <c r="G267" s="615"/>
      <c r="H267" s="615"/>
      <c r="I267" s="615"/>
      <c r="J267" s="615"/>
      <c r="K267" s="1666">
        <f t="shared" si="22"/>
        <v>17504</v>
      </c>
      <c r="L267" s="466">
        <v>17504</v>
      </c>
    </row>
    <row r="268" spans="1:14" x14ac:dyDescent="0.2">
      <c r="A268" s="1502" t="s">
        <v>100</v>
      </c>
      <c r="B268" s="613">
        <v>2560</v>
      </c>
      <c r="C268" s="615"/>
      <c r="D268" s="466">
        <v>10860</v>
      </c>
      <c r="E268" s="615"/>
      <c r="F268" s="615"/>
      <c r="G268" s="615"/>
      <c r="H268" s="615"/>
      <c r="I268" s="615"/>
      <c r="J268" s="615"/>
      <c r="K268" s="1666">
        <f t="shared" si="22"/>
        <v>10860</v>
      </c>
      <c r="L268" s="466">
        <v>10860</v>
      </c>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719</v>
      </c>
      <c r="B270" s="1669" t="s">
        <v>35</v>
      </c>
      <c r="C270" s="615"/>
      <c r="D270" s="1664">
        <f>SUM(D263:D269)</f>
        <v>70627</v>
      </c>
      <c r="E270" s="615"/>
      <c r="F270" s="615"/>
      <c r="G270" s="615"/>
      <c r="H270" s="615"/>
      <c r="I270" s="615"/>
      <c r="J270" s="615"/>
      <c r="K270" s="1664">
        <f>SUM(K263:K269)</f>
        <v>70627</v>
      </c>
      <c r="L270" s="1664">
        <f>SUM(L263:L269)</f>
        <v>70627</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row>
    <row r="273" spans="1:12" x14ac:dyDescent="0.2">
      <c r="A273" s="1502" t="s">
        <v>607</v>
      </c>
      <c r="B273" s="627">
        <v>2620</v>
      </c>
      <c r="C273" s="615"/>
      <c r="D273" s="466">
        <v>0</v>
      </c>
      <c r="E273" s="615"/>
      <c r="F273" s="615"/>
      <c r="G273" s="615"/>
      <c r="H273" s="615"/>
      <c r="I273" s="615"/>
      <c r="J273" s="615"/>
      <c r="K273" s="1666">
        <f>D273</f>
        <v>0</v>
      </c>
      <c r="L273" s="466"/>
    </row>
    <row r="274" spans="1:12" ht="12" customHeight="1" x14ac:dyDescent="0.2">
      <c r="A274" s="1502" t="s">
        <v>1061</v>
      </c>
      <c r="B274" s="613">
        <v>2630</v>
      </c>
      <c r="C274" s="615"/>
      <c r="D274" s="466">
        <v>0</v>
      </c>
      <c r="E274" s="615"/>
      <c r="F274" s="615"/>
      <c r="G274" s="615"/>
      <c r="H274" s="615"/>
      <c r="I274" s="615"/>
      <c r="J274" s="615"/>
      <c r="K274" s="1666">
        <f>D274</f>
        <v>0</v>
      </c>
      <c r="L274" s="466"/>
    </row>
    <row r="275" spans="1:12" x14ac:dyDescent="0.2">
      <c r="A275" s="1502" t="s">
        <v>403</v>
      </c>
      <c r="B275" s="613">
        <v>2640</v>
      </c>
      <c r="C275" s="615"/>
      <c r="D275" s="466">
        <v>0</v>
      </c>
      <c r="E275" s="615"/>
      <c r="F275" s="615"/>
      <c r="G275" s="615"/>
      <c r="H275" s="615"/>
      <c r="I275" s="615"/>
      <c r="J275" s="615"/>
      <c r="K275" s="1666">
        <f>D275</f>
        <v>0</v>
      </c>
      <c r="L275" s="466"/>
    </row>
    <row r="276" spans="1:12" x14ac:dyDescent="0.2">
      <c r="A276" s="1502" t="s">
        <v>404</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110</v>
      </c>
      <c r="E278" s="615"/>
      <c r="F278" s="615"/>
      <c r="G278" s="615"/>
      <c r="H278" s="615"/>
      <c r="I278" s="615"/>
      <c r="J278" s="615"/>
      <c r="K278" s="1679">
        <f>D278</f>
        <v>110</v>
      </c>
      <c r="L278" s="654">
        <v>110</v>
      </c>
    </row>
    <row r="279" spans="1:12" ht="12.75" customHeight="1" thickBot="1" x14ac:dyDescent="0.25">
      <c r="A279" s="1692" t="s">
        <v>811</v>
      </c>
      <c r="B279" s="1675">
        <v>2000</v>
      </c>
      <c r="C279" s="615"/>
      <c r="D279" s="1671">
        <f>SUM(D238,D243,D257,D261,D270,D277,D278)</f>
        <v>101787</v>
      </c>
      <c r="E279" s="615"/>
      <c r="F279" s="615"/>
      <c r="G279" s="615"/>
      <c r="H279" s="615"/>
      <c r="I279" s="615"/>
      <c r="J279" s="615"/>
      <c r="K279" s="1671">
        <f>SUM(K238,K243,K257,K261,K270,K277,K278)</f>
        <v>101787</v>
      </c>
      <c r="L279" s="1671">
        <f>SUM(L238,L243,L257,L261,L270,L277,L278)</f>
        <v>101788</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row>
    <row r="283" spans="1:12" x14ac:dyDescent="0.2">
      <c r="A283" s="1502" t="s">
        <v>304</v>
      </c>
      <c r="B283" s="613">
        <v>4120</v>
      </c>
      <c r="C283" s="615"/>
      <c r="D283" s="466">
        <v>0</v>
      </c>
      <c r="E283" s="615"/>
      <c r="F283" s="615"/>
      <c r="G283" s="615"/>
      <c r="H283" s="615"/>
      <c r="I283" s="615"/>
      <c r="J283" s="615"/>
      <c r="K283" s="1665">
        <f>D283</f>
        <v>0</v>
      </c>
      <c r="L283" s="466"/>
    </row>
    <row r="284" spans="1:12" x14ac:dyDescent="0.2">
      <c r="A284" s="1502" t="s">
        <v>697</v>
      </c>
      <c r="B284" s="613">
        <v>4140</v>
      </c>
      <c r="C284" s="615"/>
      <c r="D284" s="467">
        <v>0</v>
      </c>
      <c r="E284" s="615"/>
      <c r="F284" s="615"/>
      <c r="G284" s="615"/>
      <c r="H284" s="615"/>
      <c r="I284" s="615"/>
      <c r="J284" s="615"/>
      <c r="K284" s="1665">
        <f>D284</f>
        <v>0</v>
      </c>
      <c r="L284" s="466"/>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1170</v>
      </c>
      <c r="B290" s="627" t="s">
        <v>617</v>
      </c>
      <c r="C290" s="615"/>
      <c r="D290" s="615"/>
      <c r="E290" s="615"/>
      <c r="F290" s="615"/>
      <c r="G290" s="615"/>
      <c r="H290" s="466">
        <v>0</v>
      </c>
      <c r="I290" s="615"/>
      <c r="J290" s="615"/>
      <c r="K290" s="1665">
        <f>H290</f>
        <v>0</v>
      </c>
      <c r="L290" s="466"/>
    </row>
    <row r="291" spans="1:14" x14ac:dyDescent="0.2">
      <c r="A291" s="1502" t="s">
        <v>89</v>
      </c>
      <c r="B291" s="613" t="s">
        <v>589</v>
      </c>
      <c r="C291" s="615"/>
      <c r="D291" s="615"/>
      <c r="E291" s="615"/>
      <c r="F291" s="615"/>
      <c r="G291" s="615"/>
      <c r="H291" s="466">
        <v>0</v>
      </c>
      <c r="I291" s="615"/>
      <c r="J291" s="615"/>
      <c r="K291" s="1665">
        <f>H291</f>
        <v>0</v>
      </c>
      <c r="L291" s="466"/>
    </row>
    <row r="292" spans="1:14" x14ac:dyDescent="0.2">
      <c r="A292" s="1502" t="s">
        <v>762</v>
      </c>
      <c r="B292" s="613" t="s">
        <v>618</v>
      </c>
      <c r="C292" s="615"/>
      <c r="D292" s="615"/>
      <c r="E292" s="615"/>
      <c r="F292" s="615"/>
      <c r="G292" s="615"/>
      <c r="H292" s="466">
        <v>0</v>
      </c>
      <c r="I292" s="615"/>
      <c r="J292" s="615"/>
      <c r="K292" s="1665">
        <f>H292</f>
        <v>0</v>
      </c>
      <c r="L292" s="466"/>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182" t="s">
        <v>505</v>
      </c>
      <c r="B295" s="2183"/>
      <c r="C295" s="615"/>
      <c r="D295" s="1664">
        <f>SUM(D229,D279,D280,D285)</f>
        <v>177913</v>
      </c>
      <c r="E295" s="615"/>
      <c r="F295" s="615"/>
      <c r="G295" s="615"/>
      <c r="H295" s="1664">
        <f>H293</f>
        <v>0</v>
      </c>
      <c r="I295" s="615"/>
      <c r="J295" s="615"/>
      <c r="K295" s="1664">
        <f>SUM(K229,K279,K280,K285,K293,K294)</f>
        <v>177913</v>
      </c>
      <c r="L295" s="1664">
        <f>SUM(L229,L279,L280,L285,L293,L294)</f>
        <v>177914</v>
      </c>
    </row>
    <row r="296" spans="1:14" ht="13.5" thickTop="1" x14ac:dyDescent="0.2">
      <c r="A296" s="2191" t="s">
        <v>996</v>
      </c>
      <c r="B296" s="2192"/>
      <c r="C296" s="615"/>
      <c r="D296" s="617"/>
      <c r="E296" s="615"/>
      <c r="F296" s="615"/>
      <c r="G296" s="615"/>
      <c r="H296" s="685"/>
      <c r="I296" s="615"/>
      <c r="J296" s="615"/>
      <c r="K296" s="1678">
        <f>'Revenues 9-14'!G268-'Expenditures 15-22'!K295</f>
        <v>9224</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4" t="s">
        <v>143</v>
      </c>
      <c r="B298" s="2168"/>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0</v>
      </c>
      <c r="G301" s="466">
        <v>0</v>
      </c>
      <c r="H301" s="466">
        <v>0</v>
      </c>
      <c r="I301" s="466">
        <v>0</v>
      </c>
      <c r="J301" s="466">
        <v>0</v>
      </c>
      <c r="K301" s="1665">
        <f>SUM(C301:J301)</f>
        <v>0</v>
      </c>
      <c r="L301" s="467"/>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0</v>
      </c>
      <c r="G303" s="1671">
        <f t="shared" si="23"/>
        <v>0</v>
      </c>
      <c r="H303" s="1671">
        <f t="shared" si="23"/>
        <v>0</v>
      </c>
      <c r="I303" s="1671">
        <f t="shared" si="23"/>
        <v>0</v>
      </c>
      <c r="J303" s="1671">
        <f t="shared" si="23"/>
        <v>0</v>
      </c>
      <c r="K303" s="1671">
        <f t="shared" si="23"/>
        <v>0</v>
      </c>
      <c r="L303" s="1671">
        <f t="shared" si="23"/>
        <v>0</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row>
    <row r="307" spans="1:14" x14ac:dyDescent="0.2">
      <c r="A307" s="1502" t="s">
        <v>304</v>
      </c>
      <c r="B307" s="613">
        <v>4120</v>
      </c>
      <c r="C307" s="615"/>
      <c r="D307" s="615"/>
      <c r="E307" s="466">
        <v>0</v>
      </c>
      <c r="F307" s="615"/>
      <c r="G307" s="615"/>
      <c r="H307" s="466">
        <v>0</v>
      </c>
      <c r="I307" s="477"/>
      <c r="J307" s="615"/>
      <c r="K307" s="1665">
        <f>SUM(E307,H307)</f>
        <v>0</v>
      </c>
      <c r="L307" s="466"/>
    </row>
    <row r="308" spans="1:14" x14ac:dyDescent="0.2">
      <c r="A308" s="1502" t="s">
        <v>697</v>
      </c>
      <c r="B308" s="613">
        <v>4140</v>
      </c>
      <c r="C308" s="615"/>
      <c r="D308" s="615"/>
      <c r="E308" s="466">
        <v>0</v>
      </c>
      <c r="F308" s="615"/>
      <c r="G308" s="615"/>
      <c r="H308" s="466">
        <v>0</v>
      </c>
      <c r="I308" s="477"/>
      <c r="J308" s="615"/>
      <c r="K308" s="1665">
        <f>SUM(E308,H308)</f>
        <v>0</v>
      </c>
      <c r="L308" s="466"/>
    </row>
    <row r="309" spans="1:14" ht="12.75" customHeight="1" x14ac:dyDescent="0.2">
      <c r="A309" s="1506" t="s">
        <v>698</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79" t="s">
        <v>277</v>
      </c>
      <c r="B312" s="2180"/>
      <c r="C312" s="1664">
        <f>SUM(C303)</f>
        <v>0</v>
      </c>
      <c r="D312" s="1664">
        <f>SUM(D303)</f>
        <v>0</v>
      </c>
      <c r="E312" s="1664">
        <f>SUM(E303,E310)</f>
        <v>0</v>
      </c>
      <c r="F312" s="1664">
        <f>SUM(F303)</f>
        <v>0</v>
      </c>
      <c r="G312" s="1664">
        <f>SUM(G303)</f>
        <v>0</v>
      </c>
      <c r="H312" s="1664">
        <f>SUM(H303,H310)</f>
        <v>0</v>
      </c>
      <c r="I312" s="1664">
        <f>SUM(I303)</f>
        <v>0</v>
      </c>
      <c r="J312" s="1664">
        <f>SUM(J303)</f>
        <v>0</v>
      </c>
      <c r="K312" s="1664">
        <f>SUM(K303,K310,K311)</f>
        <v>0</v>
      </c>
      <c r="L312" s="1664">
        <f>SUM(L303,L310,L311)</f>
        <v>0</v>
      </c>
      <c r="M312" s="663"/>
      <c r="N312" s="663"/>
    </row>
    <row r="313" spans="1:14" ht="13.5" thickTop="1" x14ac:dyDescent="0.2">
      <c r="A313" s="2175" t="s">
        <v>996</v>
      </c>
      <c r="B313" s="2176"/>
      <c r="C313" s="625"/>
      <c r="D313" s="625"/>
      <c r="E313" s="625"/>
      <c r="F313" s="625"/>
      <c r="G313" s="625"/>
      <c r="H313" s="625"/>
      <c r="I313" s="625"/>
      <c r="J313" s="625"/>
      <c r="K313" s="1679">
        <f>'Revenues 9-14'!H268-'Expenditures 15-22'!K312</f>
        <v>0</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8" t="s">
        <v>149</v>
      </c>
      <c r="B315" s="2189"/>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90" t="s">
        <v>898</v>
      </c>
      <c r="B317" s="2189"/>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1805</v>
      </c>
      <c r="B320" s="696" t="s">
        <v>282</v>
      </c>
      <c r="C320" s="467">
        <v>0</v>
      </c>
      <c r="D320" s="467">
        <v>0</v>
      </c>
      <c r="E320" s="467">
        <v>23812</v>
      </c>
      <c r="F320" s="467">
        <v>0</v>
      </c>
      <c r="G320" s="467">
        <v>0</v>
      </c>
      <c r="H320" s="467">
        <v>0</v>
      </c>
      <c r="I320" s="467">
        <v>0</v>
      </c>
      <c r="J320" s="467">
        <v>0</v>
      </c>
      <c r="K320" s="1665">
        <f t="shared" ref="K320:K327" si="24">SUM(C320:J320)</f>
        <v>23812</v>
      </c>
      <c r="L320" s="467">
        <v>23812</v>
      </c>
      <c r="M320" s="663"/>
      <c r="N320" s="663"/>
    </row>
    <row r="321" spans="1:14" s="672" customFormat="1" x14ac:dyDescent="0.2">
      <c r="A321" s="1517" t="s">
        <v>300</v>
      </c>
      <c r="B321" s="695" t="s">
        <v>283</v>
      </c>
      <c r="C321" s="467">
        <v>0</v>
      </c>
      <c r="D321" s="467">
        <v>0</v>
      </c>
      <c r="E321" s="467">
        <v>8672</v>
      </c>
      <c r="F321" s="467">
        <v>0</v>
      </c>
      <c r="G321" s="467">
        <v>0</v>
      </c>
      <c r="H321" s="467">
        <v>0</v>
      </c>
      <c r="I321" s="467">
        <v>0</v>
      </c>
      <c r="J321" s="467">
        <v>0</v>
      </c>
      <c r="K321" s="1665">
        <f t="shared" si="24"/>
        <v>8672</v>
      </c>
      <c r="L321" s="467">
        <v>8672</v>
      </c>
      <c r="M321" s="663"/>
      <c r="N321" s="663"/>
    </row>
    <row r="322" spans="1:14" s="672" customFormat="1" x14ac:dyDescent="0.2">
      <c r="A322" s="1517" t="s">
        <v>238</v>
      </c>
      <c r="B322" s="695" t="s">
        <v>284</v>
      </c>
      <c r="C322" s="467">
        <v>0</v>
      </c>
      <c r="D322" s="467">
        <v>0</v>
      </c>
      <c r="E322" s="467">
        <v>42552</v>
      </c>
      <c r="F322" s="467">
        <v>0</v>
      </c>
      <c r="G322" s="467">
        <v>0</v>
      </c>
      <c r="H322" s="467">
        <v>0</v>
      </c>
      <c r="I322" s="467">
        <v>0</v>
      </c>
      <c r="J322" s="467">
        <v>0</v>
      </c>
      <c r="K322" s="1665">
        <f t="shared" si="24"/>
        <v>42552</v>
      </c>
      <c r="L322" s="467">
        <v>42552</v>
      </c>
      <c r="M322" s="663"/>
      <c r="N322" s="663"/>
    </row>
    <row r="323" spans="1:14" s="672" customFormat="1" x14ac:dyDescent="0.2">
      <c r="A323" s="1517" t="s">
        <v>702</v>
      </c>
      <c r="B323" s="695" t="s">
        <v>285</v>
      </c>
      <c r="C323" s="467">
        <v>0</v>
      </c>
      <c r="D323" s="467">
        <v>0</v>
      </c>
      <c r="E323" s="467">
        <v>0</v>
      </c>
      <c r="F323" s="467">
        <v>0</v>
      </c>
      <c r="G323" s="467">
        <v>0</v>
      </c>
      <c r="H323" s="467">
        <v>0</v>
      </c>
      <c r="I323" s="467">
        <v>0</v>
      </c>
      <c r="J323" s="467">
        <v>0</v>
      </c>
      <c r="K323" s="1665">
        <f t="shared" si="24"/>
        <v>0</v>
      </c>
      <c r="L323" s="467"/>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1029</v>
      </c>
      <c r="B325" s="696" t="s">
        <v>287</v>
      </c>
      <c r="C325" s="467">
        <v>75291</v>
      </c>
      <c r="D325" s="467">
        <v>9589</v>
      </c>
      <c r="E325" s="467">
        <v>8528</v>
      </c>
      <c r="F325" s="467">
        <v>2292</v>
      </c>
      <c r="G325" s="467">
        <v>0</v>
      </c>
      <c r="H325" s="467">
        <v>0</v>
      </c>
      <c r="I325" s="467">
        <v>0</v>
      </c>
      <c r="J325" s="467">
        <v>0</v>
      </c>
      <c r="K325" s="1665">
        <f t="shared" si="24"/>
        <v>95700</v>
      </c>
      <c r="L325" s="467">
        <v>95701</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971</v>
      </c>
      <c r="B327" s="695" t="s">
        <v>289</v>
      </c>
      <c r="C327" s="467">
        <v>0</v>
      </c>
      <c r="D327" s="467">
        <v>0</v>
      </c>
      <c r="E327" s="467">
        <v>7258</v>
      </c>
      <c r="F327" s="467">
        <v>0</v>
      </c>
      <c r="G327" s="467">
        <v>0</v>
      </c>
      <c r="H327" s="467">
        <v>0</v>
      </c>
      <c r="I327" s="467">
        <v>0</v>
      </c>
      <c r="J327" s="467">
        <v>0</v>
      </c>
      <c r="K327" s="1665">
        <f t="shared" si="24"/>
        <v>7258</v>
      </c>
      <c r="L327" s="467">
        <v>7258</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717</v>
      </c>
      <c r="B330" s="1663" t="s">
        <v>569</v>
      </c>
      <c r="C330" s="1664">
        <f>SUM(C319:C329)</f>
        <v>75291</v>
      </c>
      <c r="D330" s="1664">
        <f t="shared" ref="D330:J330" si="25">SUM(D319:D329)</f>
        <v>9589</v>
      </c>
      <c r="E330" s="1664">
        <f t="shared" si="25"/>
        <v>90822</v>
      </c>
      <c r="F330" s="1664">
        <f t="shared" si="25"/>
        <v>2292</v>
      </c>
      <c r="G330" s="1664">
        <f t="shared" si="25"/>
        <v>0</v>
      </c>
      <c r="H330" s="1664">
        <f t="shared" si="25"/>
        <v>0</v>
      </c>
      <c r="I330" s="1664">
        <f t="shared" si="25"/>
        <v>0</v>
      </c>
      <c r="J330" s="1664">
        <f t="shared" si="25"/>
        <v>0</v>
      </c>
      <c r="K330" s="1664">
        <f>SUM(K319:K329)</f>
        <v>177994</v>
      </c>
      <c r="L330" s="1664">
        <f>SUM(L319:L329)</f>
        <v>177995</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row>
    <row r="338" spans="1:14" ht="12.75" customHeight="1" x14ac:dyDescent="0.2">
      <c r="A338" s="1516" t="s">
        <v>1170</v>
      </c>
      <c r="B338" s="688" t="s">
        <v>617</v>
      </c>
      <c r="C338" s="636"/>
      <c r="D338" s="636"/>
      <c r="E338" s="636"/>
      <c r="F338" s="636"/>
      <c r="G338" s="636"/>
      <c r="H338" s="639">
        <v>0</v>
      </c>
      <c r="I338" s="636"/>
      <c r="J338" s="636"/>
      <c r="K338" s="1665">
        <f>H338</f>
        <v>0</v>
      </c>
      <c r="L338" s="639"/>
    </row>
    <row r="339" spans="1:14" x14ac:dyDescent="0.2">
      <c r="A339" s="1502" t="s">
        <v>901</v>
      </c>
      <c r="B339" s="627">
        <v>5150</v>
      </c>
      <c r="C339" s="636"/>
      <c r="D339" s="636"/>
      <c r="E339" s="636"/>
      <c r="F339" s="636"/>
      <c r="G339" s="636"/>
      <c r="H339" s="467">
        <v>0</v>
      </c>
      <c r="I339" s="636"/>
      <c r="J339" s="636"/>
      <c r="K339" s="1665">
        <f>H339</f>
        <v>0</v>
      </c>
      <c r="L339" s="467"/>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0" t="s">
        <v>505</v>
      </c>
      <c r="B342" s="1695"/>
      <c r="C342" s="1664">
        <f>SUM(C330)</f>
        <v>75291</v>
      </c>
      <c r="D342" s="1664">
        <f>SUM(D330)</f>
        <v>9589</v>
      </c>
      <c r="E342" s="1664">
        <f>SUM(E330)</f>
        <v>90822</v>
      </c>
      <c r="F342" s="1664">
        <f>SUM(F330)</f>
        <v>2292</v>
      </c>
      <c r="G342" s="1664">
        <f>SUM(G330)</f>
        <v>0</v>
      </c>
      <c r="H342" s="1664">
        <f>SUM(H330,H334,H340)</f>
        <v>0</v>
      </c>
      <c r="I342" s="1664">
        <f>SUM(I330)</f>
        <v>0</v>
      </c>
      <c r="J342" s="1664">
        <f>SUM(J330)</f>
        <v>0</v>
      </c>
      <c r="K342" s="1664">
        <f>SUM(K330,K334,K340)</f>
        <v>177994</v>
      </c>
      <c r="L342" s="1671">
        <f>SUM(L330,L334,L340,L341)</f>
        <v>177995</v>
      </c>
    </row>
    <row r="343" spans="1:14" ht="12.75" customHeight="1" thickTop="1" x14ac:dyDescent="0.2">
      <c r="A343" s="2177" t="s">
        <v>996</v>
      </c>
      <c r="B343" s="2178"/>
      <c r="C343" s="615"/>
      <c r="D343" s="615"/>
      <c r="E343" s="615"/>
      <c r="F343" s="615"/>
      <c r="G343" s="615"/>
      <c r="H343" s="615"/>
      <c r="I343" s="615"/>
      <c r="J343" s="615"/>
      <c r="K343" s="1678">
        <f>'Revenues 9-14'!J268-'Expenditures 15-22'!K342</f>
        <v>8</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7" t="s">
        <v>966</v>
      </c>
      <c r="B345" s="2168"/>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24500</v>
      </c>
      <c r="H348" s="466">
        <v>0</v>
      </c>
      <c r="I348" s="466">
        <v>0</v>
      </c>
      <c r="J348" s="466">
        <v>0</v>
      </c>
      <c r="K348" s="1665">
        <f>SUM(C348:J348)</f>
        <v>24500</v>
      </c>
      <c r="L348" s="466">
        <v>25396</v>
      </c>
    </row>
    <row r="349" spans="1:14" x14ac:dyDescent="0.2">
      <c r="A349" s="1502" t="s">
        <v>197</v>
      </c>
      <c r="B349" s="613">
        <v>2540</v>
      </c>
      <c r="C349" s="466">
        <v>0</v>
      </c>
      <c r="D349" s="466">
        <v>0</v>
      </c>
      <c r="E349" s="466">
        <v>7791</v>
      </c>
      <c r="F349" s="466">
        <v>3504</v>
      </c>
      <c r="G349" s="466">
        <v>133938</v>
      </c>
      <c r="H349" s="466">
        <v>0</v>
      </c>
      <c r="I349" s="466">
        <v>0</v>
      </c>
      <c r="J349" s="466">
        <v>0</v>
      </c>
      <c r="K349" s="1665">
        <f>SUM(C349:J349)</f>
        <v>145233</v>
      </c>
      <c r="L349" s="466">
        <v>144337</v>
      </c>
    </row>
    <row r="350" spans="1:14" ht="12.75" customHeight="1" thickBot="1" x14ac:dyDescent="0.25">
      <c r="A350" s="1662" t="s">
        <v>719</v>
      </c>
      <c r="B350" s="1663" t="s">
        <v>35</v>
      </c>
      <c r="C350" s="1664">
        <f>SUM(C348:C349)</f>
        <v>0</v>
      </c>
      <c r="D350" s="1664">
        <f t="shared" ref="D350:L350" si="26">SUM(D348:D349)</f>
        <v>0</v>
      </c>
      <c r="E350" s="1664">
        <f t="shared" si="26"/>
        <v>7791</v>
      </c>
      <c r="F350" s="1664">
        <f t="shared" si="26"/>
        <v>3504</v>
      </c>
      <c r="G350" s="1664">
        <f t="shared" si="26"/>
        <v>158438</v>
      </c>
      <c r="H350" s="1664">
        <f t="shared" si="26"/>
        <v>0</v>
      </c>
      <c r="I350" s="1664">
        <f t="shared" si="26"/>
        <v>0</v>
      </c>
      <c r="J350" s="1664">
        <f t="shared" si="26"/>
        <v>0</v>
      </c>
      <c r="K350" s="1664">
        <f t="shared" si="26"/>
        <v>169733</v>
      </c>
      <c r="L350" s="1664">
        <f t="shared" si="26"/>
        <v>169733</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624</v>
      </c>
      <c r="B352" s="1669" t="s">
        <v>569</v>
      </c>
      <c r="C352" s="1664">
        <f>SUM(C350:C351)</f>
        <v>0</v>
      </c>
      <c r="D352" s="1664">
        <f t="shared" ref="D352:L352" si="27">SUM(D350:D351)</f>
        <v>0</v>
      </c>
      <c r="E352" s="1664">
        <f t="shared" si="27"/>
        <v>7791</v>
      </c>
      <c r="F352" s="1664">
        <f t="shared" si="27"/>
        <v>3504</v>
      </c>
      <c r="G352" s="1664">
        <f t="shared" si="27"/>
        <v>158438</v>
      </c>
      <c r="H352" s="1664">
        <f t="shared" si="27"/>
        <v>0</v>
      </c>
      <c r="I352" s="1664">
        <f t="shared" si="27"/>
        <v>0</v>
      </c>
      <c r="J352" s="1664">
        <f t="shared" si="27"/>
        <v>0</v>
      </c>
      <c r="K352" s="1664">
        <f t="shared" si="27"/>
        <v>169733</v>
      </c>
      <c r="L352" s="1664">
        <f t="shared" si="27"/>
        <v>169733</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row>
    <row r="356" spans="1:14" ht="12.75" customHeight="1" x14ac:dyDescent="0.2">
      <c r="A356" s="1828" t="s">
        <v>698</v>
      </c>
      <c r="B356" s="681" t="s">
        <v>558</v>
      </c>
      <c r="C356" s="615"/>
      <c r="D356" s="615"/>
      <c r="E356" s="615"/>
      <c r="F356" s="615"/>
      <c r="G356" s="615"/>
      <c r="H356" s="479">
        <v>0</v>
      </c>
      <c r="I356" s="699"/>
      <c r="J356" s="615"/>
      <c r="K356" s="1734">
        <f>H356</f>
        <v>0</v>
      </c>
      <c r="L356" s="479"/>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619</v>
      </c>
      <c r="B361" s="601" t="s">
        <v>618</v>
      </c>
      <c r="C361" s="615"/>
      <c r="D361" s="615"/>
      <c r="E361" s="615"/>
      <c r="F361" s="615"/>
      <c r="G361" s="615"/>
      <c r="H361" s="467">
        <v>0</v>
      </c>
      <c r="I361" s="615"/>
      <c r="J361" s="615"/>
      <c r="K361" s="1665">
        <f>SUM(C361:J361)</f>
        <v>0</v>
      </c>
      <c r="L361" s="466"/>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7791</v>
      </c>
      <c r="F367" s="1664">
        <f t="shared" si="28"/>
        <v>3504</v>
      </c>
      <c r="G367" s="1664">
        <f t="shared" si="28"/>
        <v>158438</v>
      </c>
      <c r="H367" s="1664">
        <f t="shared" si="28"/>
        <v>0</v>
      </c>
      <c r="I367" s="1664">
        <f t="shared" si="28"/>
        <v>0</v>
      </c>
      <c r="J367" s="1664">
        <f t="shared" si="28"/>
        <v>0</v>
      </c>
      <c r="K367" s="1664">
        <f t="shared" si="28"/>
        <v>169733</v>
      </c>
      <c r="L367" s="1664">
        <f t="shared" si="28"/>
        <v>169733</v>
      </c>
    </row>
    <row r="368" spans="1:14" ht="13.5" thickTop="1" x14ac:dyDescent="0.2">
      <c r="A368" s="2191" t="s">
        <v>996</v>
      </c>
      <c r="B368" s="2192"/>
      <c r="C368" s="652"/>
      <c r="D368" s="652"/>
      <c r="E368" s="625"/>
      <c r="F368" s="625"/>
      <c r="G368" s="625"/>
      <c r="H368" s="625"/>
      <c r="I368" s="625"/>
      <c r="J368" s="622"/>
      <c r="K368" s="1665">
        <f>'Revenues 9-14'!K268-'Expenditures 15-22'!K367</f>
        <v>-169696</v>
      </c>
      <c r="L368" s="652"/>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3" t="s">
        <v>1802</v>
      </c>
      <c r="B2" s="1526" t="s">
        <v>1949</v>
      </c>
      <c r="C2" s="712" t="s">
        <v>1950</v>
      </c>
      <c r="D2" s="712" t="s">
        <v>1951</v>
      </c>
      <c r="E2" s="712" t="s">
        <v>1952</v>
      </c>
      <c r="F2" s="712" t="s">
        <v>1953</v>
      </c>
    </row>
    <row r="3" spans="1:6" ht="12" customHeight="1" x14ac:dyDescent="0.2">
      <c r="A3" s="2194"/>
      <c r="B3" s="1523"/>
      <c r="C3" s="1524"/>
      <c r="D3" s="1525" t="s">
        <v>256</v>
      </c>
      <c r="E3" s="1524"/>
      <c r="F3" s="1525" t="s">
        <v>257</v>
      </c>
    </row>
    <row r="4" spans="1:6" ht="13.7" customHeight="1" x14ac:dyDescent="0.2">
      <c r="A4" s="713" t="s">
        <v>1155</v>
      </c>
      <c r="B4" s="1743">
        <f>'Revenues 9-14'!C5</f>
        <v>3048150</v>
      </c>
      <c r="C4" s="1522">
        <v>1674694</v>
      </c>
      <c r="D4" s="1746">
        <f>B4-C4</f>
        <v>1373456</v>
      </c>
      <c r="E4" s="1522">
        <v>3082522</v>
      </c>
      <c r="F4" s="1746">
        <f>E4-C4</f>
        <v>1407828</v>
      </c>
    </row>
    <row r="5" spans="1:6" ht="13.7" customHeight="1" x14ac:dyDescent="0.2">
      <c r="A5" s="713" t="s">
        <v>870</v>
      </c>
      <c r="B5" s="1744">
        <f>'Revenues 9-14'!D5</f>
        <v>472855</v>
      </c>
      <c r="C5" s="584">
        <v>259793</v>
      </c>
      <c r="D5" s="1747">
        <f t="shared" ref="D5:D18" si="0">B5-C5</f>
        <v>213062</v>
      </c>
      <c r="E5" s="584">
        <v>478186</v>
      </c>
      <c r="F5" s="1747">
        <f>E5-C5</f>
        <v>218393</v>
      </c>
    </row>
    <row r="6" spans="1:6" ht="13.7" customHeight="1" x14ac:dyDescent="0.2">
      <c r="A6" s="713" t="s">
        <v>411</v>
      </c>
      <c r="B6" s="1744">
        <f>'Revenues 9-14'!E5</f>
        <v>690365</v>
      </c>
      <c r="C6" s="584">
        <v>377281</v>
      </c>
      <c r="D6" s="1747">
        <f t="shared" si="0"/>
        <v>313084</v>
      </c>
      <c r="E6" s="584">
        <v>694444</v>
      </c>
      <c r="F6" s="1747">
        <f t="shared" ref="F6:F18" si="1">E6-C6</f>
        <v>317163</v>
      </c>
    </row>
    <row r="7" spans="1:6" ht="13.7" customHeight="1" x14ac:dyDescent="0.2">
      <c r="A7" s="713" t="s">
        <v>155</v>
      </c>
      <c r="B7" s="1744">
        <f>'Revenues 9-14'!F5</f>
        <v>156318</v>
      </c>
      <c r="C7" s="584">
        <v>85884</v>
      </c>
      <c r="D7" s="1747">
        <f t="shared" si="0"/>
        <v>70434</v>
      </c>
      <c r="E7" s="584">
        <v>158080</v>
      </c>
      <c r="F7" s="1747">
        <f t="shared" si="1"/>
        <v>72196</v>
      </c>
    </row>
    <row r="8" spans="1:6" ht="13.7" customHeight="1" x14ac:dyDescent="0.2">
      <c r="A8" s="713" t="s">
        <v>1179</v>
      </c>
      <c r="B8" s="1744">
        <f>'Revenues 9-14'!G5</f>
        <v>86769</v>
      </c>
      <c r="C8" s="584">
        <v>47104</v>
      </c>
      <c r="D8" s="1747">
        <f t="shared" si="0"/>
        <v>39665</v>
      </c>
      <c r="E8" s="584">
        <v>86699</v>
      </c>
      <c r="F8" s="1747">
        <f t="shared" si="1"/>
        <v>39595</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39080</v>
      </c>
      <c r="C10" s="584">
        <v>21472</v>
      </c>
      <c r="D10" s="1747">
        <f t="shared" si="0"/>
        <v>17608</v>
      </c>
      <c r="E10" s="584">
        <v>39522</v>
      </c>
      <c r="F10" s="1747">
        <f t="shared" si="1"/>
        <v>18050</v>
      </c>
    </row>
    <row r="11" spans="1:6" x14ac:dyDescent="0.2">
      <c r="A11" s="713" t="s">
        <v>409</v>
      </c>
      <c r="B11" s="1744">
        <f>'Revenues 9-14'!J5</f>
        <v>177824</v>
      </c>
      <c r="C11" s="584">
        <v>100509</v>
      </c>
      <c r="D11" s="1747">
        <f t="shared" si="0"/>
        <v>77315</v>
      </c>
      <c r="E11" s="584">
        <v>185001</v>
      </c>
      <c r="F11" s="1747">
        <f t="shared" si="1"/>
        <v>84492</v>
      </c>
    </row>
    <row r="12" spans="1:6" ht="13.7" customHeight="1" x14ac:dyDescent="0.2">
      <c r="A12" s="713" t="s">
        <v>157</v>
      </c>
      <c r="B12" s="1744">
        <f>'Revenues 9-14'!K5</f>
        <v>0</v>
      </c>
      <c r="C12" s="584"/>
      <c r="D12" s="1747">
        <f t="shared" si="0"/>
        <v>0</v>
      </c>
      <c r="E12" s="584"/>
      <c r="F12" s="1747">
        <f t="shared" si="1"/>
        <v>0</v>
      </c>
    </row>
    <row r="13" spans="1:6" ht="13.7" customHeight="1" x14ac:dyDescent="0.2">
      <c r="A13" s="713" t="s">
        <v>936</v>
      </c>
      <c r="B13" s="1744">
        <f>SUM('Revenues 9-14'!C6:D6)</f>
        <v>39080</v>
      </c>
      <c r="C13" s="584">
        <v>21472</v>
      </c>
      <c r="D13" s="1747">
        <f t="shared" si="0"/>
        <v>17608</v>
      </c>
      <c r="E13" s="584">
        <v>39522</v>
      </c>
      <c r="F13" s="1747">
        <f t="shared" si="1"/>
        <v>18050</v>
      </c>
    </row>
    <row r="14" spans="1:6" ht="13.7" customHeight="1" x14ac:dyDescent="0.2">
      <c r="A14" s="713" t="s">
        <v>410</v>
      </c>
      <c r="B14" s="1744">
        <f>SUM('Revenues 9-14'!C7:D7,'Revenues 9-14'!F7:H7)</f>
        <v>31262</v>
      </c>
      <c r="C14" s="584">
        <v>17176</v>
      </c>
      <c r="D14" s="1747">
        <f t="shared" si="0"/>
        <v>14086</v>
      </c>
      <c r="E14" s="584">
        <v>31613</v>
      </c>
      <c r="F14" s="1747">
        <f t="shared" si="1"/>
        <v>14437</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94570</v>
      </c>
      <c r="C16" s="584">
        <v>51338</v>
      </c>
      <c r="D16" s="1747">
        <f t="shared" si="0"/>
        <v>43232</v>
      </c>
      <c r="E16" s="584">
        <v>94498</v>
      </c>
      <c r="F16" s="1747">
        <f t="shared" si="1"/>
        <v>43160</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0</v>
      </c>
      <c r="C18" s="584"/>
      <c r="D18" s="1747">
        <f t="shared" si="0"/>
        <v>0</v>
      </c>
      <c r="E18" s="584"/>
      <c r="F18" s="1747">
        <f t="shared" si="1"/>
        <v>0</v>
      </c>
    </row>
    <row r="19" spans="1:6" ht="13.7" customHeight="1" thickBot="1" x14ac:dyDescent="0.25">
      <c r="A19" s="1748" t="s">
        <v>1161</v>
      </c>
      <c r="B19" s="1745">
        <f>SUM(B4:B18)</f>
        <v>4836273</v>
      </c>
      <c r="C19" s="1745">
        <f>SUM(C4:C18)</f>
        <v>2656723</v>
      </c>
      <c r="D19" s="1745">
        <f>SUM(D4:D18)</f>
        <v>2179550</v>
      </c>
      <c r="E19" s="1745">
        <f>SUM(E4:E18)</f>
        <v>4890087</v>
      </c>
      <c r="F19" s="1745">
        <f>SUM(F4:F18)</f>
        <v>2233364</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0" colorId="8" zoomScaleNormal="100" workbookViewId="0">
      <selection activeCell="J38" sqref="J38"/>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629</v>
      </c>
      <c r="B1" s="2200"/>
      <c r="C1" s="719"/>
    </row>
    <row r="2" spans="1:7" ht="33.75" x14ac:dyDescent="0.2">
      <c r="A2" s="2208" t="s">
        <v>1802</v>
      </c>
      <c r="B2" s="2209"/>
      <c r="C2" s="1877" t="s">
        <v>1954</v>
      </c>
      <c r="D2" s="721" t="s">
        <v>1955</v>
      </c>
      <c r="E2" s="721" t="s">
        <v>1956</v>
      </c>
      <c r="F2" s="1877" t="s">
        <v>1957</v>
      </c>
    </row>
    <row r="3" spans="1:7" ht="15.75" customHeight="1" x14ac:dyDescent="0.2">
      <c r="A3" s="2212" t="s">
        <v>1114</v>
      </c>
      <c r="B3" s="2213"/>
      <c r="C3" s="2201"/>
      <c r="D3" s="2202"/>
      <c r="E3" s="2202"/>
      <c r="F3" s="2203"/>
    </row>
    <row r="4" spans="1:7" ht="12.75" customHeight="1" thickBot="1" x14ac:dyDescent="0.25">
      <c r="A4" s="2210" t="s">
        <v>630</v>
      </c>
      <c r="B4" s="2211"/>
      <c r="C4" s="580"/>
      <c r="D4" s="580"/>
      <c r="E4" s="580"/>
      <c r="F4" s="1749">
        <f>SUM(C4+D4)-E4</f>
        <v>0</v>
      </c>
    </row>
    <row r="5" spans="1:7" ht="15.75" customHeight="1" thickTop="1" x14ac:dyDescent="0.2">
      <c r="A5" s="2195" t="s">
        <v>1110</v>
      </c>
      <c r="B5" s="2196"/>
      <c r="C5" s="2204"/>
      <c r="D5" s="2205"/>
      <c r="E5" s="2205"/>
      <c r="F5" s="2206"/>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197" t="s">
        <v>631</v>
      </c>
      <c r="B15" s="2198"/>
      <c r="C15" s="1749">
        <f>SUM(C6:C14)</f>
        <v>0</v>
      </c>
      <c r="D15" s="1749">
        <f>SUM(D6:D14)</f>
        <v>0</v>
      </c>
      <c r="E15" s="1749">
        <f>SUM(E6:E14)</f>
        <v>0</v>
      </c>
      <c r="F15" s="1749">
        <f>SUM(F6:F14)</f>
        <v>0</v>
      </c>
      <c r="G15" s="552"/>
    </row>
    <row r="16" spans="1:7" s="202" customFormat="1" ht="15.75" customHeight="1" thickTop="1" x14ac:dyDescent="0.2">
      <c r="A16" s="2207" t="s">
        <v>1111</v>
      </c>
      <c r="B16" s="2196"/>
      <c r="C16" s="2204"/>
      <c r="D16" s="2205"/>
      <c r="E16" s="2205"/>
      <c r="F16" s="2206"/>
    </row>
    <row r="17" spans="1:11" ht="12.75" customHeight="1" thickBot="1" x14ac:dyDescent="0.25">
      <c r="A17" s="2220" t="s">
        <v>64</v>
      </c>
      <c r="B17" s="2221"/>
      <c r="C17" s="724"/>
      <c r="D17" s="584"/>
      <c r="E17" s="724"/>
      <c r="F17" s="1749">
        <f>SUM(C17+D17)-E17</f>
        <v>0</v>
      </c>
    </row>
    <row r="18" spans="1:11" ht="12.75" customHeight="1" thickTop="1" thickBot="1" x14ac:dyDescent="0.25">
      <c r="A18" s="2220" t="s">
        <v>6</v>
      </c>
      <c r="B18" s="2221"/>
      <c r="C18" s="724"/>
      <c r="D18" s="584"/>
      <c r="E18" s="724"/>
      <c r="F18" s="1749">
        <f>SUM(C18+D18)-E18</f>
        <v>0</v>
      </c>
    </row>
    <row r="19" spans="1:11" ht="12.75" customHeight="1" thickTop="1" thickBot="1" x14ac:dyDescent="0.25">
      <c r="A19" s="2220" t="s">
        <v>388</v>
      </c>
      <c r="B19" s="2221"/>
      <c r="C19" s="724"/>
      <c r="D19" s="584"/>
      <c r="E19" s="724"/>
      <c r="F19" s="1749">
        <f>SUM(C19+D19)-E19</f>
        <v>0</v>
      </c>
    </row>
    <row r="20" spans="1:11" ht="12.75" customHeight="1" thickTop="1" thickBot="1" x14ac:dyDescent="0.25">
      <c r="A20" s="2220" t="s">
        <v>448</v>
      </c>
      <c r="B20" s="2221"/>
      <c r="C20" s="724"/>
      <c r="D20" s="584"/>
      <c r="E20" s="724"/>
      <c r="F20" s="1749">
        <f>SUM(C20+D20)-E20</f>
        <v>0</v>
      </c>
    </row>
    <row r="21" spans="1:11" ht="14.25" thickTop="1" thickBot="1" x14ac:dyDescent="0.25">
      <c r="A21" s="2197" t="s">
        <v>632</v>
      </c>
      <c r="B21" s="2198"/>
      <c r="C21" s="1749">
        <f>SUM(C17:C20)</f>
        <v>0</v>
      </c>
      <c r="D21" s="1749">
        <f>SUM(D17:D20)</f>
        <v>0</v>
      </c>
      <c r="E21" s="1749">
        <f>SUM(E17:E20)</f>
        <v>0</v>
      </c>
      <c r="F21" s="1749">
        <f>SUM(F17:F20)</f>
        <v>0</v>
      </c>
      <c r="G21" s="552"/>
    </row>
    <row r="22" spans="1:11" ht="15.75" customHeight="1" thickTop="1" x14ac:dyDescent="0.2">
      <c r="A22" s="2222" t="s">
        <v>1112</v>
      </c>
      <c r="B22" s="2196"/>
      <c r="C22" s="2204"/>
      <c r="D22" s="2205"/>
      <c r="E22" s="2205"/>
      <c r="F22" s="2206"/>
    </row>
    <row r="23" spans="1:11" ht="13.5" thickBot="1" x14ac:dyDescent="0.25">
      <c r="A23" s="2210" t="s">
        <v>633</v>
      </c>
      <c r="B23" s="2211"/>
      <c r="C23" s="580"/>
      <c r="D23" s="580"/>
      <c r="E23" s="580"/>
      <c r="F23" s="1749">
        <f>SUM(C23+D23)-E23</f>
        <v>0</v>
      </c>
      <c r="G23" s="552"/>
    </row>
    <row r="24" spans="1:11" ht="15.75" customHeight="1" thickTop="1" x14ac:dyDescent="0.2">
      <c r="A24" s="2222" t="s">
        <v>1113</v>
      </c>
      <c r="B24" s="2196"/>
      <c r="C24" s="2204"/>
      <c r="D24" s="2205"/>
      <c r="E24" s="2205"/>
      <c r="F24" s="2206"/>
    </row>
    <row r="25" spans="1:11" ht="13.5" thickBot="1" x14ac:dyDescent="0.25">
      <c r="A25" s="2210" t="s">
        <v>634</v>
      </c>
      <c r="B25" s="2211"/>
      <c r="C25" s="580"/>
      <c r="D25" s="580"/>
      <c r="E25" s="580"/>
      <c r="F25" s="1749">
        <f>SUM(C25+D25)-E25</f>
        <v>0</v>
      </c>
      <c r="G25" s="552"/>
    </row>
    <row r="26" spans="1:11" ht="15.75" customHeight="1" thickTop="1" x14ac:dyDescent="0.2">
      <c r="A26" s="2195" t="s">
        <v>657</v>
      </c>
      <c r="B26" s="2196"/>
      <c r="C26" s="725"/>
      <c r="D26" s="725"/>
      <c r="E26" s="725"/>
      <c r="F26" s="726"/>
    </row>
    <row r="27" spans="1:11" ht="13.5" thickBot="1" x14ac:dyDescent="0.25">
      <c r="A27" s="2197" t="s">
        <v>1070</v>
      </c>
      <c r="B27" s="2198"/>
      <c r="C27" s="584"/>
      <c r="D27" s="584"/>
      <c r="E27" s="584"/>
      <c r="F27" s="1749">
        <f>SUM(C27+D27)-E27</f>
        <v>0</v>
      </c>
      <c r="G27" s="552"/>
    </row>
    <row r="28" spans="1:11" ht="7.5" customHeight="1" thickTop="1" x14ac:dyDescent="0.2">
      <c r="A28" s="592"/>
    </row>
    <row r="29" spans="1:11" ht="23.25" customHeight="1" x14ac:dyDescent="0.2">
      <c r="A29" s="2223" t="s">
        <v>582</v>
      </c>
      <c r="B29" s="2200"/>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2087</v>
      </c>
      <c r="B31" s="731">
        <v>39878</v>
      </c>
      <c r="C31" s="732">
        <v>2000000</v>
      </c>
      <c r="D31" s="733">
        <v>2</v>
      </c>
      <c r="E31" s="732">
        <v>715000</v>
      </c>
      <c r="F31" s="732"/>
      <c r="G31" s="732"/>
      <c r="H31" s="732">
        <v>715000</v>
      </c>
      <c r="I31" s="1750">
        <f>((E31+F31)-H31)+G31</f>
        <v>0</v>
      </c>
      <c r="J31" s="732"/>
      <c r="K31" s="734"/>
    </row>
    <row r="32" spans="1:11" ht="12" customHeight="1" x14ac:dyDescent="0.2">
      <c r="A32" s="730" t="s">
        <v>2088</v>
      </c>
      <c r="B32" s="731">
        <v>40603</v>
      </c>
      <c r="C32" s="732">
        <v>1800000</v>
      </c>
      <c r="D32" s="733">
        <v>4</v>
      </c>
      <c r="E32" s="732">
        <v>1720000</v>
      </c>
      <c r="F32" s="732"/>
      <c r="G32" s="732"/>
      <c r="H32" s="732">
        <v>85000</v>
      </c>
      <c r="I32" s="1750">
        <f>((E32+F32)-H32)+G32</f>
        <v>1635000</v>
      </c>
      <c r="J32" s="732">
        <v>1248381</v>
      </c>
      <c r="K32" s="734"/>
    </row>
    <row r="33" spans="1:11" ht="12" customHeight="1" x14ac:dyDescent="0.2">
      <c r="A33" s="730" t="s">
        <v>2089</v>
      </c>
      <c r="B33" s="731">
        <v>41306</v>
      </c>
      <c r="C33" s="732">
        <v>1175000</v>
      </c>
      <c r="D33" s="733">
        <v>1</v>
      </c>
      <c r="E33" s="732">
        <v>615000</v>
      </c>
      <c r="F33" s="732"/>
      <c r="G33" s="732"/>
      <c r="H33" s="732">
        <v>300000</v>
      </c>
      <c r="I33" s="1750">
        <f t="shared" ref="I33:I48" si="1">((E33+F33)-H33)+G33</f>
        <v>315000</v>
      </c>
      <c r="J33" s="732">
        <v>315000</v>
      </c>
      <c r="K33" s="734"/>
    </row>
    <row r="34" spans="1:11" ht="12" customHeight="1" x14ac:dyDescent="0.2">
      <c r="A34" s="730" t="s">
        <v>2090</v>
      </c>
      <c r="B34" s="731">
        <v>41306</v>
      </c>
      <c r="C34" s="732">
        <v>1035000</v>
      </c>
      <c r="D34" s="733">
        <v>3</v>
      </c>
      <c r="E34" s="732">
        <v>1035000</v>
      </c>
      <c r="F34" s="732"/>
      <c r="G34" s="732"/>
      <c r="H34" s="732"/>
      <c r="I34" s="1750">
        <f t="shared" si="1"/>
        <v>1035000</v>
      </c>
      <c r="J34" s="732">
        <v>1035000</v>
      </c>
      <c r="K34" s="735"/>
    </row>
    <row r="35" spans="1:11" ht="12" customHeight="1" x14ac:dyDescent="0.2">
      <c r="A35" s="730" t="s">
        <v>2091</v>
      </c>
      <c r="B35" s="731">
        <v>41791</v>
      </c>
      <c r="C35" s="736">
        <v>1000000</v>
      </c>
      <c r="D35" s="733">
        <v>2</v>
      </c>
      <c r="E35" s="736">
        <v>815000</v>
      </c>
      <c r="F35" s="736"/>
      <c r="G35" s="736"/>
      <c r="H35" s="736">
        <v>95000</v>
      </c>
      <c r="I35" s="1750">
        <f t="shared" si="1"/>
        <v>720000</v>
      </c>
      <c r="J35" s="736">
        <v>720000</v>
      </c>
      <c r="K35" s="735"/>
    </row>
    <row r="36" spans="1:11" ht="12" customHeight="1" x14ac:dyDescent="0.2">
      <c r="A36" s="730" t="s">
        <v>2092</v>
      </c>
      <c r="B36" s="731"/>
      <c r="C36" s="732">
        <v>41955</v>
      </c>
      <c r="D36" s="733">
        <v>7</v>
      </c>
      <c r="E36" s="732">
        <v>40743</v>
      </c>
      <c r="F36" s="732"/>
      <c r="G36" s="732"/>
      <c r="H36" s="732">
        <v>7523</v>
      </c>
      <c r="I36" s="1750">
        <f t="shared" si="1"/>
        <v>33220</v>
      </c>
      <c r="J36" s="732">
        <v>33220</v>
      </c>
      <c r="K36" s="737"/>
    </row>
    <row r="37" spans="1:11" ht="12" customHeight="1" x14ac:dyDescent="0.2">
      <c r="A37" s="730" t="s">
        <v>2096</v>
      </c>
      <c r="B37" s="731">
        <v>43360</v>
      </c>
      <c r="C37" s="467">
        <v>713800</v>
      </c>
      <c r="D37" s="738">
        <v>3</v>
      </c>
      <c r="E37" s="467"/>
      <c r="F37" s="467">
        <v>713800</v>
      </c>
      <c r="G37" s="467"/>
      <c r="H37" s="467"/>
      <c r="I37" s="1750">
        <f t="shared" si="1"/>
        <v>713800</v>
      </c>
      <c r="J37" s="467">
        <v>713800</v>
      </c>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7765755</v>
      </c>
      <c r="D49" s="743"/>
      <c r="E49" s="1750">
        <f t="shared" ref="E49:J49" si="2">SUM(E31:E48)</f>
        <v>4940743</v>
      </c>
      <c r="F49" s="1750">
        <f t="shared" si="2"/>
        <v>713800</v>
      </c>
      <c r="G49" s="1750">
        <f t="shared" si="2"/>
        <v>0</v>
      </c>
      <c r="H49" s="1750">
        <f t="shared" si="2"/>
        <v>1202523</v>
      </c>
      <c r="I49" s="1750">
        <f t="shared" si="2"/>
        <v>4452020</v>
      </c>
      <c r="J49" s="1750">
        <f t="shared" si="2"/>
        <v>4065401</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214" t="s">
        <v>584</v>
      </c>
      <c r="C52" s="2215"/>
      <c r="D52" s="2215"/>
      <c r="E52" s="747" t="s">
        <v>845</v>
      </c>
      <c r="F52" s="2216" t="s">
        <v>2086</v>
      </c>
      <c r="G52" s="2217"/>
      <c r="H52" s="734"/>
      <c r="I52" s="734"/>
      <c r="J52" s="744"/>
    </row>
    <row r="53" spans="1:11" ht="11.25" customHeight="1" x14ac:dyDescent="0.2">
      <c r="A53" s="748" t="s">
        <v>913</v>
      </c>
      <c r="B53" s="749" t="s">
        <v>951</v>
      </c>
      <c r="C53" s="744"/>
      <c r="D53" s="735"/>
      <c r="E53" s="747" t="s">
        <v>497</v>
      </c>
      <c r="F53" s="2218"/>
      <c r="G53" s="2219"/>
      <c r="H53" s="734"/>
      <c r="I53" s="734"/>
      <c r="J53" s="744"/>
    </row>
    <row r="54" spans="1:11" ht="11.25" customHeight="1" x14ac:dyDescent="0.2">
      <c r="A54" s="750" t="s">
        <v>914</v>
      </c>
      <c r="B54" s="745" t="s">
        <v>952</v>
      </c>
      <c r="C54" s="744"/>
      <c r="D54" s="735"/>
      <c r="E54" s="747" t="s">
        <v>498</v>
      </c>
      <c r="F54" s="2218"/>
      <c r="G54" s="2219"/>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8" t="s">
        <v>856</v>
      </c>
      <c r="B1" s="2249"/>
      <c r="C1" s="2249"/>
      <c r="D1" s="2249"/>
      <c r="E1" s="2249"/>
      <c r="F1" s="2249"/>
      <c r="G1" s="2250"/>
      <c r="H1" s="1528"/>
      <c r="I1" s="758"/>
      <c r="J1" s="433"/>
    </row>
    <row r="2" spans="1:11" ht="26.25" x14ac:dyDescent="0.2">
      <c r="A2" s="2227" t="s">
        <v>1677</v>
      </c>
      <c r="B2" s="2228"/>
      <c r="C2" s="2228"/>
      <c r="D2" s="2228"/>
      <c r="E2" s="2229"/>
      <c r="F2" s="759" t="s">
        <v>904</v>
      </c>
      <c r="G2" s="760" t="s">
        <v>1674</v>
      </c>
      <c r="H2" s="760" t="s">
        <v>410</v>
      </c>
      <c r="I2" s="760" t="s">
        <v>1158</v>
      </c>
      <c r="J2" s="760" t="s">
        <v>1812</v>
      </c>
      <c r="K2" s="760" t="s">
        <v>138</v>
      </c>
    </row>
    <row r="3" spans="1:11" x14ac:dyDescent="0.2">
      <c r="A3" s="2230" t="s">
        <v>1962</v>
      </c>
      <c r="B3" s="2231"/>
      <c r="C3" s="2231"/>
      <c r="D3" s="2231"/>
      <c r="E3" s="2232"/>
      <c r="F3" s="761"/>
      <c r="G3" s="762"/>
      <c r="H3" s="762"/>
      <c r="I3" s="762"/>
      <c r="J3" s="763"/>
      <c r="K3" s="763"/>
    </row>
    <row r="4" spans="1:11" x14ac:dyDescent="0.2">
      <c r="A4" s="2233" t="s">
        <v>369</v>
      </c>
      <c r="B4" s="2234"/>
      <c r="C4" s="2234"/>
      <c r="D4" s="2234"/>
      <c r="E4" s="2215"/>
      <c r="F4" s="764"/>
      <c r="G4" s="765"/>
      <c r="H4" s="766"/>
      <c r="I4" s="765"/>
      <c r="J4" s="767"/>
      <c r="K4" s="767"/>
    </row>
    <row r="5" spans="1:11" x14ac:dyDescent="0.2">
      <c r="A5" s="2251" t="s">
        <v>1069</v>
      </c>
      <c r="B5" s="2224"/>
      <c r="C5" s="2224"/>
      <c r="D5" s="2224"/>
      <c r="E5" s="2252"/>
      <c r="F5" s="768" t="s">
        <v>848</v>
      </c>
      <c r="G5" s="769"/>
      <c r="H5" s="762">
        <v>31262</v>
      </c>
      <c r="I5" s="770"/>
      <c r="J5" s="771"/>
      <c r="K5" s="771"/>
    </row>
    <row r="6" spans="1:11" x14ac:dyDescent="0.2">
      <c r="A6" s="772" t="s">
        <v>720</v>
      </c>
      <c r="B6" s="773"/>
      <c r="C6" s="773"/>
      <c r="D6" s="773"/>
      <c r="E6" s="774"/>
      <c r="F6" s="775" t="s">
        <v>849</v>
      </c>
      <c r="G6" s="762"/>
      <c r="H6" s="762"/>
      <c r="I6" s="762"/>
      <c r="J6" s="763"/>
      <c r="K6" s="763"/>
    </row>
    <row r="7" spans="1:11" x14ac:dyDescent="0.2">
      <c r="A7" s="776" t="s">
        <v>246</v>
      </c>
      <c r="B7" s="777"/>
      <c r="C7" s="777"/>
      <c r="D7" s="777"/>
      <c r="E7" s="778"/>
      <c r="F7" s="768" t="s">
        <v>850</v>
      </c>
      <c r="G7" s="765"/>
      <c r="H7" s="765"/>
      <c r="I7" s="765"/>
      <c r="J7" s="779"/>
      <c r="K7" s="763">
        <v>7050</v>
      </c>
    </row>
    <row r="8" spans="1:11" x14ac:dyDescent="0.2">
      <c r="A8" s="776" t="s">
        <v>345</v>
      </c>
      <c r="B8" s="777"/>
      <c r="C8" s="777"/>
      <c r="D8" s="777"/>
      <c r="E8" s="778"/>
      <c r="F8" s="768" t="s">
        <v>851</v>
      </c>
      <c r="G8" s="780"/>
      <c r="H8" s="780"/>
      <c r="I8" s="780"/>
      <c r="J8" s="763"/>
      <c r="K8" s="767"/>
    </row>
    <row r="9" spans="1:11" x14ac:dyDescent="0.2">
      <c r="A9" s="776" t="s">
        <v>138</v>
      </c>
      <c r="B9" s="777"/>
      <c r="C9" s="777"/>
      <c r="D9" s="777"/>
      <c r="E9" s="778"/>
      <c r="F9" s="775" t="s">
        <v>853</v>
      </c>
      <c r="G9" s="780"/>
      <c r="H9" s="769"/>
      <c r="I9" s="769"/>
      <c r="J9" s="779"/>
      <c r="K9" s="763">
        <v>5835</v>
      </c>
    </row>
    <row r="10" spans="1:11" x14ac:dyDescent="0.2">
      <c r="A10" s="2251" t="s">
        <v>1813</v>
      </c>
      <c r="B10" s="2224"/>
      <c r="C10" s="2224"/>
      <c r="D10" s="2224"/>
      <c r="E10" s="2253"/>
      <c r="F10" s="781" t="s">
        <v>862</v>
      </c>
      <c r="G10" s="780"/>
      <c r="H10" s="782"/>
      <c r="I10" s="762"/>
      <c r="J10" s="763"/>
      <c r="K10" s="763"/>
    </row>
    <row r="11" spans="1:11" x14ac:dyDescent="0.2">
      <c r="A11" s="2251" t="s">
        <v>160</v>
      </c>
      <c r="B11" s="2224"/>
      <c r="C11" s="2224"/>
      <c r="D11" s="2224"/>
      <c r="E11" s="2252"/>
      <c r="F11" s="768" t="s">
        <v>852</v>
      </c>
      <c r="G11" s="769"/>
      <c r="H11" s="762"/>
      <c r="I11" s="762"/>
      <c r="J11" s="763"/>
      <c r="K11" s="771"/>
    </row>
    <row r="12" spans="1:11" ht="13.5" thickBot="1" x14ac:dyDescent="0.25">
      <c r="A12" s="2241" t="s">
        <v>905</v>
      </c>
      <c r="B12" s="2242"/>
      <c r="C12" s="2242"/>
      <c r="D12" s="2242"/>
      <c r="E12" s="2243"/>
      <c r="F12" s="1751"/>
      <c r="G12" s="1752">
        <f>SUM(G5:G11)</f>
        <v>0</v>
      </c>
      <c r="H12" s="1752">
        <f>SUM(H5:H11)</f>
        <v>31262</v>
      </c>
      <c r="I12" s="1752">
        <f>SUM(I5:I11)</f>
        <v>0</v>
      </c>
      <c r="J12" s="1752">
        <f>SUM(J5:J11)</f>
        <v>0</v>
      </c>
      <c r="K12" s="1752">
        <f>SUM(K5:K11)</f>
        <v>12885</v>
      </c>
    </row>
    <row r="13" spans="1:11" ht="13.5" thickTop="1" x14ac:dyDescent="0.2">
      <c r="A13" s="2235" t="s">
        <v>370</v>
      </c>
      <c r="B13" s="2236"/>
      <c r="C13" s="2236"/>
      <c r="D13" s="2236"/>
      <c r="E13" s="2237"/>
      <c r="F13" s="783"/>
      <c r="G13" s="784"/>
      <c r="H13" s="785"/>
      <c r="I13" s="786"/>
      <c r="J13" s="786"/>
      <c r="K13" s="786"/>
    </row>
    <row r="14" spans="1:11" x14ac:dyDescent="0.2">
      <c r="A14" s="2257" t="s">
        <v>456</v>
      </c>
      <c r="B14" s="2257"/>
      <c r="C14" s="2257"/>
      <c r="D14" s="2257"/>
      <c r="E14" s="2258"/>
      <c r="F14" s="787" t="s">
        <v>854</v>
      </c>
      <c r="G14" s="780"/>
      <c r="H14" s="762">
        <v>31262</v>
      </c>
      <c r="I14" s="769"/>
      <c r="J14" s="771"/>
      <c r="K14" s="763">
        <v>12885</v>
      </c>
    </row>
    <row r="15" spans="1:11" x14ac:dyDescent="0.2">
      <c r="A15" s="2224" t="s">
        <v>4</v>
      </c>
      <c r="B15" s="2224"/>
      <c r="C15" s="2224"/>
      <c r="D15" s="2224"/>
      <c r="E15" s="2252"/>
      <c r="F15" s="787" t="s">
        <v>855</v>
      </c>
      <c r="G15" s="769"/>
      <c r="H15" s="762"/>
      <c r="I15" s="762"/>
      <c r="J15" s="763"/>
      <c r="K15" s="763"/>
    </row>
    <row r="16" spans="1:11" x14ac:dyDescent="0.2">
      <c r="A16" s="2224" t="s">
        <v>298</v>
      </c>
      <c r="B16" s="2224"/>
      <c r="C16" s="2224"/>
      <c r="D16" s="2224"/>
      <c r="E16" s="2252"/>
      <c r="F16" s="787" t="s">
        <v>923</v>
      </c>
      <c r="G16" s="770"/>
      <c r="H16" s="765"/>
      <c r="I16" s="765"/>
      <c r="J16" s="767"/>
      <c r="K16" s="767"/>
    </row>
    <row r="17" spans="1:11" x14ac:dyDescent="0.2">
      <c r="A17" s="2246" t="s">
        <v>935</v>
      </c>
      <c r="B17" s="2246"/>
      <c r="C17" s="2246"/>
      <c r="D17" s="2246"/>
      <c r="E17" s="2247"/>
      <c r="F17" s="788"/>
      <c r="G17" s="789"/>
      <c r="H17" s="790"/>
      <c r="I17" s="790"/>
      <c r="J17" s="791"/>
      <c r="K17" s="792"/>
    </row>
    <row r="18" spans="1:11" x14ac:dyDescent="0.2">
      <c r="A18" s="2238" t="s">
        <v>368</v>
      </c>
      <c r="B18" s="2239"/>
      <c r="C18" s="2239"/>
      <c r="D18" s="2239"/>
      <c r="E18" s="2240"/>
      <c r="F18" s="787" t="s">
        <v>932</v>
      </c>
      <c r="G18" s="780"/>
      <c r="H18" s="780"/>
      <c r="I18" s="780"/>
      <c r="J18" s="763"/>
      <c r="K18" s="793"/>
    </row>
    <row r="19" spans="1:11" ht="21.75" customHeight="1" x14ac:dyDescent="0.2">
      <c r="A19" s="2259" t="s">
        <v>1809</v>
      </c>
      <c r="B19" s="2259"/>
      <c r="C19" s="2259"/>
      <c r="D19" s="2259"/>
      <c r="E19" s="2260"/>
      <c r="F19" s="787" t="s">
        <v>933</v>
      </c>
      <c r="G19" s="780"/>
      <c r="H19" s="780"/>
      <c r="I19" s="780"/>
      <c r="J19" s="763"/>
      <c r="K19" s="793"/>
    </row>
    <row r="20" spans="1:11" x14ac:dyDescent="0.2">
      <c r="A20" s="2238" t="s">
        <v>1814</v>
      </c>
      <c r="B20" s="2239"/>
      <c r="C20" s="2239"/>
      <c r="D20" s="2239"/>
      <c r="E20" s="2240"/>
      <c r="F20" s="787" t="s">
        <v>934</v>
      </c>
      <c r="G20" s="780"/>
      <c r="H20" s="780"/>
      <c r="I20" s="780"/>
      <c r="J20" s="763"/>
      <c r="K20" s="793"/>
    </row>
    <row r="21" spans="1:11" ht="13.5" thickBot="1" x14ac:dyDescent="0.25">
      <c r="A21" s="2244" t="s">
        <v>638</v>
      </c>
      <c r="B21" s="2244"/>
      <c r="C21" s="2244"/>
      <c r="D21" s="2244"/>
      <c r="E21" s="2244"/>
      <c r="F21" s="1753"/>
      <c r="G21" s="790"/>
      <c r="H21" s="794"/>
      <c r="I21" s="794"/>
      <c r="J21" s="1754">
        <f>SUM(J18:J20)</f>
        <v>0</v>
      </c>
      <c r="K21" s="791"/>
    </row>
    <row r="22" spans="1:11" ht="13.5" thickTop="1" x14ac:dyDescent="0.2">
      <c r="A22" s="2224" t="s">
        <v>1815</v>
      </c>
      <c r="B22" s="2224"/>
      <c r="C22" s="2224"/>
      <c r="D22" s="2224"/>
      <c r="E22" s="2252"/>
      <c r="F22" s="787" t="s">
        <v>862</v>
      </c>
      <c r="G22" s="780"/>
      <c r="H22" s="762"/>
      <c r="I22" s="762"/>
      <c r="J22" s="795"/>
      <c r="K22" s="763"/>
    </row>
    <row r="23" spans="1:11" ht="13.5" thickBot="1" x14ac:dyDescent="0.25">
      <c r="A23" s="2245" t="s">
        <v>906</v>
      </c>
      <c r="B23" s="2244"/>
      <c r="C23" s="2244"/>
      <c r="D23" s="2244"/>
      <c r="E23" s="2244"/>
      <c r="F23" s="1755"/>
      <c r="G23" s="1752">
        <f>SUM(G14:G16,G21,G22)</f>
        <v>0</v>
      </c>
      <c r="H23" s="1752">
        <f>SUM(H14:H16,H21,H22)</f>
        <v>31262</v>
      </c>
      <c r="I23" s="1752">
        <f>SUM(I14:I16,I21,I22)</f>
        <v>0</v>
      </c>
      <c r="J23" s="1752">
        <f>SUM(J14:J16,J21,J22)</f>
        <v>0</v>
      </c>
      <c r="K23" s="1752">
        <f>SUM(K14:K16,K21,K22)</f>
        <v>12885</v>
      </c>
    </row>
    <row r="24" spans="1:11" ht="14.25" thickTop="1" thickBot="1" x14ac:dyDescent="0.25">
      <c r="A24" s="2245" t="s">
        <v>1963</v>
      </c>
      <c r="B24" s="2244"/>
      <c r="C24" s="2244"/>
      <c r="D24" s="2244"/>
      <c r="E24" s="2244"/>
      <c r="F24" s="1756"/>
      <c r="G24" s="1757">
        <f>SUM(G3,G12)-G23</f>
        <v>0</v>
      </c>
      <c r="H24" s="1757">
        <f>SUM(H3,H12)-H23</f>
        <v>0</v>
      </c>
      <c r="I24" s="1757">
        <f>SUM(I3,I12)-I23</f>
        <v>0</v>
      </c>
      <c r="J24" s="1757">
        <f>SUM(J3,J12)-J23</f>
        <v>0</v>
      </c>
      <c r="K24" s="1757">
        <f>SUM(K3,K12)-K23</f>
        <v>0</v>
      </c>
    </row>
    <row r="25" spans="1:11" ht="13.5" thickTop="1" x14ac:dyDescent="0.2">
      <c r="A25" s="796" t="s">
        <v>420</v>
      </c>
      <c r="B25" s="797"/>
      <c r="C25" s="797"/>
      <c r="D25" s="797"/>
      <c r="E25" s="798"/>
      <c r="F25" s="799">
        <v>714</v>
      </c>
      <c r="G25" s="800"/>
      <c r="H25" s="800"/>
      <c r="I25" s="800"/>
      <c r="J25" s="795"/>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54"/>
      <c r="I31" s="2255"/>
      <c r="J31" s="2255"/>
      <c r="K31" s="2255"/>
    </row>
    <row r="32" spans="1:11" x14ac:dyDescent="0.2">
      <c r="A32" s="807"/>
      <c r="B32" s="237"/>
      <c r="C32" s="237"/>
      <c r="D32" s="237"/>
      <c r="E32" s="803"/>
      <c r="F32" s="809" t="s">
        <v>540</v>
      </c>
      <c r="G32" s="762"/>
      <c r="H32" s="2256"/>
      <c r="I32" s="2255"/>
      <c r="J32" s="2255"/>
      <c r="K32" s="2255"/>
    </row>
    <row r="33" spans="1:11" ht="1.5" customHeight="1" x14ac:dyDescent="0.2">
      <c r="A33" s="810" t="s">
        <v>1169</v>
      </c>
      <c r="B33" s="364"/>
      <c r="C33" s="364"/>
      <c r="D33" s="364"/>
      <c r="E33" s="364"/>
      <c r="F33" s="364"/>
      <c r="G33" s="811"/>
      <c r="H33" s="2256"/>
      <c r="I33" s="2255"/>
      <c r="J33" s="2255"/>
      <c r="K33" s="2255"/>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4" t="s">
        <v>541</v>
      </c>
      <c r="B41" s="2225"/>
      <c r="C41" s="2225"/>
      <c r="D41" s="2225"/>
      <c r="E41" s="2225"/>
      <c r="F41" s="2226"/>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23" sqref="F23"/>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3" t="s">
        <v>1908</v>
      </c>
      <c r="B1" s="2264"/>
      <c r="C1" s="2265"/>
      <c r="D1" s="824"/>
      <c r="E1" s="825"/>
      <c r="F1" s="825"/>
      <c r="G1" s="826"/>
      <c r="H1" s="827"/>
      <c r="I1" s="828"/>
      <c r="J1" s="2261"/>
      <c r="K1" s="2262"/>
      <c r="L1" s="2262"/>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c r="D5" s="839"/>
      <c r="E5" s="839"/>
      <c r="F5" s="1754">
        <f>(C5+D5)-E5</f>
        <v>0</v>
      </c>
      <c r="G5" s="835"/>
      <c r="H5" s="840"/>
      <c r="I5" s="840"/>
      <c r="J5" s="840"/>
      <c r="K5" s="791"/>
      <c r="L5" s="1763">
        <f>F5-K5</f>
        <v>0</v>
      </c>
    </row>
    <row r="6" spans="1:14" ht="14.25" thickTop="1" thickBot="1" x14ac:dyDescent="0.25">
      <c r="A6" s="776" t="s">
        <v>1117</v>
      </c>
      <c r="B6" s="838">
        <v>222</v>
      </c>
      <c r="C6" s="763">
        <v>60642</v>
      </c>
      <c r="D6" s="763"/>
      <c r="E6" s="763"/>
      <c r="F6" s="1754">
        <f>(C6+D6)-E6</f>
        <v>60642</v>
      </c>
      <c r="G6" s="835">
        <v>50</v>
      </c>
      <c r="H6" s="763"/>
      <c r="I6" s="763"/>
      <c r="J6" s="763"/>
      <c r="K6" s="1763">
        <f>(H6+I6)-J6</f>
        <v>0</v>
      </c>
      <c r="L6" s="1763">
        <f>F6-K6</f>
        <v>60642</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10145239</v>
      </c>
      <c r="D8" s="842">
        <v>158439</v>
      </c>
      <c r="E8" s="842"/>
      <c r="F8" s="1754">
        <f>(C8+D8)-E8</f>
        <v>10303678</v>
      </c>
      <c r="G8" s="841">
        <v>50</v>
      </c>
      <c r="H8" s="763">
        <v>4792196</v>
      </c>
      <c r="I8" s="763">
        <v>190342</v>
      </c>
      <c r="J8" s="763"/>
      <c r="K8" s="1763">
        <f>(H8+I8)-J8</f>
        <v>4982538</v>
      </c>
      <c r="L8" s="1763">
        <f>F8-K8</f>
        <v>5321140</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233159</v>
      </c>
      <c r="D10" s="844"/>
      <c r="E10" s="844"/>
      <c r="F10" s="1758">
        <f>(C10+D10)-E10</f>
        <v>233159</v>
      </c>
      <c r="G10" s="841">
        <v>20</v>
      </c>
      <c r="H10" s="845">
        <v>196460</v>
      </c>
      <c r="I10" s="845">
        <v>2844</v>
      </c>
      <c r="J10" s="845"/>
      <c r="K10" s="1763">
        <f>(H10+I10)-J10</f>
        <v>199304</v>
      </c>
      <c r="L10" s="1763">
        <f>F10-K10</f>
        <v>33855</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770348</v>
      </c>
      <c r="D12" s="842">
        <v>92170</v>
      </c>
      <c r="E12" s="842">
        <v>37586</v>
      </c>
      <c r="F12" s="1754">
        <f>(C12+D12)-E12</f>
        <v>824932</v>
      </c>
      <c r="G12" s="841">
        <v>10</v>
      </c>
      <c r="H12" s="763">
        <v>401944</v>
      </c>
      <c r="I12" s="763">
        <v>82493</v>
      </c>
      <c r="J12" s="763">
        <v>37586</v>
      </c>
      <c r="K12" s="1763">
        <f>(H12+I12)-J12</f>
        <v>446851</v>
      </c>
      <c r="L12" s="1763">
        <f>F12-K12</f>
        <v>378081</v>
      </c>
    </row>
    <row r="13" spans="1:14" ht="14.25" thickTop="1" thickBot="1" x14ac:dyDescent="0.25">
      <c r="A13" s="846" t="s">
        <v>1122</v>
      </c>
      <c r="B13" s="838">
        <v>252</v>
      </c>
      <c r="C13" s="842">
        <v>18652</v>
      </c>
      <c r="D13" s="842"/>
      <c r="E13" s="842"/>
      <c r="F13" s="1754">
        <f>(C13+D13)-E13</f>
        <v>18652</v>
      </c>
      <c r="G13" s="841">
        <v>5</v>
      </c>
      <c r="H13" s="763">
        <v>7460</v>
      </c>
      <c r="I13" s="763">
        <v>3730</v>
      </c>
      <c r="J13" s="763"/>
      <c r="K13" s="1763">
        <f>(H13+I13)-J13</f>
        <v>11190</v>
      </c>
      <c r="L13" s="1763">
        <f>F13-K13</f>
        <v>7462</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c r="E15" s="842"/>
      <c r="F15" s="1754">
        <f>(C15+D15)-E15</f>
        <v>0</v>
      </c>
      <c r="G15" s="847" t="s">
        <v>862</v>
      </c>
      <c r="H15" s="779"/>
      <c r="I15" s="779"/>
      <c r="J15" s="779"/>
      <c r="K15" s="779"/>
      <c r="L15" s="1763">
        <f>F15-K15</f>
        <v>0</v>
      </c>
    </row>
    <row r="16" spans="1:14" ht="15" customHeight="1" thickTop="1" thickBot="1" x14ac:dyDescent="0.25">
      <c r="A16" s="1759" t="s">
        <v>643</v>
      </c>
      <c r="B16" s="1760">
        <v>200</v>
      </c>
      <c r="C16" s="1754">
        <f>SUM(C3,C5:C6,C8:C10,C12:C15)</f>
        <v>11228040</v>
      </c>
      <c r="D16" s="1754">
        <f>SUM(D3,D5:D6,D8:D10,D12:D15)</f>
        <v>250609</v>
      </c>
      <c r="E16" s="1754">
        <f>SUM(E3,E5:E6,E8:E10,E12:E15)</f>
        <v>37586</v>
      </c>
      <c r="F16" s="1754">
        <f>SUM(F3,F5:F6,F8:F10,F12:F15)</f>
        <v>11441063</v>
      </c>
      <c r="G16" s="841"/>
      <c r="H16" s="1754">
        <f>SUM(H3,H6,H8:H10,H12:H14,)</f>
        <v>5398060</v>
      </c>
      <c r="I16" s="1754">
        <f>SUM(I3,I6,I8:I10,I12:I14,)</f>
        <v>279409</v>
      </c>
      <c r="J16" s="1754">
        <f>SUM(J3,J6,J8:J10,J12:J14,)</f>
        <v>37586</v>
      </c>
      <c r="K16" s="1754">
        <f>(H16+I16)-J16</f>
        <v>5639883</v>
      </c>
      <c r="L16" s="1754">
        <f>F16-K16</f>
        <v>5801180</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279409</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32" activePane="bottomLeft" state="frozen"/>
      <selection activeCell="A47" sqref="A47"/>
      <selection pane="bottomLeft" activeCell="F79" sqref="F79"/>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9" t="s">
        <v>1973</v>
      </c>
      <c r="B1" s="2270"/>
      <c r="C1" s="2270"/>
      <c r="D1" s="2270"/>
      <c r="E1" s="2270"/>
      <c r="F1" s="2271"/>
      <c r="G1" s="853"/>
    </row>
    <row r="2" spans="1:7" ht="15" customHeight="1" thickBot="1" x14ac:dyDescent="0.25">
      <c r="A2" s="2272" t="s">
        <v>477</v>
      </c>
      <c r="B2" s="2273"/>
      <c r="C2" s="2273"/>
      <c r="D2" s="2273"/>
      <c r="E2" s="2273"/>
      <c r="F2" s="2274"/>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75"/>
      <c r="B5" s="2276"/>
      <c r="C5" s="2276"/>
      <c r="D5" s="2276"/>
      <c r="E5" s="2276"/>
      <c r="F5" s="2276"/>
    </row>
    <row r="6" spans="1:7" ht="13.5" customHeight="1" thickBot="1" x14ac:dyDescent="0.25">
      <c r="A6" s="2266" t="s">
        <v>1104</v>
      </c>
      <c r="B6" s="2267"/>
      <c r="C6" s="2267"/>
      <c r="D6" s="2267"/>
      <c r="E6" s="2267"/>
      <c r="F6" s="2268"/>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4512425</v>
      </c>
      <c r="G8" s="863"/>
    </row>
    <row r="9" spans="1:7" x14ac:dyDescent="0.2">
      <c r="A9" s="867" t="s">
        <v>460</v>
      </c>
      <c r="B9" s="868" t="s">
        <v>1876</v>
      </c>
      <c r="C9" s="869"/>
      <c r="D9" s="867" t="s">
        <v>501</v>
      </c>
      <c r="E9" s="866"/>
      <c r="F9" s="1902">
        <f>'Expenditures 15-22'!K151</f>
        <v>533151</v>
      </c>
      <c r="G9" s="870"/>
    </row>
    <row r="10" spans="1:7" x14ac:dyDescent="0.2">
      <c r="A10" s="867" t="s">
        <v>499</v>
      </c>
      <c r="B10" s="868" t="s">
        <v>1877</v>
      </c>
      <c r="C10" s="869"/>
      <c r="D10" s="867" t="s">
        <v>501</v>
      </c>
      <c r="E10" s="866"/>
      <c r="F10" s="1902">
        <f>'Expenditures 15-22'!K174</f>
        <v>1409348</v>
      </c>
      <c r="G10" s="870"/>
    </row>
    <row r="11" spans="1:7" x14ac:dyDescent="0.2">
      <c r="A11" s="867" t="s">
        <v>461</v>
      </c>
      <c r="B11" s="868" t="s">
        <v>1878</v>
      </c>
      <c r="C11" s="869"/>
      <c r="D11" s="867" t="s">
        <v>501</v>
      </c>
      <c r="E11" s="866"/>
      <c r="F11" s="1902">
        <f>'Expenditures 15-22'!K210</f>
        <v>210041</v>
      </c>
      <c r="G11" s="870"/>
    </row>
    <row r="12" spans="1:7" x14ac:dyDescent="0.2">
      <c r="A12" s="867" t="s">
        <v>462</v>
      </c>
      <c r="B12" s="868" t="s">
        <v>1879</v>
      </c>
      <c r="C12" s="869"/>
      <c r="D12" s="867" t="s">
        <v>501</v>
      </c>
      <c r="E12" s="866"/>
      <c r="F12" s="1902">
        <f>'Expenditures 15-22'!K295</f>
        <v>177913</v>
      </c>
      <c r="G12" s="870"/>
    </row>
    <row r="13" spans="1:7" x14ac:dyDescent="0.2">
      <c r="A13" s="867" t="s">
        <v>106</v>
      </c>
      <c r="B13" s="868" t="s">
        <v>1880</v>
      </c>
      <c r="C13" s="869"/>
      <c r="D13" s="867" t="s">
        <v>501</v>
      </c>
      <c r="E13" s="866"/>
      <c r="F13" s="1902">
        <f>'Expenditures 15-22'!K342</f>
        <v>177994</v>
      </c>
      <c r="G13" s="871"/>
    </row>
    <row r="14" spans="1:7" ht="12" customHeight="1" thickBot="1" x14ac:dyDescent="0.25">
      <c r="A14" s="1764"/>
      <c r="B14" s="1765"/>
      <c r="C14" s="1766"/>
      <c r="D14" s="1767" t="s">
        <v>501</v>
      </c>
      <c r="E14" s="1768" t="s">
        <v>958</v>
      </c>
      <c r="F14" s="1769">
        <f>SUM(F8:F13)</f>
        <v>7020872</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0</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4760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73434</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237623</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6">
        <f>'Expenditures 15-22'!K102</f>
        <v>111462</v>
      </c>
      <c r="G53" s="863"/>
    </row>
    <row r="54" spans="1:7" x14ac:dyDescent="0.2">
      <c r="A54" s="867" t="s">
        <v>459</v>
      </c>
      <c r="B54" s="867" t="s">
        <v>1476</v>
      </c>
      <c r="C54" s="887" t="s">
        <v>982</v>
      </c>
      <c r="D54" s="883" t="s">
        <v>1095</v>
      </c>
      <c r="E54" s="866"/>
      <c r="F54" s="1906">
        <f>'Expenditures 15-22'!G114</f>
        <v>15268</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76903</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1202523</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901</v>
      </c>
      <c r="G67" s="863"/>
    </row>
    <row r="68" spans="1:8" x14ac:dyDescent="0.2">
      <c r="A68" s="867" t="s">
        <v>462</v>
      </c>
      <c r="B68" s="867" t="s">
        <v>1479</v>
      </c>
      <c r="C68" s="884" t="str">
        <f>'Expenditures 15-22'!B218</f>
        <v>1225</v>
      </c>
      <c r="D68" s="890" t="str">
        <f>'Expenditures 15-22'!A218</f>
        <v>Special Education Programs - Pre-K</v>
      </c>
      <c r="E68" s="866"/>
      <c r="F68" s="1906">
        <f>'Expenditures 15-22'!K218</f>
        <v>1797</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1724671</v>
      </c>
      <c r="G76" s="863"/>
    </row>
    <row r="77" spans="1:8" s="891" customFormat="1" ht="12" customHeight="1" thickTop="1" thickBot="1" x14ac:dyDescent="0.25">
      <c r="A77" s="1773"/>
      <c r="B77" s="1770"/>
      <c r="C77" s="1766"/>
      <c r="D77" s="1771" t="s">
        <v>1899</v>
      </c>
      <c r="E77" s="1768"/>
      <c r="F77" s="1774">
        <f>(F14-F76)</f>
        <v>5296201</v>
      </c>
      <c r="G77" s="867"/>
    </row>
    <row r="78" spans="1:8" s="891" customFormat="1" ht="12" customHeight="1" thickTop="1" x14ac:dyDescent="0.2">
      <c r="A78" s="1775"/>
      <c r="B78" s="1770"/>
      <c r="C78" s="1766"/>
      <c r="D78" s="1771" t="s">
        <v>2060</v>
      </c>
      <c r="E78" s="1768"/>
      <c r="F78" s="896">
        <v>459.8</v>
      </c>
      <c r="G78" s="897"/>
      <c r="H78" s="867"/>
    </row>
    <row r="79" spans="1:8" s="891" customFormat="1" ht="12" customHeight="1" thickBot="1" x14ac:dyDescent="0.25">
      <c r="A79" s="1776"/>
      <c r="B79" s="1770"/>
      <c r="C79" s="1766"/>
      <c r="D79" s="1771" t="s">
        <v>1900</v>
      </c>
      <c r="E79" s="1768" t="s">
        <v>958</v>
      </c>
      <c r="F79" s="1777">
        <f>IF(F78&gt;0,F77/F78," Complete Line 78")</f>
        <v>11518.488473249239</v>
      </c>
      <c r="G79" s="867"/>
    </row>
    <row r="80" spans="1:8" s="891" customFormat="1" ht="8.25" customHeight="1" thickTop="1" x14ac:dyDescent="0.2">
      <c r="A80" s="898"/>
      <c r="B80" s="867"/>
      <c r="C80" s="869"/>
      <c r="D80" s="899"/>
      <c r="E80" s="866"/>
      <c r="F80" s="900"/>
      <c r="G80" s="867"/>
    </row>
    <row r="81" spans="1:7" s="891" customFormat="1" ht="12" thickBot="1" x14ac:dyDescent="0.25">
      <c r="A81" s="2266" t="s">
        <v>1105</v>
      </c>
      <c r="B81" s="2267"/>
      <c r="C81" s="2267"/>
      <c r="D81" s="2267"/>
      <c r="E81" s="2267"/>
      <c r="F81" s="2268"/>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98035</v>
      </c>
      <c r="G94" s="910"/>
    </row>
    <row r="95" spans="1:7" x14ac:dyDescent="0.2">
      <c r="A95" s="906" t="s">
        <v>140</v>
      </c>
      <c r="B95" s="906" t="s">
        <v>175</v>
      </c>
      <c r="C95" s="908">
        <v>1700</v>
      </c>
      <c r="D95" s="916" t="str">
        <f>'Revenues 9-14'!A82</f>
        <v>Total District/School Activity Income</v>
      </c>
      <c r="E95" s="904"/>
      <c r="F95" s="1783">
        <f>SUM('Revenues 9-14'!C82,'Revenues 9-14'!D82)</f>
        <v>65417</v>
      </c>
      <c r="G95" s="910"/>
    </row>
    <row r="96" spans="1:7" x14ac:dyDescent="0.2">
      <c r="A96" s="906" t="s">
        <v>459</v>
      </c>
      <c r="B96" s="906" t="s">
        <v>176</v>
      </c>
      <c r="C96" s="908">
        <f>'Revenues 9-14'!B84</f>
        <v>1811</v>
      </c>
      <c r="D96" s="909" t="str">
        <f>'Revenues 9-14'!A84</f>
        <v>Rentals - Regular Textbooks</v>
      </c>
      <c r="E96" s="904"/>
      <c r="F96" s="1783">
        <f>'Revenues 9-14'!C84</f>
        <v>30834</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27973</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143026</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15098</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1322</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5835</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78049</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1168</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36458</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71527</v>
      </c>
      <c r="G125" s="928"/>
    </row>
    <row r="126" spans="1:7" x14ac:dyDescent="0.2">
      <c r="A126" s="925" t="s">
        <v>668</v>
      </c>
      <c r="B126" s="925" t="s">
        <v>2022</v>
      </c>
      <c r="C126" s="930">
        <v>4300</v>
      </c>
      <c r="D126" s="931" t="str">
        <f>'Revenues 9-14'!A204</f>
        <v>Total Title I</v>
      </c>
      <c r="E126" s="904"/>
      <c r="F126" s="1783">
        <f>SUM('Revenues 9-14'!C204,'Revenues 9-14'!D204,'Revenues 9-14'!F204,'Revenues 9-14'!G204)</f>
        <v>61989</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92546</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11670</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10967</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19289</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15127</v>
      </c>
      <c r="G170" s="925"/>
    </row>
    <row r="171" spans="1:7" x14ac:dyDescent="0.2">
      <c r="A171" s="1911" t="s">
        <v>5</v>
      </c>
      <c r="B171" s="1912" t="s">
        <v>1919</v>
      </c>
      <c r="C171" s="1913">
        <v>3100</v>
      </c>
      <c r="D171" s="1914" t="s">
        <v>1921</v>
      </c>
      <c r="E171" s="904"/>
      <c r="F171" s="1899">
        <v>160008</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946338</v>
      </c>
    </row>
    <row r="175" spans="1:7" ht="12" customHeight="1" x14ac:dyDescent="0.2">
      <c r="A175" s="1764"/>
      <c r="B175" s="1778"/>
      <c r="C175" s="1779"/>
      <c r="D175" s="1780" t="s">
        <v>2055</v>
      </c>
      <c r="E175" s="1781"/>
      <c r="F175" s="1783">
        <f>'PCTC-OEPP 27-28'!F77-F174</f>
        <v>4349863</v>
      </c>
    </row>
    <row r="176" spans="1:7" ht="12" customHeight="1" x14ac:dyDescent="0.2">
      <c r="A176" s="1764"/>
      <c r="B176" s="1778"/>
      <c r="C176" s="1779"/>
      <c r="D176" s="1780" t="s">
        <v>1817</v>
      </c>
      <c r="E176" s="1781"/>
      <c r="F176" s="1783">
        <f>'Cap Outlay Deprec 26'!I18</f>
        <v>279409</v>
      </c>
    </row>
    <row r="177" spans="1:7" ht="12" customHeight="1" x14ac:dyDescent="0.2">
      <c r="A177" s="1764"/>
      <c r="B177" s="1778"/>
      <c r="C177" s="1779"/>
      <c r="D177" s="1780" t="s">
        <v>2056</v>
      </c>
      <c r="E177" s="1781"/>
      <c r="F177" s="1783">
        <f>F175+F176</f>
        <v>4629272</v>
      </c>
    </row>
    <row r="178" spans="1:7" ht="12" customHeight="1" x14ac:dyDescent="0.2">
      <c r="A178" s="1764"/>
      <c r="B178" s="1784"/>
      <c r="C178" s="1779"/>
      <c r="D178" s="1780" t="str">
        <f>D78</f>
        <v>9 Month ADA from District Average Daily Attendance/Prior General State Aid Inquiry 2018-2019</v>
      </c>
      <c r="E178" s="1781"/>
      <c r="F178" s="1785">
        <f>'PCTC-OEPP 27-28'!F78</f>
        <v>459.8</v>
      </c>
      <c r="G178" s="928"/>
    </row>
    <row r="179" spans="1:7" ht="12" customHeight="1" thickBot="1" x14ac:dyDescent="0.25">
      <c r="A179" s="1764"/>
      <c r="B179" s="1784"/>
      <c r="C179" s="1779"/>
      <c r="D179" s="1780" t="s">
        <v>2057</v>
      </c>
      <c r="E179" s="1781" t="s">
        <v>1545</v>
      </c>
      <c r="F179" s="1786">
        <f>F177/F178</f>
        <v>10068.012179208352</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8"/>
  <sheetViews>
    <sheetView showGridLines="0" zoomScaleNormal="100" workbookViewId="0">
      <selection activeCell="C20" sqref="C20"/>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4" t="s">
        <v>1832</v>
      </c>
      <c r="B1" s="1655"/>
      <c r="C1" s="1655"/>
      <c r="D1" s="1655"/>
      <c r="E1" s="1655"/>
      <c r="F1" s="1655"/>
      <c r="G1" s="1655"/>
    </row>
    <row r="2" spans="1:7" x14ac:dyDescent="0.25">
      <c r="A2" s="1652"/>
      <c r="B2" s="1652"/>
      <c r="C2" s="1653" t="s">
        <v>979</v>
      </c>
      <c r="D2" s="1652"/>
      <c r="E2" s="1652"/>
      <c r="F2" s="1652"/>
      <c r="G2" s="1652"/>
    </row>
    <row r="3" spans="1:7" ht="5.25" customHeight="1" x14ac:dyDescent="0.25">
      <c r="A3" s="1543"/>
      <c r="B3" s="1543"/>
      <c r="C3" s="1543"/>
      <c r="D3" s="1543"/>
      <c r="E3" s="1543"/>
      <c r="F3" s="1543"/>
      <c r="G3" s="1543"/>
    </row>
    <row r="4" spans="1:7" ht="18.75" customHeight="1" x14ac:dyDescent="0.25">
      <c r="A4" s="2280" t="s">
        <v>1818</v>
      </c>
      <c r="B4" s="2281"/>
      <c r="C4" s="2281"/>
      <c r="D4" s="2281"/>
      <c r="E4" s="2281"/>
      <c r="F4" s="2281"/>
      <c r="G4" s="2282"/>
    </row>
    <row r="5" spans="1:7" x14ac:dyDescent="0.25">
      <c r="A5" s="2283"/>
      <c r="B5" s="2284"/>
      <c r="C5" s="2284"/>
      <c r="D5" s="2284"/>
      <c r="E5" s="2284"/>
      <c r="F5" s="2284"/>
      <c r="G5" s="2285"/>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6" t="s">
        <v>1931</v>
      </c>
      <c r="B8" s="2287"/>
      <c r="C8" s="2287"/>
      <c r="D8" s="2287"/>
      <c r="E8" s="2287"/>
      <c r="F8" s="2287"/>
      <c r="G8" s="2288"/>
    </row>
    <row r="9" spans="1:7" ht="15.75" customHeight="1" x14ac:dyDescent="0.25">
      <c r="A9" s="2289" t="s">
        <v>1906</v>
      </c>
      <c r="B9" s="2290"/>
      <c r="C9" s="2290"/>
      <c r="D9" s="2290"/>
      <c r="E9" s="2290"/>
      <c r="F9" s="2290"/>
      <c r="G9" s="2291"/>
    </row>
    <row r="10" spans="1:7" ht="35.25" customHeight="1" x14ac:dyDescent="0.25">
      <c r="A10" s="2286" t="s">
        <v>2063</v>
      </c>
      <c r="B10" s="2287"/>
      <c r="C10" s="2287"/>
      <c r="D10" s="2287"/>
      <c r="E10" s="2287"/>
      <c r="F10" s="2287"/>
      <c r="G10" s="2288"/>
    </row>
    <row r="11" spans="1:7" ht="15" customHeight="1" x14ac:dyDescent="0.25">
      <c r="A11" s="1535" t="s">
        <v>1820</v>
      </c>
      <c r="B11" s="1536"/>
      <c r="C11" s="1536"/>
      <c r="D11" s="1536"/>
      <c r="E11" s="1536"/>
      <c r="F11" s="1536"/>
      <c r="G11" s="1537"/>
    </row>
    <row r="12" spans="1:7" ht="17.25" customHeight="1" x14ac:dyDescent="0.25">
      <c r="A12" s="2286" t="s">
        <v>1933</v>
      </c>
      <c r="B12" s="2287"/>
      <c r="C12" s="2287"/>
      <c r="D12" s="2287"/>
      <c r="E12" s="2287"/>
      <c r="F12" s="2287"/>
      <c r="G12" s="2288"/>
    </row>
    <row r="13" spans="1:7" ht="15" customHeight="1" x14ac:dyDescent="0.25">
      <c r="A13" s="1535" t="s">
        <v>1825</v>
      </c>
      <c r="B13" s="1536"/>
      <c r="C13" s="1536"/>
      <c r="D13" s="1536"/>
      <c r="E13" s="1536"/>
      <c r="F13" s="1536"/>
      <c r="G13" s="1537"/>
    </row>
    <row r="14" spans="1:7" ht="32.25" customHeight="1" x14ac:dyDescent="0.25">
      <c r="A14" s="2277" t="s">
        <v>1974</v>
      </c>
      <c r="B14" s="2278"/>
      <c r="C14" s="2278"/>
      <c r="D14" s="2278"/>
      <c r="E14" s="2278"/>
      <c r="F14" s="2278"/>
      <c r="G14" s="2279"/>
    </row>
    <row r="15" spans="1:7" x14ac:dyDescent="0.25">
      <c r="A15" s="1656" t="s">
        <v>1833</v>
      </c>
      <c r="B15" s="1657"/>
      <c r="C15" s="1657"/>
      <c r="D15" s="1657"/>
      <c r="E15" s="1657"/>
      <c r="F15" s="1657"/>
      <c r="G15" s="1658"/>
    </row>
    <row r="16" spans="1:7" ht="61.5" customHeight="1" x14ac:dyDescent="0.25">
      <c r="A16" s="1544" t="s">
        <v>1826</v>
      </c>
      <c r="B16" s="1544" t="s">
        <v>1827</v>
      </c>
      <c r="C16" s="1544" t="s">
        <v>1828</v>
      </c>
      <c r="D16" s="1545" t="s">
        <v>1829</v>
      </c>
      <c r="E16" s="1545" t="s">
        <v>1821</v>
      </c>
      <c r="F16" s="1545" t="s">
        <v>1830</v>
      </c>
      <c r="G16" s="1545" t="s">
        <v>1831</v>
      </c>
    </row>
    <row r="17" spans="1:7" x14ac:dyDescent="0.25">
      <c r="A17" s="1645" t="s">
        <v>1834</v>
      </c>
      <c r="B17" s="1646" t="s">
        <v>1824</v>
      </c>
      <c r="C17" s="1647" t="s">
        <v>1822</v>
      </c>
      <c r="D17" s="1648">
        <v>500000</v>
      </c>
      <c r="E17" s="1648">
        <f>IF(D17&lt;=25000,D17,IF(D17&gt;25000,25000,0))</f>
        <v>25000</v>
      </c>
      <c r="F17" s="1648">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49">
        <f>IF(F17=0,"0",D17-F17)</f>
        <v>475000</v>
      </c>
    </row>
    <row r="18" spans="1:7" x14ac:dyDescent="0.25">
      <c r="A18" s="1937" t="s">
        <v>2097</v>
      </c>
      <c r="B18" s="1941" t="s">
        <v>2138</v>
      </c>
      <c r="C18" s="1939" t="s">
        <v>2098</v>
      </c>
      <c r="D18" s="1837">
        <v>63434</v>
      </c>
      <c r="E18" s="1538">
        <f t="shared" ref="E18:E37" si="0">IF(D18&lt;=25000,D18,IF(D18&gt;25000,25000,0))</f>
        <v>25000</v>
      </c>
      <c r="F18" s="1928">
        <f t="shared" ref="F18:F36"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 t="shared" ref="G18:G37" si="2">IF(F18=0,0,D18-F18)</f>
        <v>38434</v>
      </c>
    </row>
    <row r="19" spans="1:7" x14ac:dyDescent="0.25">
      <c r="A19" s="1937" t="s">
        <v>2099</v>
      </c>
      <c r="B19" s="1938" t="s">
        <v>2100</v>
      </c>
      <c r="C19" s="1940" t="s">
        <v>2101</v>
      </c>
      <c r="D19" s="1837">
        <v>65560</v>
      </c>
      <c r="E19" s="1538">
        <f t="shared" si="0"/>
        <v>25000</v>
      </c>
      <c r="F19" s="1928">
        <f t="shared" si="1"/>
        <v>25000</v>
      </c>
      <c r="G19" s="1787">
        <f t="shared" si="2"/>
        <v>40560</v>
      </c>
    </row>
    <row r="20" spans="1:7" x14ac:dyDescent="0.25">
      <c r="A20" s="1937" t="s">
        <v>2102</v>
      </c>
      <c r="B20" s="1941" t="s">
        <v>2139</v>
      </c>
      <c r="C20" s="1939" t="s">
        <v>2103</v>
      </c>
      <c r="D20" s="1837">
        <v>37307</v>
      </c>
      <c r="E20" s="1538">
        <f t="shared" si="0"/>
        <v>25000</v>
      </c>
      <c r="F20" s="1928">
        <f t="shared" si="1"/>
        <v>25000</v>
      </c>
      <c r="G20" s="1787">
        <f t="shared" si="2"/>
        <v>12307</v>
      </c>
    </row>
    <row r="21" spans="1:7" x14ac:dyDescent="0.25">
      <c r="A21" s="1937" t="s">
        <v>2104</v>
      </c>
      <c r="B21" s="1941" t="s">
        <v>1824</v>
      </c>
      <c r="C21" s="1939" t="s">
        <v>2105</v>
      </c>
      <c r="D21" s="1837">
        <v>66701</v>
      </c>
      <c r="E21" s="1538">
        <f t="shared" si="0"/>
        <v>25000</v>
      </c>
      <c r="F21" s="1928">
        <f t="shared" si="1"/>
        <v>25000</v>
      </c>
      <c r="G21" s="1787">
        <f t="shared" si="2"/>
        <v>41701</v>
      </c>
    </row>
    <row r="22" spans="1:7" x14ac:dyDescent="0.25">
      <c r="A22" s="1937" t="s">
        <v>2104</v>
      </c>
      <c r="B22" s="1941" t="s">
        <v>1824</v>
      </c>
      <c r="C22" s="1939" t="s">
        <v>2106</v>
      </c>
      <c r="D22" s="1837">
        <v>170922</v>
      </c>
      <c r="E22" s="1538">
        <f t="shared" si="0"/>
        <v>25000</v>
      </c>
      <c r="F22" s="1928">
        <f t="shared" si="1"/>
        <v>25000</v>
      </c>
      <c r="G22" s="1787">
        <f t="shared" si="2"/>
        <v>145922</v>
      </c>
    </row>
    <row r="23" spans="1:7" x14ac:dyDescent="0.25">
      <c r="A23" s="1937"/>
      <c r="B23" s="1941"/>
      <c r="C23" s="1939"/>
      <c r="D23" s="1837"/>
      <c r="E23" s="1538">
        <f t="shared" si="0"/>
        <v>0</v>
      </c>
      <c r="F23" s="1928">
        <f t="shared" si="1"/>
        <v>0</v>
      </c>
      <c r="G23" s="1787">
        <f t="shared" si="2"/>
        <v>0</v>
      </c>
    </row>
    <row r="24" spans="1:7" x14ac:dyDescent="0.25">
      <c r="A24" s="1934"/>
      <c r="B24" s="1941"/>
      <c r="C24" s="1936"/>
      <c r="D24" s="1837"/>
      <c r="E24" s="1538">
        <f t="shared" si="0"/>
        <v>0</v>
      </c>
      <c r="F24" s="1928">
        <f t="shared" si="1"/>
        <v>0</v>
      </c>
      <c r="G24" s="1787">
        <f t="shared" si="2"/>
        <v>0</v>
      </c>
    </row>
    <row r="25" spans="1:7" x14ac:dyDescent="0.25">
      <c r="A25" s="1934"/>
      <c r="B25" s="1935"/>
      <c r="C25" s="1936"/>
      <c r="D25" s="1837"/>
      <c r="E25" s="1538">
        <f t="shared" si="0"/>
        <v>0</v>
      </c>
      <c r="F25" s="1928">
        <f t="shared" si="1"/>
        <v>0</v>
      </c>
      <c r="G25" s="1787">
        <f t="shared" si="2"/>
        <v>0</v>
      </c>
    </row>
    <row r="26" spans="1:7" x14ac:dyDescent="0.25">
      <c r="A26" s="1934"/>
      <c r="B26" s="1935"/>
      <c r="C26" s="1936"/>
      <c r="D26" s="1837"/>
      <c r="E26" s="1538">
        <f t="shared" si="0"/>
        <v>0</v>
      </c>
      <c r="F26" s="1928">
        <f t="shared" si="1"/>
        <v>0</v>
      </c>
      <c r="G26" s="1787">
        <f t="shared" si="2"/>
        <v>0</v>
      </c>
    </row>
    <row r="27" spans="1:7" x14ac:dyDescent="0.25">
      <c r="A27" s="1650"/>
      <c r="B27" s="1926"/>
      <c r="C27" s="1651"/>
      <c r="D27" s="1837"/>
      <c r="E27" s="1538">
        <f t="shared" si="0"/>
        <v>0</v>
      </c>
      <c r="F27" s="1928">
        <f t="shared" si="1"/>
        <v>0</v>
      </c>
      <c r="G27" s="1787">
        <f t="shared" si="2"/>
        <v>0</v>
      </c>
    </row>
    <row r="28" spans="1:7" x14ac:dyDescent="0.25">
      <c r="A28" s="1650"/>
      <c r="B28" s="1926"/>
      <c r="C28" s="1651"/>
      <c r="D28" s="1837"/>
      <c r="E28" s="1538">
        <f t="shared" si="0"/>
        <v>0</v>
      </c>
      <c r="F28" s="1928">
        <f t="shared" si="1"/>
        <v>0</v>
      </c>
      <c r="G28" s="1787">
        <f t="shared" si="2"/>
        <v>0</v>
      </c>
    </row>
    <row r="29" spans="1:7" x14ac:dyDescent="0.25">
      <c r="A29" s="1650"/>
      <c r="B29" s="1926"/>
      <c r="C29" s="1651"/>
      <c r="D29" s="1837"/>
      <c r="E29" s="1538">
        <f t="shared" si="0"/>
        <v>0</v>
      </c>
      <c r="F29" s="1928">
        <f t="shared" si="1"/>
        <v>0</v>
      </c>
      <c r="G29" s="1787">
        <f t="shared" si="2"/>
        <v>0</v>
      </c>
    </row>
    <row r="30" spans="1:7" x14ac:dyDescent="0.25">
      <c r="A30" s="1650"/>
      <c r="B30" s="1926"/>
      <c r="C30" s="1651"/>
      <c r="D30" s="1837"/>
      <c r="E30" s="1538">
        <f t="shared" si="0"/>
        <v>0</v>
      </c>
      <c r="F30" s="1928">
        <f t="shared" si="1"/>
        <v>0</v>
      </c>
      <c r="G30" s="1787">
        <f t="shared" si="2"/>
        <v>0</v>
      </c>
    </row>
    <row r="31" spans="1:7" x14ac:dyDescent="0.25">
      <c r="A31" s="1650"/>
      <c r="B31" s="1926"/>
      <c r="C31" s="1651"/>
      <c r="D31" s="1837"/>
      <c r="E31" s="1538">
        <f t="shared" si="0"/>
        <v>0</v>
      </c>
      <c r="F31" s="1928">
        <f t="shared" si="1"/>
        <v>0</v>
      </c>
      <c r="G31" s="1787">
        <f t="shared" si="2"/>
        <v>0</v>
      </c>
    </row>
    <row r="32" spans="1:7" x14ac:dyDescent="0.25">
      <c r="A32" s="1650"/>
      <c r="B32" s="1926"/>
      <c r="C32" s="1651"/>
      <c r="D32" s="1837"/>
      <c r="E32" s="1538">
        <f t="shared" si="0"/>
        <v>0</v>
      </c>
      <c r="F32" s="1928">
        <f t="shared" si="1"/>
        <v>0</v>
      </c>
      <c r="G32" s="1787">
        <f t="shared" si="2"/>
        <v>0</v>
      </c>
    </row>
    <row r="33" spans="1:7" x14ac:dyDescent="0.25">
      <c r="A33" s="1650"/>
      <c r="B33" s="1926"/>
      <c r="C33" s="1651"/>
      <c r="D33" s="1837"/>
      <c r="E33" s="1538">
        <f t="shared" si="0"/>
        <v>0</v>
      </c>
      <c r="F33" s="1928">
        <f t="shared" si="1"/>
        <v>0</v>
      </c>
      <c r="G33" s="1787">
        <f t="shared" si="2"/>
        <v>0</v>
      </c>
    </row>
    <row r="34" spans="1:7" x14ac:dyDescent="0.25">
      <c r="A34" s="1650"/>
      <c r="B34" s="1926"/>
      <c r="C34" s="1651"/>
      <c r="D34" s="1837"/>
      <c r="E34" s="1538">
        <f t="shared" si="0"/>
        <v>0</v>
      </c>
      <c r="F34" s="1928">
        <f t="shared" si="1"/>
        <v>0</v>
      </c>
      <c r="G34" s="1787">
        <f t="shared" si="2"/>
        <v>0</v>
      </c>
    </row>
    <row r="35" spans="1:7" x14ac:dyDescent="0.25">
      <c r="A35" s="1650"/>
      <c r="B35" s="1926"/>
      <c r="C35" s="1651"/>
      <c r="D35" s="1837"/>
      <c r="E35" s="1538">
        <f t="shared" si="0"/>
        <v>0</v>
      </c>
      <c r="F35" s="1928">
        <f t="shared" si="1"/>
        <v>0</v>
      </c>
      <c r="G35" s="1787">
        <f t="shared" si="2"/>
        <v>0</v>
      </c>
    </row>
    <row r="36" spans="1:7" x14ac:dyDescent="0.25">
      <c r="A36" s="1650"/>
      <c r="B36" s="1926"/>
      <c r="C36" s="1651"/>
      <c r="D36" s="1837"/>
      <c r="E36" s="1538">
        <f t="shared" si="0"/>
        <v>0</v>
      </c>
      <c r="F36" s="1928">
        <f t="shared" si="1"/>
        <v>0</v>
      </c>
      <c r="G36" s="1787">
        <f t="shared" si="2"/>
        <v>0</v>
      </c>
    </row>
    <row r="37" spans="1:7" x14ac:dyDescent="0.25">
      <c r="A37" s="1650"/>
      <c r="B37" s="1661"/>
      <c r="C37" s="1651"/>
      <c r="D37" s="1837"/>
      <c r="E37" s="1538">
        <f t="shared" si="0"/>
        <v>0</v>
      </c>
      <c r="F37" s="1928">
        <f t="shared" ref="F37" si="3">(IF(D37="",0,(IF(OR(B37="10-1000-100",B37="10-1000-200",B37="10-1000-300",B37="10-1000-400",B37="10-1000-600",B37="10-1000-800",B37="50-1000-200",B37="10-2100-100",B37="10-2100-200",B37="10-2100-300",B37="10-2100-400",B37="10-2100-600",B37="10-2100-800",B37="20-2100-100",B37="20-2100-200",B37="20-2100-300",B37="20-2100-400",B37="20-2100-600",B37="20-2100-800",B37="40-2100-100",B37="40-2100-200",B37="40-2100-300",B37="40-2100-400",B37="40-2100-600",B37="40-2100-800",B37="50-2100-200",B37="10-2200-100",B37="10-2200-200",B37="10-2200-300",B37="10-2200-400",B37="10-2200-600",B37="10-2200-800",B37="50-2200-200",B37="10-2300-100",B37="10-2300-200",B37="10-2300-300",B37="10-2300-400",B37="10-2300-600",B37="10-2300-800",B37="50-2300-200",B37="80-2300-100",B37="80-2300-200",B37="80-2300-300",B37="80-2300-400",B37="80-2300-600",B37="80-2300-800",B37="10-2400-100",B37="10-2400-200",B37="10-2400-300",B37="10-2400-400",B37="10-2400-600",B37="10-2400-800",B37="50-2400-200",B37="10-2510-100",B37="10-2510-200",B37="10-2510-300",B37="10-2510-400",B37="10-2510-600",B37="10-2510-800",B37="20-2510-100",B37="20-2510-200",B37="20-2510-300",B37="20-2510-400",B37="20-2510-600",B37="20-2510-800",B37="50-2510-200",B37="10-2520-100",B37="10-2520-200",B37="10-2520-300",B37="10-2520-400",B37="10-2520-600",B37="10-2520-800",B37="50-2520-200",B37="10-2540-100",B37="10-2540-200",B37="10-2540-300",B37="10-2540-400",B37="10-2540-600",B37="10-2540-800",B37="20-2540-100",B37="20-2540-200",B37="20-2540-300",B37="20-2540-400",B37="20-2540-600",B37="20-2540-800",B37="50-2540-200",B37="10-2550-100",B37="10-2550-200",B37="10-2550-300",B37="10-2550-400",B37="10-2550-600",B37="10-2550-800",B37="20-2550-100",B37="20-2550-200",B37="20-2550-300",B37="20-2550-400",B37="20-2550-600",B37="20-2550-800",B37="40-2550-100",B37="40-2550-200",B37="40-2550-300",B37="40-2550-400",B37="40-2550-600",B37="40-2550-800",B37="50-2550-200",B37="10-2560-100",B37="10-2560-200",B37="10-2560-300",B37="10-2560-400",B37="10-2560-600",B37="10-2560-800",B37="50-2560-200",B37="10-2570-100",B37="10-2570-200",B37="10-2570-300",B37="10-2570-400",B37="10-2570-600",B37="10-2570-800",B37="50-2570-200",B37="10-2610-100",B37="10-2610-200",B37="10-2610-300",B37="10-2610-400",B37="10-2610-600",B37="10-2610-800",B37="50-2610-200",B37="10-2620-100",B37="10-2620-200",B37="10-2620-300",B37="10-2620-400",B37="10-2620-600",B37="10-2620-800",B37="50-2620-200",B37="10-2630-100",B37="10-2630-200",B37="10-2630-300",B37="10-2630-400",B37="10-2630-600",B37="10-2630-800",B37="50-2630-200",B37="10-2640-100",B37="10-2640-200",B37="10-2640-300",B37="10-2640-400",B37="10-2640-600",B37="10-2640-800",B37="50-2640-200",B37="10-2660-100",B37="10-2660-200",B37="10-2660-300",B37="10-2660-400",B37="10-2660-600",B37="10-2660-800",B37="50-2660-200",B37="10-2900-100",B37="10-2900-200",B37="10-2900-300",B37="10-2900-400",B37="10-2900-600",B37="10-2900-800",B37="20-2900-100",B37="20-2900-200",B37="20-2900-300",B37="20-2900-400",B37="20-2900-600",B37="20-2900-800",B37="40-2900-100",B37="40-2900-200",B37="40-2900-300",B37="40-2900-400",B37="40-2900-600",B37="40-2900-800",B37="50-2900-200",B37="10-3000-100",B37="10-3000-200",B37="10-3000-300",B37="10-3000-400",B37="10-3000-600",B37="10-3000-800",B37="20-3000-100",B37="20-3000-200",B37="20-3000-300",B37="20-3000-400",B37="20-3000-600",B37="20-3000-800",B37="40-3000-100",B37="40-3000-200",B37="40-3000-300",B37="40-3000-400",B37="40-3000-600",B37="40-3000-800",B37="50-3000-200"),E37,"Check func/obj # in Colm B"))))</f>
        <v>0</v>
      </c>
      <c r="G37" s="1787">
        <f t="shared" si="2"/>
        <v>0</v>
      </c>
    </row>
    <row r="38" spans="1:7" x14ac:dyDescent="0.25">
      <c r="A38" s="1790" t="s">
        <v>156</v>
      </c>
      <c r="B38" s="1791"/>
      <c r="C38" s="1792"/>
      <c r="D38" s="1788">
        <f>SUM(D18:D37)</f>
        <v>403924</v>
      </c>
      <c r="E38" s="1539">
        <f t="shared" ref="E38" si="4">IF(D38&lt;=25000,D38,IF(D38&gt;25000,25000,0))</f>
        <v>25000</v>
      </c>
      <c r="F38" s="1925">
        <f>SUM(F18:F37)</f>
        <v>125000</v>
      </c>
      <c r="G38" s="1789">
        <f>SUM(G18:G37)</f>
        <v>278924</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M21" sqref="M2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92" t="s">
        <v>1679</v>
      </c>
      <c r="B5" s="2293"/>
      <c r="C5" s="2293"/>
      <c r="D5" s="2293"/>
      <c r="E5" s="2293"/>
      <c r="F5" s="2293"/>
      <c r="G5" s="2294"/>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71862</v>
      </c>
      <c r="F10" s="972"/>
      <c r="G10" s="973"/>
      <c r="H10" s="162"/>
      <c r="I10" s="162"/>
    </row>
    <row r="11" spans="1:9" s="666" customFormat="1" ht="22.5" customHeight="1" x14ac:dyDescent="0.2">
      <c r="A11" s="2297" t="s">
        <v>1975</v>
      </c>
      <c r="B11" s="2298"/>
      <c r="C11" s="2298"/>
      <c r="D11" s="2299"/>
      <c r="E11" s="975">
        <v>11097</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3653120</v>
      </c>
      <c r="F19" s="1793"/>
      <c r="G19" s="1795">
        <f>'Expenditures 15-22'!K33-SUM('Expenditures 15-22'!G33,'Expenditures 15-22'!I33)+'Expenditures 15-22'!D229</f>
        <v>3653120</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153928</v>
      </c>
      <c r="F21" s="1796"/>
      <c r="G21" s="1799">
        <f>'Expenditures 15-22'!K42-SUM('Expenditures 15-22'!G42,'Expenditures 15-22'!I42)+'Expenditures 15-22'!K120-SUM('Expenditures 15-22'!G120,'Expenditures 15-22'!I120)+'Expenditures 15-22'!K180-SUM('Expenditures 15-22'!G180,'Expenditures 15-22'!I180)+'Expenditures 15-22'!D238</f>
        <v>153928</v>
      </c>
      <c r="H21" s="985"/>
      <c r="I21" s="162"/>
    </row>
    <row r="22" spans="1:9" s="666" customFormat="1" ht="12" customHeight="1" x14ac:dyDescent="0.2">
      <c r="A22" s="992" t="s">
        <v>564</v>
      </c>
      <c r="B22" s="993"/>
      <c r="C22" s="991">
        <v>2200</v>
      </c>
      <c r="D22" s="1796"/>
      <c r="E22" s="1798">
        <f>'Expenditures 15-22'!K47-SUM('Expenditures 15-22'!G47,'Expenditures 15-22'!I47)+'Expenditures 15-22'!D243</f>
        <v>49192</v>
      </c>
      <c r="F22" s="1796"/>
      <c r="G22" s="1799">
        <f>'Expenditures 15-22'!K47-SUM('Expenditures 15-22'!G47,'Expenditures 15-22'!I47)+'Expenditures 15-22'!D243</f>
        <v>49192</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350129</v>
      </c>
      <c r="F23" s="1796"/>
      <c r="G23" s="1798">
        <f>'Expenditures 15-22'!K53-SUM('Expenditures 15-22'!G53,'Expenditures 15-22'!I53)+'Expenditures 15-22'!D257+'Expenditures 15-22'!K330-SUM('Expenditures 15-22'!G330,'Expenditures 15-22'!I330)</f>
        <v>350129</v>
      </c>
      <c r="H23" s="985"/>
      <c r="I23" s="162"/>
    </row>
    <row r="24" spans="1:9" s="666" customFormat="1" ht="12" customHeight="1" x14ac:dyDescent="0.2">
      <c r="A24" s="992" t="s">
        <v>566</v>
      </c>
      <c r="B24" s="993"/>
      <c r="C24" s="991">
        <v>2400</v>
      </c>
      <c r="D24" s="1796"/>
      <c r="E24" s="1798">
        <f>'Expenditures 15-22'!K57-SUM('Expenditures 15-22'!G57,'Expenditures 15-22'!I57)+'Expenditures 15-22'!D261</f>
        <v>212284</v>
      </c>
      <c r="F24" s="1796"/>
      <c r="G24" s="1799">
        <f>'Expenditures 15-22'!K57-SUM('Expenditures 15-22'!G57,'Expenditures 15-22'!I57)+'Expenditures 15-22'!D261</f>
        <v>212284</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108131</v>
      </c>
      <c r="E27" s="1798">
        <f>E8</f>
        <v>0</v>
      </c>
      <c r="F27" s="1798">
        <f>'Expenditures 15-22'!K60-SUM('Expenditures 15-22'!G60,'Expenditures 15-22'!I60)+'Expenditures 15-22'!D264-E8</f>
        <v>108131</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484908</v>
      </c>
      <c r="F28" s="1800">
        <f>'Expenditures 15-22'!K61-SUM('Expenditures 15-22'!G61,'Expenditures 15-22'!I61)+'Expenditures 15-22'!K124-SUM('Expenditures 15-22'!G124,'Expenditures 15-22'!I124)+'Expenditures 15-22'!D266-E9</f>
        <v>484908</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227545</v>
      </c>
      <c r="F29" s="1796"/>
      <c r="G29" s="1799">
        <f>'Expenditures 15-22'!K62-SUM('Expenditures 15-22'!G62,'Expenditures 15-22'!I62)+'Expenditures 15-22'!K125-SUM('Expenditures 15-22'!G125,'Expenditures 15-22'!I125)+'Expenditures 15-22'!K182-SUM('Expenditures 15-22'!G182,'Expenditures 15-22'!I182)+'Expenditures 15-22'!D267</f>
        <v>227545</v>
      </c>
      <c r="H29" s="983"/>
    </row>
    <row r="30" spans="1:9" ht="12" customHeight="1" x14ac:dyDescent="0.2">
      <c r="A30" s="992" t="s">
        <v>100</v>
      </c>
      <c r="B30" s="995"/>
      <c r="C30" s="991">
        <v>2560</v>
      </c>
      <c r="D30" s="1796"/>
      <c r="E30" s="1798">
        <f>'Expenditures 15-22'!K63-SUM('Expenditures 15-22'!G63,'Expenditures 15-22'!I63)+'Expenditures 15-22'!D268-E10</f>
        <v>81500</v>
      </c>
      <c r="F30" s="1796"/>
      <c r="G30" s="1798">
        <f>'Expenditures 15-22'!K63-SUM('Expenditures 15-22'!G63,'Expenditures 15-22'!I63)+'Expenditures 15-22'!D268-E10</f>
        <v>81500</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15292</v>
      </c>
      <c r="F38" s="1796"/>
      <c r="G38" s="1798">
        <f>'Expenditures 15-22'!K73-SUM('Expenditures 15-22'!G73,'Expenditures 15-22'!I73)+'Expenditures 15-22'!K128-SUM('Expenditures 15-22'!G128,'Expenditures 15-22'!I128)+'Expenditures 15-22'!K183-SUM('Expenditures 15-22'!G183,'Expenditures 15-22'!I183)+'Expenditures 15-22'!D278</f>
        <v>15292</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6"/>
      <c r="E40" s="1800">
        <f>-'Contracts Paid in CY 29'!G38</f>
        <v>-278924</v>
      </c>
      <c r="F40" s="1796"/>
      <c r="G40" s="1800">
        <f>-'Contracts Paid in CY 29'!G38</f>
        <v>-278924</v>
      </c>
    </row>
    <row r="41" spans="1:7" ht="12" customHeight="1" x14ac:dyDescent="0.2">
      <c r="A41" s="996" t="s">
        <v>156</v>
      </c>
      <c r="B41" s="997"/>
      <c r="C41" s="998"/>
      <c r="D41" s="1800">
        <f>SUM(D19:D39)</f>
        <v>108131</v>
      </c>
      <c r="E41" s="1800">
        <f>SUM(E19:E40)</f>
        <v>4948974</v>
      </c>
      <c r="F41" s="1800">
        <f>SUM(F19:F39)</f>
        <v>593039</v>
      </c>
      <c r="G41" s="1800">
        <f>SUM(G19:G40)</f>
        <v>4464066</v>
      </c>
    </row>
    <row r="42" spans="1:7" x14ac:dyDescent="0.2">
      <c r="A42" s="985"/>
      <c r="B42" s="162"/>
      <c r="C42" s="999"/>
      <c r="D42" s="2295" t="s">
        <v>522</v>
      </c>
      <c r="E42" s="2296"/>
      <c r="F42" s="1000" t="s">
        <v>523</v>
      </c>
      <c r="G42" s="1001"/>
    </row>
    <row r="43" spans="1:7" ht="12" customHeight="1" x14ac:dyDescent="0.2">
      <c r="A43" s="985"/>
      <c r="B43" s="162"/>
      <c r="C43" s="999"/>
      <c r="D43" s="1801" t="s">
        <v>473</v>
      </c>
      <c r="E43" s="1802">
        <f>D41</f>
        <v>108131</v>
      </c>
      <c r="F43" s="1801" t="s">
        <v>473</v>
      </c>
      <c r="G43" s="1802">
        <f>F41</f>
        <v>593039</v>
      </c>
    </row>
    <row r="44" spans="1:7" ht="12" customHeight="1" x14ac:dyDescent="0.2">
      <c r="A44" s="985"/>
      <c r="B44" s="162"/>
      <c r="C44" s="999"/>
      <c r="D44" s="1801" t="s">
        <v>474</v>
      </c>
      <c r="E44" s="1802">
        <f>E41</f>
        <v>4948974</v>
      </c>
      <c r="F44" s="1801" t="s">
        <v>474</v>
      </c>
      <c r="G44" s="1802">
        <f>G41</f>
        <v>4464066</v>
      </c>
    </row>
    <row r="45" spans="1:7" ht="12" customHeight="1" x14ac:dyDescent="0.2">
      <c r="A45" s="985"/>
      <c r="B45" s="162"/>
      <c r="C45" s="162"/>
      <c r="D45" s="1803" t="s">
        <v>1006</v>
      </c>
      <c r="E45" s="1804">
        <f>(E43/E44)</f>
        <v>2.1849175202779403E-2</v>
      </c>
      <c r="F45" s="1803" t="s">
        <v>1006</v>
      </c>
      <c r="G45" s="1804">
        <f>(G43/G44)</f>
        <v>0.1328472742114476</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2" activePane="bottomLeft" state="frozen"/>
      <selection activeCell="A47" sqref="A47"/>
      <selection pane="bottomLeft" activeCell="C33" sqref="C33"/>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3" t="s">
        <v>1379</v>
      </c>
      <c r="B1" s="2303"/>
      <c r="C1" s="2303"/>
      <c r="D1" s="2303"/>
      <c r="E1" s="2303"/>
      <c r="F1" s="2303"/>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4" t="s">
        <v>1546</v>
      </c>
      <c r="B5" s="2305"/>
      <c r="C5" s="2306"/>
      <c r="D5" s="2306"/>
      <c r="E5" s="2306"/>
      <c r="F5" s="2306"/>
    </row>
    <row r="6" spans="1:10" ht="12" customHeight="1" x14ac:dyDescent="0.25">
      <c r="A6" s="1843"/>
      <c r="B6" s="1844"/>
      <c r="C6" s="2307" t="str">
        <f>COVER!A17</f>
        <v>LEXINGTON CUSD 7</v>
      </c>
      <c r="D6" s="2307"/>
      <c r="E6" s="2307"/>
      <c r="F6" s="1845"/>
    </row>
    <row r="7" spans="1:10" ht="11.25" customHeight="1" thickBot="1" x14ac:dyDescent="0.3">
      <c r="A7" s="1843"/>
      <c r="B7" s="1844"/>
      <c r="C7" s="2308">
        <f>COVER!A13</f>
        <v>17064007026</v>
      </c>
      <c r="D7" s="2308"/>
      <c r="E7" s="2308"/>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c r="D25" s="1858"/>
      <c r="E25" s="1861"/>
      <c r="F25" s="1860"/>
      <c r="H25" s="1871">
        <f t="shared" si="0"/>
        <v>0</v>
      </c>
      <c r="I25" s="1871">
        <f t="shared" si="1"/>
        <v>0</v>
      </c>
      <c r="J25" s="1871">
        <f t="shared" si="2"/>
        <v>0</v>
      </c>
    </row>
    <row r="26" spans="1:12" ht="12" customHeight="1" x14ac:dyDescent="0.2">
      <c r="A26" s="1856" t="s">
        <v>1534</v>
      </c>
      <c r="B26" s="1857"/>
      <c r="C26" s="1858" t="s">
        <v>2065</v>
      </c>
      <c r="D26" s="1858" t="s">
        <v>2065</v>
      </c>
      <c r="E26" s="1861"/>
      <c r="F26" s="1860" t="s">
        <v>2093</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t="s">
        <v>2065</v>
      </c>
      <c r="D29" s="1858" t="s">
        <v>2065</v>
      </c>
      <c r="E29" s="1861"/>
      <c r="F29" s="1860" t="s">
        <v>2094</v>
      </c>
      <c r="H29" s="1871">
        <f t="shared" si="0"/>
        <v>5</v>
      </c>
      <c r="I29" s="1871">
        <f t="shared" si="1"/>
        <v>5</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c r="D31" s="1858"/>
      <c r="E31" s="1861"/>
      <c r="F31" s="1860"/>
      <c r="H31" s="1871">
        <f t="shared" si="0"/>
        <v>0</v>
      </c>
      <c r="I31" s="1871">
        <f t="shared" si="1"/>
        <v>0</v>
      </c>
      <c r="J31" s="1871">
        <f t="shared" si="2"/>
        <v>0</v>
      </c>
      <c r="L31" s="1862"/>
    </row>
    <row r="32" spans="1:12" ht="12" customHeight="1" x14ac:dyDescent="0.2">
      <c r="A32" s="1856" t="s">
        <v>1540</v>
      </c>
      <c r="B32" s="1857"/>
      <c r="C32" s="1858" t="s">
        <v>2065</v>
      </c>
      <c r="D32" s="1858" t="s">
        <v>2065</v>
      </c>
      <c r="E32" s="1861"/>
      <c r="F32" s="1860" t="s">
        <v>2095</v>
      </c>
      <c r="H32" s="1871">
        <f t="shared" si="0"/>
        <v>5</v>
      </c>
      <c r="I32" s="1871">
        <f t="shared" si="1"/>
        <v>5</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15</v>
      </c>
      <c r="I34" s="1871">
        <f>SUM(I11:I32)</f>
        <v>15</v>
      </c>
      <c r="J34" s="1871">
        <f>SUM(J11:J32)</f>
        <v>0</v>
      </c>
      <c r="K34" s="1871">
        <f>SUM(H34:J34)</f>
        <v>30</v>
      </c>
    </row>
    <row r="35" spans="1:11" ht="12" customHeight="1" x14ac:dyDescent="0.2">
      <c r="A35" s="1864" t="s">
        <v>1392</v>
      </c>
      <c r="B35" s="1865"/>
      <c r="C35" s="2309"/>
      <c r="D35" s="2309"/>
      <c r="E35" s="2309"/>
      <c r="F35" s="2310"/>
    </row>
    <row r="36" spans="1:11" ht="12" customHeight="1" x14ac:dyDescent="0.2">
      <c r="A36" s="2300"/>
      <c r="B36" s="2301"/>
      <c r="C36" s="2301"/>
      <c r="D36" s="2301"/>
      <c r="E36" s="2301"/>
      <c r="F36" s="2302"/>
    </row>
    <row r="37" spans="1:11" ht="12" customHeight="1" x14ac:dyDescent="0.2">
      <c r="A37" s="2300"/>
      <c r="B37" s="2301"/>
      <c r="C37" s="2301"/>
      <c r="D37" s="2301"/>
      <c r="E37" s="2301"/>
      <c r="F37" s="2302"/>
    </row>
    <row r="38" spans="1:11" ht="12" customHeight="1" x14ac:dyDescent="0.2">
      <c r="A38" s="2314"/>
      <c r="B38" s="2315"/>
      <c r="C38" s="2315"/>
      <c r="D38" s="2315"/>
      <c r="E38" s="2315"/>
      <c r="F38" s="2316"/>
    </row>
    <row r="39" spans="1:11" ht="4.5" hidden="1" customHeight="1" x14ac:dyDescent="0.2">
      <c r="A39" s="1866"/>
      <c r="B39" s="1866"/>
      <c r="C39" s="1866"/>
      <c r="D39" s="1866"/>
      <c r="E39" s="1866"/>
      <c r="F39" s="1866"/>
    </row>
    <row r="40" spans="1:11" s="1863" customFormat="1" ht="12" customHeight="1" x14ac:dyDescent="0.25">
      <c r="A40" s="1867" t="s">
        <v>1391</v>
      </c>
      <c r="B40" s="1868"/>
      <c r="C40" s="2317"/>
      <c r="D40" s="2317"/>
      <c r="E40" s="2317"/>
      <c r="F40" s="2318"/>
      <c r="H40" s="1872"/>
      <c r="I40" s="1872"/>
      <c r="J40" s="1872"/>
      <c r="K40" s="1872"/>
    </row>
    <row r="41" spans="1:11" s="1863" customFormat="1" ht="12" customHeight="1" x14ac:dyDescent="0.25">
      <c r="A41" s="2319"/>
      <c r="B41" s="2320"/>
      <c r="C41" s="2320"/>
      <c r="D41" s="2320"/>
      <c r="E41" s="2320"/>
      <c r="F41" s="2321"/>
      <c r="H41" s="1872"/>
      <c r="I41" s="1872"/>
      <c r="J41" s="1872"/>
      <c r="K41" s="1872"/>
    </row>
    <row r="42" spans="1:11" s="1863" customFormat="1" ht="12" customHeight="1" x14ac:dyDescent="0.25">
      <c r="A42" s="2319"/>
      <c r="B42" s="2320"/>
      <c r="C42" s="2320"/>
      <c r="D42" s="2320"/>
      <c r="E42" s="2320"/>
      <c r="F42" s="2321"/>
      <c r="H42" s="1872"/>
      <c r="I42" s="1872"/>
      <c r="J42" s="1872"/>
      <c r="K42" s="1872"/>
    </row>
    <row r="43" spans="1:11" s="1863" customFormat="1" ht="15" x14ac:dyDescent="0.25">
      <c r="A43" s="2311"/>
      <c r="B43" s="2312"/>
      <c r="C43" s="2312"/>
      <c r="D43" s="2312"/>
      <c r="E43" s="2312"/>
      <c r="F43" s="2313"/>
      <c r="H43" s="1872"/>
      <c r="I43" s="1872"/>
      <c r="J43" s="1872"/>
      <c r="K43" s="1872"/>
    </row>
    <row r="44" spans="1:11" s="1863" customFormat="1" ht="12" hidden="1" customHeight="1" x14ac:dyDescent="0.25">
      <c r="A44" s="2311"/>
      <c r="B44" s="2312"/>
      <c r="C44" s="2312"/>
      <c r="D44" s="2312"/>
      <c r="E44" s="2312"/>
      <c r="F44" s="2313"/>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7" t="str">
        <f>COVER!A17</f>
        <v>LEXINGTON CUSD 7</v>
      </c>
      <c r="J6" s="2328"/>
      <c r="Q6" s="1659"/>
    </row>
    <row r="7" spans="1:17" x14ac:dyDescent="0.2">
      <c r="A7" s="2329" t="s">
        <v>869</v>
      </c>
      <c r="B7" s="2330"/>
      <c r="C7" s="2330"/>
      <c r="D7" s="2330"/>
      <c r="E7" s="2331"/>
      <c r="F7" s="1015"/>
      <c r="G7" s="1007"/>
      <c r="H7" s="1014" t="s">
        <v>372</v>
      </c>
      <c r="I7" s="2332">
        <f>COVER!A13</f>
        <v>17064007026</v>
      </c>
      <c r="J7" s="2332"/>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33" t="s">
        <v>481</v>
      </c>
      <c r="B11" s="2334"/>
      <c r="C11" s="2335"/>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133629</v>
      </c>
      <c r="F12" s="1037"/>
      <c r="G12" s="1805">
        <f t="shared" ref="G12:G18" si="0">SUM(E12:F12)</f>
        <v>133629</v>
      </c>
      <c r="H12" s="1038">
        <v>135786</v>
      </c>
      <c r="I12" s="1037"/>
      <c r="J12" s="1805">
        <f t="shared" ref="J12:J18" si="1">SUM(H12:I12)</f>
        <v>135786</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6" t="s">
        <v>7</v>
      </c>
      <c r="C18" s="2337"/>
      <c r="D18" s="2338"/>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133629</v>
      </c>
      <c r="F19" s="1807">
        <f t="shared" si="2"/>
        <v>0</v>
      </c>
      <c r="G19" s="1807">
        <f t="shared" si="2"/>
        <v>133629</v>
      </c>
      <c r="H19" s="1807">
        <f t="shared" si="2"/>
        <v>135786</v>
      </c>
      <c r="I19" s="1807">
        <f t="shared" si="2"/>
        <v>0</v>
      </c>
      <c r="J19" s="1807">
        <f t="shared" si="2"/>
        <v>135786</v>
      </c>
    </row>
    <row r="20" spans="1:10" ht="13.5" thickTop="1" x14ac:dyDescent="0.2">
      <c r="A20" s="1033">
        <v>9</v>
      </c>
      <c r="B20" s="2339" t="s">
        <v>1979</v>
      </c>
      <c r="C20" s="2339"/>
      <c r="D20" s="2340"/>
      <c r="E20" s="1044"/>
      <c r="F20" s="1044"/>
      <c r="G20" s="1044"/>
      <c r="H20" s="1044"/>
      <c r="I20" s="1044"/>
      <c r="J20" s="1808">
        <f>IF(AND(G19&gt;0,J19&gt;0),(((J19-G19)/G19)),"Enter Budget Data")</f>
        <v>1.6141705767460657E-2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45"/>
      <c r="D26" s="2345"/>
      <c r="E26" s="1048"/>
      <c r="F26" s="2344"/>
      <c r="G26" s="2344"/>
    </row>
    <row r="27" spans="1:10" x14ac:dyDescent="0.2">
      <c r="B27" s="1045"/>
      <c r="C27" s="1049" t="s">
        <v>1033</v>
      </c>
      <c r="D27" s="1050"/>
      <c r="E27" s="1051"/>
      <c r="F27" s="2341" t="s">
        <v>1509</v>
      </c>
      <c r="G27" s="2341"/>
    </row>
    <row r="28" spans="1:10" ht="28.5" customHeight="1" x14ac:dyDescent="0.2">
      <c r="B28" s="1045"/>
      <c r="C28" s="2343"/>
      <c r="D28" s="2343"/>
      <c r="E28" s="1052"/>
      <c r="F28" s="2343"/>
      <c r="G28" s="2343"/>
    </row>
    <row r="29" spans="1:10" x14ac:dyDescent="0.2">
      <c r="B29" s="1045"/>
      <c r="C29" s="1053" t="s">
        <v>1561</v>
      </c>
      <c r="E29" s="1054"/>
      <c r="F29" s="2342" t="s">
        <v>1510</v>
      </c>
      <c r="G29" s="2342"/>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24" t="s">
        <v>132</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0"/>
    </row>
    <row r="36" spans="1:10" ht="13.5" customHeight="1" x14ac:dyDescent="0.2">
      <c r="B36" s="1059"/>
      <c r="C36" s="2326" t="s">
        <v>1981</v>
      </c>
      <c r="D36" s="2325"/>
      <c r="E36" s="2325"/>
      <c r="F36" s="2325"/>
      <c r="G36" s="2325"/>
      <c r="H36" s="2325"/>
      <c r="I36" s="2325"/>
      <c r="J36" s="1061"/>
    </row>
    <row r="37" spans="1:10" ht="22.5" customHeight="1" x14ac:dyDescent="0.2">
      <c r="C37" s="2325"/>
      <c r="D37" s="2325"/>
      <c r="E37" s="2325"/>
      <c r="F37" s="2325"/>
      <c r="G37" s="2325"/>
      <c r="H37" s="2325"/>
      <c r="I37" s="2325"/>
      <c r="J37" s="1061"/>
    </row>
    <row r="38" spans="1:10" ht="7.5" customHeight="1" x14ac:dyDescent="0.2">
      <c r="C38" s="1060"/>
      <c r="D38" s="1062"/>
      <c r="E38" s="1063"/>
      <c r="F38" s="1064"/>
      <c r="G38" s="1063"/>
    </row>
    <row r="39" spans="1:10" ht="13.5" customHeight="1" x14ac:dyDescent="0.2">
      <c r="B39" s="1059"/>
      <c r="C39" s="2322" t="s">
        <v>882</v>
      </c>
      <c r="D39" s="2323"/>
      <c r="E39" s="2323"/>
      <c r="F39" s="2323"/>
      <c r="G39" s="2323"/>
      <c r="H39" s="2323"/>
      <c r="I39" s="2323"/>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8"/>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7" t="s">
        <v>2107</v>
      </c>
    </row>
    <row r="6" spans="1:2" x14ac:dyDescent="0.2">
      <c r="A6" s="1066"/>
      <c r="B6" s="329" t="s">
        <v>64</v>
      </c>
    </row>
    <row r="7" spans="1:2" x14ac:dyDescent="0.2">
      <c r="A7" s="1066"/>
      <c r="B7" s="329" t="s">
        <v>2108</v>
      </c>
    </row>
    <row r="8" spans="1:2" x14ac:dyDescent="0.2">
      <c r="A8" s="1066"/>
    </row>
    <row r="9" spans="1:2" x14ac:dyDescent="0.2">
      <c r="A9" s="1067" t="s">
        <v>2119</v>
      </c>
    </row>
    <row r="10" spans="1:2" x14ac:dyDescent="0.2">
      <c r="A10" s="1067"/>
      <c r="B10" s="329" t="s">
        <v>64</v>
      </c>
    </row>
    <row r="11" spans="1:2" x14ac:dyDescent="0.2">
      <c r="A11" s="1067"/>
      <c r="B11" s="329" t="s">
        <v>2109</v>
      </c>
    </row>
    <row r="12" spans="1:2" x14ac:dyDescent="0.2">
      <c r="A12" s="1067"/>
    </row>
    <row r="13" spans="1:2" x14ac:dyDescent="0.2">
      <c r="A13" s="1067" t="s">
        <v>2110</v>
      </c>
    </row>
    <row r="14" spans="1:2" x14ac:dyDescent="0.2">
      <c r="A14" s="1067"/>
      <c r="B14" s="329" t="s">
        <v>64</v>
      </c>
    </row>
    <row r="15" spans="1:2" x14ac:dyDescent="0.2">
      <c r="A15" s="1067"/>
      <c r="B15" s="1067" t="s">
        <v>2113</v>
      </c>
    </row>
    <row r="16" spans="1:2" x14ac:dyDescent="0.2">
      <c r="A16" s="1067"/>
      <c r="B16" s="1067" t="s">
        <v>2111</v>
      </c>
    </row>
    <row r="17" spans="1:2" x14ac:dyDescent="0.2">
      <c r="A17" s="1067"/>
      <c r="B17" s="329" t="s">
        <v>2112</v>
      </c>
    </row>
    <row r="18" spans="1:2" x14ac:dyDescent="0.2">
      <c r="A18" s="1067"/>
      <c r="B18" s="329" t="s">
        <v>341</v>
      </c>
    </row>
    <row r="19" spans="1:2" x14ac:dyDescent="0.2">
      <c r="A19" s="1067"/>
      <c r="B19" s="329" t="s">
        <v>2114</v>
      </c>
    </row>
    <row r="20" spans="1:2" x14ac:dyDescent="0.2">
      <c r="A20" s="1067"/>
    </row>
    <row r="21" spans="1:2" x14ac:dyDescent="0.2">
      <c r="A21" s="1067" t="s">
        <v>2115</v>
      </c>
    </row>
    <row r="22" spans="1:2" x14ac:dyDescent="0.2">
      <c r="A22" s="1067"/>
      <c r="B22" s="329" t="s">
        <v>64</v>
      </c>
    </row>
    <row r="23" spans="1:2" x14ac:dyDescent="0.2">
      <c r="A23" s="1067"/>
      <c r="B23" s="329" t="s">
        <v>2116</v>
      </c>
    </row>
    <row r="24" spans="1:2" x14ac:dyDescent="0.2">
      <c r="A24" s="1067"/>
      <c r="B24" s="329" t="s">
        <v>2117</v>
      </c>
    </row>
    <row r="25" spans="1:2" x14ac:dyDescent="0.2">
      <c r="A25" s="1067"/>
    </row>
    <row r="26" spans="1:2" x14ac:dyDescent="0.2">
      <c r="A26" s="1067" t="s">
        <v>2118</v>
      </c>
    </row>
    <row r="27" spans="1:2" x14ac:dyDescent="0.2">
      <c r="A27" s="1067"/>
      <c r="B27" s="329" t="s">
        <v>64</v>
      </c>
    </row>
    <row r="28" spans="1:2" x14ac:dyDescent="0.2">
      <c r="A28" s="1067"/>
      <c r="B28" s="329" t="s">
        <v>2120</v>
      </c>
    </row>
    <row r="29" spans="1:2" x14ac:dyDescent="0.2">
      <c r="A29" s="1067"/>
    </row>
    <row r="30" spans="1:2" x14ac:dyDescent="0.2">
      <c r="A30" s="329" t="s">
        <v>2154</v>
      </c>
    </row>
    <row r="31" spans="1:2" x14ac:dyDescent="0.2">
      <c r="B31" s="329" t="s">
        <v>64</v>
      </c>
    </row>
    <row r="32" spans="1:2" x14ac:dyDescent="0.2">
      <c r="B32" s="329" t="s">
        <v>2121</v>
      </c>
    </row>
    <row r="34" spans="1:2" x14ac:dyDescent="0.2">
      <c r="A34" s="1067" t="s">
        <v>2122</v>
      </c>
    </row>
    <row r="35" spans="1:2" x14ac:dyDescent="0.2">
      <c r="A35" s="1067"/>
      <c r="B35" s="329" t="s">
        <v>64</v>
      </c>
    </row>
    <row r="36" spans="1:2" x14ac:dyDescent="0.2">
      <c r="A36" s="1067"/>
      <c r="B36" s="329" t="s">
        <v>2123</v>
      </c>
    </row>
    <row r="37" spans="1:2" x14ac:dyDescent="0.2">
      <c r="A37" s="1067"/>
      <c r="B37" s="329" t="s">
        <v>2124</v>
      </c>
    </row>
    <row r="38" spans="1:2" x14ac:dyDescent="0.2">
      <c r="A38" s="1067"/>
      <c r="B38" s="329" t="s">
        <v>2125</v>
      </c>
    </row>
    <row r="39" spans="1:2" x14ac:dyDescent="0.2">
      <c r="A39" s="1067"/>
    </row>
    <row r="40" spans="1:2" x14ac:dyDescent="0.2">
      <c r="A40" s="1067" t="s">
        <v>2126</v>
      </c>
    </row>
    <row r="41" spans="1:2" x14ac:dyDescent="0.2">
      <c r="A41" s="1067"/>
      <c r="B41" s="329" t="s">
        <v>64</v>
      </c>
    </row>
    <row r="42" spans="1:2" x14ac:dyDescent="0.2">
      <c r="A42" s="1067"/>
      <c r="B42" s="329" t="s">
        <v>2127</v>
      </c>
    </row>
    <row r="43" spans="1:2" x14ac:dyDescent="0.2">
      <c r="A43" s="1067"/>
      <c r="B43" s="329" t="s">
        <v>2128</v>
      </c>
    </row>
    <row r="44" spans="1:2" x14ac:dyDescent="0.2">
      <c r="A44" s="1067"/>
      <c r="B44" s="329" t="s">
        <v>2129</v>
      </c>
    </row>
    <row r="45" spans="1:2" x14ac:dyDescent="0.2">
      <c r="A45" s="1067"/>
      <c r="B45" s="329" t="s">
        <v>2131</v>
      </c>
    </row>
    <row r="46" spans="1:2" x14ac:dyDescent="0.2">
      <c r="A46" s="1067"/>
      <c r="B46" s="329" t="s">
        <v>2130</v>
      </c>
    </row>
    <row r="47" spans="1:2" x14ac:dyDescent="0.2">
      <c r="A47" s="1067"/>
    </row>
    <row r="48" spans="1:2" x14ac:dyDescent="0.2">
      <c r="A48" s="1067" t="s">
        <v>2132</v>
      </c>
    </row>
    <row r="49" spans="1:2" x14ac:dyDescent="0.2">
      <c r="A49" s="1067"/>
      <c r="B49" s="329" t="s">
        <v>2133</v>
      </c>
    </row>
    <row r="50" spans="1:2" x14ac:dyDescent="0.2">
      <c r="A50" s="1067"/>
      <c r="B50" s="329" t="s">
        <v>2156</v>
      </c>
    </row>
    <row r="51" spans="1:2" x14ac:dyDescent="0.2">
      <c r="A51" s="1067"/>
    </row>
    <row r="52" spans="1:2" x14ac:dyDescent="0.2">
      <c r="A52" s="1067" t="s">
        <v>2136</v>
      </c>
    </row>
    <row r="53" spans="1:2" x14ac:dyDescent="0.2">
      <c r="A53" s="1067"/>
      <c r="B53" s="329" t="s">
        <v>1157</v>
      </c>
    </row>
    <row r="54" spans="1:2" x14ac:dyDescent="0.2">
      <c r="A54" s="1067"/>
      <c r="B54" s="329" t="s">
        <v>2137</v>
      </c>
    </row>
    <row r="55" spans="1:2" x14ac:dyDescent="0.2">
      <c r="A55" s="1067"/>
    </row>
    <row r="56" spans="1:2" x14ac:dyDescent="0.2">
      <c r="A56" s="1067" t="s">
        <v>2134</v>
      </c>
    </row>
    <row r="57" spans="1:2" x14ac:dyDescent="0.2">
      <c r="A57" s="1067"/>
      <c r="B57" s="329" t="s">
        <v>1157</v>
      </c>
    </row>
    <row r="58" spans="1:2" x14ac:dyDescent="0.2">
      <c r="A58" s="1067"/>
      <c r="B58" s="329" t="s">
        <v>2135</v>
      </c>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row>
    <row r="65" spans="1:2" x14ac:dyDescent="0.2">
      <c r="A65" s="1067"/>
    </row>
    <row r="66" spans="1:2" x14ac:dyDescent="0.2">
      <c r="A66" s="1067"/>
    </row>
    <row r="67" spans="1:2" x14ac:dyDescent="0.2">
      <c r="A67" s="1067"/>
      <c r="B67" s="258" t="str">
        <f>COVER!A17</f>
        <v>LEXINGTON CUSD 7</v>
      </c>
    </row>
    <row r="68" spans="1:2" x14ac:dyDescent="0.2">
      <c r="B68" s="1068">
        <f>COVER!A13</f>
        <v>17064007026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3" sqref="B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6" t="s">
        <v>1685</v>
      </c>
      <c r="B18" s="234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0</xdr:col>
                <xdr:colOff>85725</xdr:colOff>
                <xdr:row>0</xdr:row>
                <xdr:rowOff>95250</xdr:rowOff>
              </from>
              <to>
                <xdr:col>1</xdr:col>
                <xdr:colOff>876300</xdr:colOff>
                <xdr:row>4</xdr:row>
                <xdr:rowOff>133350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1000125</xdr:colOff>
                <xdr:row>0</xdr:row>
                <xdr:rowOff>114300</xdr:rowOff>
              </from>
              <to>
                <xdr:col>1</xdr:col>
                <xdr:colOff>1914525</xdr:colOff>
                <xdr:row>4</xdr:row>
                <xdr:rowOff>152400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2019300</xdr:colOff>
                <xdr:row>0</xdr:row>
                <xdr:rowOff>133350</xdr:rowOff>
              </from>
              <to>
                <xdr:col>1</xdr:col>
                <xdr:colOff>2933700</xdr:colOff>
                <xdr:row>5</xdr:row>
                <xdr:rowOff>9525</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3028950</xdr:colOff>
                <xdr:row>0</xdr:row>
                <xdr:rowOff>133350</xdr:rowOff>
              </from>
              <to>
                <xdr:col>1</xdr:col>
                <xdr:colOff>3943350</xdr:colOff>
                <xdr:row>5</xdr:row>
                <xdr:rowOff>9525</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r:id="rId13">
            <anchor moveWithCells="1">
              <from>
                <xdr:col>0</xdr:col>
                <xdr:colOff>66675</xdr:colOff>
                <xdr:row>5</xdr:row>
                <xdr:rowOff>47625</xdr:rowOff>
              </from>
              <to>
                <xdr:col>1</xdr:col>
                <xdr:colOff>857250</xdr:colOff>
                <xdr:row>9</xdr:row>
                <xdr:rowOff>85725</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Acrobat Document" dvAspect="DVASPECT_ICON" shapeId="37894" r:id="rId14">
          <objectPr defaultSize="0" r:id="rId15">
            <anchor moveWithCells="1">
              <from>
                <xdr:col>1</xdr:col>
                <xdr:colOff>1000125</xdr:colOff>
                <xdr:row>5</xdr:row>
                <xdr:rowOff>57150</xdr:rowOff>
              </from>
              <to>
                <xdr:col>1</xdr:col>
                <xdr:colOff>1914525</xdr:colOff>
                <xdr:row>9</xdr:row>
                <xdr:rowOff>95250</xdr:rowOff>
              </to>
            </anchor>
          </objectPr>
        </oleObject>
      </mc:Choice>
      <mc:Fallback>
        <oleObject progId="Acrobat Document" dvAspect="DVASPECT_ICON" shapeId="37894" r:id="rId14"/>
      </mc:Fallback>
    </mc:AlternateContent>
    <mc:AlternateContent xmlns:mc="http://schemas.openxmlformats.org/markup-compatibility/2006">
      <mc:Choice Requires="x14">
        <oleObject progId="Acrobat Document" dvAspect="DVASPECT_ICON" shapeId="37895" r:id="rId16">
          <objectPr defaultSize="0" r:id="rId17">
            <anchor moveWithCells="1">
              <from>
                <xdr:col>1</xdr:col>
                <xdr:colOff>2028825</xdr:colOff>
                <xdr:row>5</xdr:row>
                <xdr:rowOff>66675</xdr:rowOff>
              </from>
              <to>
                <xdr:col>1</xdr:col>
                <xdr:colOff>2943225</xdr:colOff>
                <xdr:row>9</xdr:row>
                <xdr:rowOff>104775</xdr:rowOff>
              </to>
            </anchor>
          </objectPr>
        </oleObject>
      </mc:Choice>
      <mc:Fallback>
        <oleObject progId="Acrobat Document" dvAspect="DVASPECT_ICON" shapeId="37895"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1690</v>
      </c>
      <c r="B1" s="2348"/>
      <c r="C1" s="2348"/>
      <c r="D1" s="2348"/>
      <c r="E1" s="2348"/>
      <c r="F1" s="2349"/>
    </row>
    <row r="2" spans="1:8" ht="45" customHeight="1" x14ac:dyDescent="0.2">
      <c r="A2" s="2357" t="s">
        <v>1985</v>
      </c>
      <c r="B2" s="2358"/>
      <c r="C2" s="2358"/>
      <c r="D2" s="2358"/>
      <c r="E2" s="2358"/>
      <c r="F2" s="2359"/>
      <c r="G2" s="1072"/>
      <c r="H2" s="1072"/>
    </row>
    <row r="3" spans="1:8" ht="57" customHeight="1" x14ac:dyDescent="0.2">
      <c r="A3" s="2360" t="s">
        <v>1686</v>
      </c>
      <c r="B3" s="2361"/>
      <c r="C3" s="2361"/>
      <c r="D3" s="2361"/>
      <c r="E3" s="2361"/>
      <c r="F3" s="2362"/>
      <c r="G3" s="1072"/>
      <c r="H3" s="1072"/>
    </row>
    <row r="4" spans="1:8" ht="14.25" customHeight="1" x14ac:dyDescent="0.2">
      <c r="A4" s="2366" t="s">
        <v>1986</v>
      </c>
      <c r="B4" s="2367"/>
      <c r="C4" s="2367"/>
      <c r="D4" s="2367"/>
      <c r="E4" s="2367"/>
      <c r="F4" s="2368"/>
      <c r="G4" s="1072"/>
      <c r="H4" s="1072"/>
    </row>
    <row r="5" spans="1:8" ht="14.25" customHeight="1" x14ac:dyDescent="0.2">
      <c r="A5" s="2369" t="s">
        <v>1982</v>
      </c>
      <c r="B5" s="2370"/>
      <c r="C5" s="2370"/>
      <c r="D5" s="2370"/>
      <c r="E5" s="2370"/>
      <c r="F5" s="2371"/>
      <c r="G5" s="1072"/>
      <c r="H5" s="1072"/>
    </row>
    <row r="6" spans="1:8" s="1073" customFormat="1" ht="41.25" customHeight="1" x14ac:dyDescent="0.2">
      <c r="A6" s="2363" t="s">
        <v>1691</v>
      </c>
      <c r="B6" s="2364"/>
      <c r="C6" s="2364"/>
      <c r="D6" s="2364"/>
      <c r="E6" s="2364"/>
      <c r="F6" s="2365"/>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5007677</v>
      </c>
      <c r="C8" s="1809">
        <f>'Acct Summary 7-8'!D8</f>
        <v>569738</v>
      </c>
      <c r="D8" s="1809">
        <f>'Acct Summary 7-8'!F8</f>
        <v>235413</v>
      </c>
      <c r="E8" s="1809">
        <f>'Acct Summary 7-8'!I8</f>
        <v>39147</v>
      </c>
      <c r="F8" s="1809">
        <f>SUM(B8:E8)</f>
        <v>5851975</v>
      </c>
    </row>
    <row r="9" spans="1:8" s="1077" customFormat="1" ht="14.25" customHeight="1" thickBot="1" x14ac:dyDescent="0.25">
      <c r="A9" s="1076" t="s">
        <v>1369</v>
      </c>
      <c r="B9" s="1810">
        <f>'Acct Summary 7-8'!C17</f>
        <v>4512425</v>
      </c>
      <c r="C9" s="1810">
        <f>'Acct Summary 7-8'!D17</f>
        <v>533151</v>
      </c>
      <c r="D9" s="1810">
        <f>'Acct Summary 7-8'!F17</f>
        <v>210041</v>
      </c>
      <c r="E9" s="1809"/>
      <c r="F9" s="1809">
        <f>SUM(B9:E9)</f>
        <v>5255617</v>
      </c>
    </row>
    <row r="10" spans="1:8" s="1077" customFormat="1" ht="14.25" thickTop="1" thickBot="1" x14ac:dyDescent="0.25">
      <c r="A10" s="1078" t="s">
        <v>1370</v>
      </c>
      <c r="B10" s="1811">
        <f>(B8-B9)</f>
        <v>495252</v>
      </c>
      <c r="C10" s="1811">
        <f>(C8-C9)</f>
        <v>36587</v>
      </c>
      <c r="D10" s="1811">
        <f>(D8-D9)</f>
        <v>25372</v>
      </c>
      <c r="E10" s="1810">
        <f>(E8-E9)</f>
        <v>39147</v>
      </c>
      <c r="F10" s="1812">
        <f>SUM(F8-F9)</f>
        <v>596358</v>
      </c>
    </row>
    <row r="11" spans="1:8" s="1077" customFormat="1" ht="14.25" thickTop="1" thickBot="1" x14ac:dyDescent="0.25">
      <c r="A11" s="1079" t="s">
        <v>1983</v>
      </c>
      <c r="B11" s="1813">
        <f>'Acct Summary 7-8'!C81</f>
        <v>2923834</v>
      </c>
      <c r="C11" s="1813">
        <f>'Acct Summary 7-8'!D81</f>
        <v>277550</v>
      </c>
      <c r="D11" s="1813">
        <f>'Acct Summary 7-8'!F81</f>
        <v>236802</v>
      </c>
      <c r="E11" s="1813">
        <f>'Acct Summary 7-8'!I81</f>
        <v>135148</v>
      </c>
      <c r="F11" s="1814">
        <f>SUM(B11:E11)</f>
        <v>3573334</v>
      </c>
    </row>
    <row r="12" spans="1:8" ht="16.5" customHeight="1" thickTop="1" x14ac:dyDescent="0.2">
      <c r="A12" s="1080"/>
      <c r="B12" s="1081"/>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2"/>
      <c r="B13" s="1083"/>
      <c r="C13" s="2351"/>
      <c r="D13" s="2352"/>
      <c r="E13" s="2352"/>
      <c r="F13" s="2353"/>
      <c r="H13" s="1072"/>
    </row>
    <row r="14" spans="1:8" ht="19.5" customHeight="1" x14ac:dyDescent="0.2">
      <c r="A14" s="1082"/>
      <c r="B14" s="1083"/>
      <c r="C14" s="2351"/>
      <c r="D14" s="2352"/>
      <c r="E14" s="2352"/>
      <c r="F14" s="2353"/>
      <c r="H14" s="1072"/>
    </row>
    <row r="15" spans="1:8" ht="17.25" customHeight="1" x14ac:dyDescent="0.2">
      <c r="A15" s="1082"/>
      <c r="B15" s="1083"/>
      <c r="C15" s="2354"/>
      <c r="D15" s="2355"/>
      <c r="E15" s="2355"/>
      <c r="F15" s="2356"/>
      <c r="H15" s="1072"/>
    </row>
    <row r="16" spans="1:8" s="310" customFormat="1" ht="51.75" hidden="1" customHeight="1" x14ac:dyDescent="0.2">
      <c r="A16" s="2350" t="s">
        <v>1687</v>
      </c>
      <c r="B16" s="2350"/>
      <c r="C16" s="2350"/>
      <c r="D16" s="2350"/>
      <c r="E16" s="2350"/>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G8" sqref="G8"/>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72" t="s">
        <v>665</v>
      </c>
      <c r="B3" s="2373"/>
      <c r="C3" s="2373"/>
      <c r="D3" s="2374"/>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83" t="s">
        <v>1504</v>
      </c>
      <c r="D7" s="2384"/>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75" t="s">
        <v>1008</v>
      </c>
      <c r="B15" s="2376"/>
      <c r="C15" s="2376"/>
      <c r="D15" s="2377"/>
    </row>
    <row r="16" spans="1:4" s="666" customFormat="1" ht="24" customHeight="1" x14ac:dyDescent="0.2">
      <c r="A16" s="2378" t="s">
        <v>663</v>
      </c>
      <c r="B16" s="2379"/>
      <c r="C16" s="2379"/>
      <c r="D16" s="2380"/>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7" t="s">
        <v>314</v>
      </c>
      <c r="D21" s="2388"/>
    </row>
    <row r="22" spans="1:10" ht="12.75" x14ac:dyDescent="0.2">
      <c r="A22" s="1137"/>
      <c r="B22" s="1138">
        <v>2</v>
      </c>
      <c r="C22" s="2385" t="s">
        <v>1524</v>
      </c>
      <c r="D22" s="2386"/>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9" t="s">
        <v>536</v>
      </c>
      <c r="D43" s="2390"/>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81" t="s">
        <v>784</v>
      </c>
      <c r="D56" s="2382"/>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81" t="s">
        <v>1696</v>
      </c>
      <c r="D70" s="2382"/>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29'!D38&gt;0,"OK","PLEASE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17064007026</v>
      </c>
    </row>
    <row r="3" spans="1:2" x14ac:dyDescent="0.2">
      <c r="A3" t="s">
        <v>956</v>
      </c>
      <c r="B3" s="138" t="str">
        <f>COVER!A15</f>
        <v>MCLEAN</v>
      </c>
    </row>
    <row r="4" spans="1:2" x14ac:dyDescent="0.2">
      <c r="A4" t="s">
        <v>1007</v>
      </c>
      <c r="B4" s="138" t="str">
        <f>COVER!A17</f>
        <v>LEXINGTON CUSD 7</v>
      </c>
    </row>
    <row r="5" spans="1:2" x14ac:dyDescent="0.2">
      <c r="A5" t="s">
        <v>704</v>
      </c>
      <c r="B5" s="138" t="str">
        <f>COVER!A38</f>
        <v>PAUL DETERS</v>
      </c>
    </row>
    <row r="6" spans="1:2" x14ac:dyDescent="0.2">
      <c r="A6" t="s">
        <v>709</v>
      </c>
      <c r="B6" s="138">
        <f>COVER!P35</f>
        <v>0</v>
      </c>
    </row>
    <row r="7" spans="1:2" x14ac:dyDescent="0.2">
      <c r="A7" t="s">
        <v>705</v>
      </c>
      <c r="B7" s="138">
        <f>COVER!I38</f>
        <v>0</v>
      </c>
    </row>
    <row r="8" spans="1:2" x14ac:dyDescent="0.2">
      <c r="A8" t="s">
        <v>706</v>
      </c>
      <c r="B8" s="138" t="str">
        <f>COVER!T38</f>
        <v>MARK JONTRY</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ROBIN R. YOCKEY</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Yes</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Yes</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713800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2929972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6138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6138</v>
      </c>
      <c r="C91" s="2" t="s">
        <v>573</v>
      </c>
      <c r="D91" s="2" t="str">
        <f t="shared" si="0"/>
        <v>Error?</v>
      </c>
    </row>
    <row r="92" spans="1:4" x14ac:dyDescent="0.2">
      <c r="A92" s="5">
        <v>31</v>
      </c>
      <c r="B92" s="138">
        <f>'Assets-Liab 5-6'!C39</f>
        <v>2923834</v>
      </c>
      <c r="D92" s="2" t="str">
        <f t="shared" si="0"/>
        <v>Error?</v>
      </c>
    </row>
    <row r="93" spans="1:4" x14ac:dyDescent="0.2">
      <c r="A93" s="5">
        <v>32</v>
      </c>
      <c r="B93" s="138">
        <f>'Assets-Liab 5-6'!C41</f>
        <v>2929972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279231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1681</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1681</v>
      </c>
      <c r="C122" s="2" t="s">
        <v>573</v>
      </c>
      <c r="D122" s="2" t="str">
        <f t="shared" si="0"/>
        <v>Error?</v>
      </c>
    </row>
    <row r="123" spans="1:4" x14ac:dyDescent="0.2">
      <c r="A123" s="5">
        <v>62</v>
      </c>
      <c r="B123" s="138">
        <f>'Assets-Liab 5-6'!D39</f>
        <v>277550</v>
      </c>
      <c r="D123" s="2" t="str">
        <f t="shared" si="0"/>
        <v>Error?</v>
      </c>
    </row>
    <row r="124" spans="1:4" x14ac:dyDescent="0.2">
      <c r="A124" s="5">
        <v>63</v>
      </c>
      <c r="B124" s="138">
        <f>'Assets-Liab 5-6'!D41</f>
        <v>279231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386619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386619</v>
      </c>
      <c r="D140" s="2" t="str">
        <f t="shared" si="1"/>
        <v>Error?</v>
      </c>
    </row>
    <row r="141" spans="1:4" x14ac:dyDescent="0.2">
      <c r="A141" s="5">
        <v>80</v>
      </c>
      <c r="B141" s="138">
        <f>'Assets-Liab 5-6'!E41</f>
        <v>386619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238112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1310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1310</v>
      </c>
      <c r="C169" s="2" t="s">
        <v>573</v>
      </c>
      <c r="D169" s="2" t="str">
        <f t="shared" si="1"/>
        <v>Error?</v>
      </c>
    </row>
    <row r="170" spans="1:4" x14ac:dyDescent="0.2">
      <c r="A170" s="5">
        <v>109</v>
      </c>
      <c r="B170" s="138">
        <f>'Assets-Liab 5-6'!F39</f>
        <v>236802</v>
      </c>
      <c r="D170" s="2" t="str">
        <f t="shared" si="1"/>
        <v>Error?</v>
      </c>
    </row>
    <row r="171" spans="1:4" x14ac:dyDescent="0.2">
      <c r="A171" s="5">
        <v>110</v>
      </c>
      <c r="B171" s="138">
        <f>'Assets-Liab 5-6'!F41</f>
        <v>238112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20147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20147</v>
      </c>
      <c r="D189" s="2" t="str">
        <f t="shared" si="1"/>
        <v>Error?</v>
      </c>
    </row>
    <row r="190" spans="1:4" x14ac:dyDescent="0.2">
      <c r="A190" s="5">
        <v>129</v>
      </c>
      <c r="B190" s="138">
        <f>'Assets-Liab 5-6'!G41</f>
        <v>20147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60642</v>
      </c>
      <c r="D273" s="2" t="str">
        <f t="shared" si="3"/>
        <v>Error?</v>
      </c>
    </row>
    <row r="274" spans="1:4" x14ac:dyDescent="0.2">
      <c r="A274" s="5">
        <v>213</v>
      </c>
      <c r="B274" s="138">
        <f>'Assets-Liab 5-6'!M17</f>
        <v>10303678</v>
      </c>
      <c r="D274" s="2" t="str">
        <f t="shared" si="3"/>
        <v>Error?</v>
      </c>
    </row>
    <row r="275" spans="1:4" x14ac:dyDescent="0.2">
      <c r="A275" s="5">
        <v>214</v>
      </c>
      <c r="B275" s="138">
        <f>'Assets-Liab 5-6'!M18</f>
        <v>233159</v>
      </c>
      <c r="D275" s="2" t="str">
        <f t="shared" si="3"/>
        <v>Error?</v>
      </c>
    </row>
    <row r="276" spans="1:4" x14ac:dyDescent="0.2">
      <c r="A276" s="5">
        <v>215</v>
      </c>
      <c r="B276" s="138">
        <f>'Assets-Liab 5-6'!M19</f>
        <v>843584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11441063</v>
      </c>
      <c r="C279" s="2" t="s">
        <v>573</v>
      </c>
      <c r="D279" s="2" t="str">
        <f t="shared" si="3"/>
        <v>Error?</v>
      </c>
    </row>
    <row r="280" spans="1:4" x14ac:dyDescent="0.2">
      <c r="A280" s="5">
        <v>219</v>
      </c>
      <c r="B280" s="138">
        <f>'Assets-Liab 5-6'!M40</f>
        <v>11441063</v>
      </c>
      <c r="D280" s="2" t="str">
        <f t="shared" si="3"/>
        <v>Error?</v>
      </c>
    </row>
    <row r="281" spans="1:4" x14ac:dyDescent="0.2">
      <c r="A281" s="5">
        <v>220</v>
      </c>
      <c r="B281" s="138">
        <f>'Assets-Liab 5-6'!M41</f>
        <v>11441063</v>
      </c>
      <c r="C281" s="2" t="s">
        <v>573</v>
      </c>
      <c r="D281" s="2" t="str">
        <f t="shared" si="3"/>
        <v>Error?</v>
      </c>
    </row>
    <row r="282" spans="1:4" x14ac:dyDescent="0.2">
      <c r="A282" s="5">
        <v>221</v>
      </c>
      <c r="B282" s="138">
        <f>'Assets-Liab 5-6'!N21</f>
        <v>386619</v>
      </c>
      <c r="D282" s="2" t="str">
        <f t="shared" si="3"/>
        <v>Error?</v>
      </c>
    </row>
    <row r="283" spans="1:4" x14ac:dyDescent="0.2">
      <c r="A283" s="5">
        <v>222</v>
      </c>
      <c r="B283" s="138">
        <f>'Assets-Liab 5-6'!N22</f>
        <v>4065401</v>
      </c>
      <c r="D283" s="2" t="str">
        <f t="shared" si="3"/>
        <v>Error?</v>
      </c>
    </row>
    <row r="284" spans="1:4" x14ac:dyDescent="0.2">
      <c r="A284" s="5">
        <v>223</v>
      </c>
      <c r="B284" s="138">
        <f>'Assets-Liab 5-6'!N23</f>
        <v>4452020</v>
      </c>
      <c r="C284" s="2" t="s">
        <v>573</v>
      </c>
      <c r="D284" s="2" t="str">
        <f t="shared" si="3"/>
        <v>Error?</v>
      </c>
    </row>
    <row r="285" spans="1:4" x14ac:dyDescent="0.2">
      <c r="A285" s="5">
        <v>224</v>
      </c>
      <c r="B285" s="138">
        <f>'Assets-Liab 5-6'!N36</f>
        <v>4452020</v>
      </c>
      <c r="D285" s="2" t="str">
        <f t="shared" si="3"/>
        <v>Error?</v>
      </c>
    </row>
    <row r="286" spans="1:4" x14ac:dyDescent="0.2">
      <c r="A286" s="10">
        <v>225</v>
      </c>
      <c r="D286" s="2" t="str">
        <f t="shared" si="3"/>
        <v>OK</v>
      </c>
    </row>
    <row r="287" spans="1:4" x14ac:dyDescent="0.2">
      <c r="A287" s="5">
        <v>226</v>
      </c>
      <c r="B287" s="138">
        <f>'Assets-Liab 5-6'!N37</f>
        <v>4452020</v>
      </c>
      <c r="C287" s="2" t="s">
        <v>573</v>
      </c>
      <c r="D287" s="2" t="str">
        <f t="shared" si="3"/>
        <v>Error?</v>
      </c>
    </row>
    <row r="288" spans="1:4" x14ac:dyDescent="0.2">
      <c r="A288" s="5">
        <v>227</v>
      </c>
      <c r="B288" s="138">
        <f>'Assets-Liab 5-6'!N41</f>
        <v>4452020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1607386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65671</v>
      </c>
      <c r="D717" s="2" t="str">
        <f t="shared" si="10"/>
        <v>Error?</v>
      </c>
    </row>
    <row r="718" spans="1:4" x14ac:dyDescent="0.2">
      <c r="A718" s="5">
        <v>657</v>
      </c>
      <c r="B718" s="138">
        <f>'Expenditures 15-22'!C14</f>
        <v>150975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2610616</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105768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16418</v>
      </c>
      <c r="D726" s="2" t="str">
        <f t="shared" si="10"/>
        <v>Error?</v>
      </c>
    </row>
    <row r="727" spans="1:4" x14ac:dyDescent="0.2">
      <c r="A727" s="5">
        <v>666</v>
      </c>
      <c r="B727" s="138">
        <f>'Expenditures 15-22'!C42</f>
        <v>122186</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18477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18477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104015</v>
      </c>
      <c r="D733" s="2" t="str">
        <f t="shared" si="10"/>
        <v>Error?</v>
      </c>
    </row>
    <row r="734" spans="1:4" x14ac:dyDescent="0.2">
      <c r="A734" s="5">
        <v>673</v>
      </c>
      <c r="B734" s="138">
        <f>'Expenditures 15-22'!C53</f>
        <v>104015</v>
      </c>
      <c r="C734" s="2" t="s">
        <v>573</v>
      </c>
      <c r="D734" s="2" t="str">
        <f t="shared" si="10"/>
        <v>Error?</v>
      </c>
    </row>
    <row r="735" spans="1:4" x14ac:dyDescent="0.2">
      <c r="A735" s="5">
        <v>674</v>
      </c>
      <c r="B735" s="138">
        <f>'Expenditures 15-22'!C55</f>
        <v>145786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145786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71148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56256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127404</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3325</v>
      </c>
      <c r="D754" s="2" t="str">
        <f t="shared" si="10"/>
        <v>Error?</v>
      </c>
    </row>
    <row r="755" spans="1:4" x14ac:dyDescent="0.2">
      <c r="A755" s="5">
        <v>694</v>
      </c>
      <c r="B755" s="138">
        <f>'Expenditures 15-22'!C74</f>
        <v>521193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3131809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368500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15362</v>
      </c>
      <c r="D775" s="2" t="str">
        <f t="shared" si="11"/>
        <v>Error?</v>
      </c>
    </row>
    <row r="776" spans="1:4" x14ac:dyDescent="0.2">
      <c r="A776" s="5">
        <v>715</v>
      </c>
      <c r="B776" s="138">
        <f>'Expenditures 15-22'!D14</f>
        <v>16452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579529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26276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849</v>
      </c>
      <c r="D784" s="2" t="str">
        <f t="shared" si="11"/>
        <v>Error?</v>
      </c>
    </row>
    <row r="785" spans="1:4" x14ac:dyDescent="0.2">
      <c r="A785" s="5">
        <v>724</v>
      </c>
      <c r="B785" s="138">
        <f>'Expenditures 15-22'!D42</f>
        <v>27125</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69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28740</v>
      </c>
      <c r="D791" s="2" t="str">
        <f t="shared" si="11"/>
        <v>Error?</v>
      </c>
    </row>
    <row r="792" spans="1:4" x14ac:dyDescent="0.2">
      <c r="A792" s="5">
        <v>731</v>
      </c>
      <c r="B792" s="138">
        <f>'Expenditures 15-22'!D53</f>
        <v>28740</v>
      </c>
      <c r="C792" s="2" t="s">
        <v>573</v>
      </c>
      <c r="D792" s="2" t="str">
        <f t="shared" si="11"/>
        <v>Error?</v>
      </c>
    </row>
    <row r="793" spans="1:4" x14ac:dyDescent="0.2">
      <c r="A793" s="5">
        <v>732</v>
      </c>
      <c r="B793" s="138">
        <f>'Expenditures 15-22'!D55</f>
        <v>41583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41583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10023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6226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16249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334</v>
      </c>
      <c r="D812" s="2" t="str">
        <f t="shared" si="11"/>
        <v>Error?</v>
      </c>
    </row>
    <row r="813" spans="1:4" x14ac:dyDescent="0.2">
      <c r="A813" s="5">
        <v>752</v>
      </c>
      <c r="B813" s="138">
        <f>'Expenditures 15-22'!D74</f>
        <v>114100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693629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13332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808</v>
      </c>
      <c r="D833" s="2" t="str">
        <f t="shared" si="12"/>
        <v>Error?</v>
      </c>
    </row>
    <row r="834" spans="1:4" x14ac:dyDescent="0.2">
      <c r="A834" s="5">
        <v>773</v>
      </c>
      <c r="B834" s="138">
        <f>'Expenditures 15-22'!E14</f>
        <v>26667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42591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82</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82</v>
      </c>
      <c r="C843" s="2" t="s">
        <v>573</v>
      </c>
      <c r="D843" s="2" t="str">
        <f t="shared" si="12"/>
        <v>Error?</v>
      </c>
    </row>
    <row r="844" spans="1:4" x14ac:dyDescent="0.2">
      <c r="A844" s="5">
        <v>783</v>
      </c>
      <c r="B844" s="138">
        <f>'Expenditures 15-22'!E44</f>
        <v>25832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25832</v>
      </c>
      <c r="C847" s="2" t="s">
        <v>573</v>
      </c>
      <c r="D847" s="2" t="str">
        <f t="shared" si="12"/>
        <v>Error?</v>
      </c>
    </row>
    <row r="848" spans="1:4" x14ac:dyDescent="0.2">
      <c r="A848" s="5">
        <v>787</v>
      </c>
      <c r="B848" s="138">
        <f>'Expenditures 15-22'!E49</f>
        <v>21208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21208</v>
      </c>
      <c r="C850" s="2" t="s">
        <v>573</v>
      </c>
      <c r="D850" s="2" t="str">
        <f t="shared" si="12"/>
        <v>Error?</v>
      </c>
    </row>
    <row r="851" spans="1:4" x14ac:dyDescent="0.2">
      <c r="A851" s="5">
        <v>790</v>
      </c>
      <c r="B851" s="138">
        <f>'Expenditures 15-22'!E55</f>
        <v>5050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5050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5536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3425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8961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8316</v>
      </c>
      <c r="D870" s="2" t="str">
        <f t="shared" si="12"/>
        <v>Error?</v>
      </c>
    </row>
    <row r="871" spans="1:4" x14ac:dyDescent="0.2">
      <c r="A871" s="5">
        <v>810</v>
      </c>
      <c r="B871" s="138">
        <f>'Expenditures 15-22'!E74</f>
        <v>69449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203518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65117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2141</v>
      </c>
      <c r="D891" s="2" t="str">
        <f t="shared" si="12"/>
        <v>Error?</v>
      </c>
    </row>
    <row r="892" spans="1:4" x14ac:dyDescent="0.2">
      <c r="A892" s="5">
        <v>831</v>
      </c>
      <c r="B892" s="138">
        <f>'Expenditures 15-22'!F14</f>
        <v>18184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89145</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662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634</v>
      </c>
      <c r="D900" s="2" t="str">
        <f t="shared" si="13"/>
        <v>Error?</v>
      </c>
    </row>
    <row r="901" spans="1:4" x14ac:dyDescent="0.2">
      <c r="A901" s="5">
        <v>840</v>
      </c>
      <c r="B901" s="138">
        <f>'Expenditures 15-22'!F42</f>
        <v>1296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1671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1671</v>
      </c>
      <c r="C905" s="2" t="s">
        <v>573</v>
      </c>
      <c r="D905" s="2" t="str">
        <f t="shared" si="13"/>
        <v>Error?</v>
      </c>
    </row>
    <row r="906" spans="1:4" x14ac:dyDescent="0.2">
      <c r="A906" s="5">
        <v>845</v>
      </c>
      <c r="B906" s="138">
        <f>'Expenditures 15-22'!F49</f>
        <v>2286</v>
      </c>
      <c r="D906" s="2" t="str">
        <f t="shared" si="13"/>
        <v>Error?</v>
      </c>
    </row>
    <row r="907" spans="1:4" x14ac:dyDescent="0.2">
      <c r="A907" s="5">
        <v>846</v>
      </c>
      <c r="B907" s="138">
        <f>'Expenditures 15-22'!F50</f>
        <v>874</v>
      </c>
      <c r="D907" s="2" t="str">
        <f t="shared" si="13"/>
        <v>Error?</v>
      </c>
    </row>
    <row r="908" spans="1:4" x14ac:dyDescent="0.2">
      <c r="A908" s="5">
        <v>847</v>
      </c>
      <c r="B908" s="138">
        <f>'Expenditures 15-22'!F53</f>
        <v>3160</v>
      </c>
      <c r="C908" s="2" t="s">
        <v>573</v>
      </c>
      <c r="D908" s="2" t="str">
        <f t="shared" si="13"/>
        <v>Error?</v>
      </c>
    </row>
    <row r="909" spans="1:4" x14ac:dyDescent="0.2">
      <c r="A909" s="5">
        <v>848</v>
      </c>
      <c r="B909" s="138">
        <f>'Expenditures 15-22'!F55</f>
        <v>7169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7169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7821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76595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84416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3207</v>
      </c>
      <c r="D928" s="2" t="str">
        <f t="shared" si="13"/>
        <v>Error?</v>
      </c>
    </row>
    <row r="929" spans="1:4" x14ac:dyDescent="0.2">
      <c r="A929" s="5">
        <v>868</v>
      </c>
      <c r="B929" s="138">
        <f>'Expenditures 15-22'!F74</f>
        <v>100919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190064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5553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5553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1750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1750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7965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7965</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9715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15268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10221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7269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255113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3040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3040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3040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19984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278137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2070109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83982</v>
      </c>
      <c r="C1105" s="2" t="s">
        <v>573</v>
      </c>
      <c r="D1105" s="2" t="str">
        <f t="shared" si="16"/>
        <v>Error?</v>
      </c>
    </row>
    <row r="1106" spans="1:4" x14ac:dyDescent="0.2">
      <c r="A1106" s="5">
        <v>1045</v>
      </c>
      <c r="B1106" s="138">
        <f>'Expenditures 15-22'!K14</f>
        <v>219547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3582547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132788</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17901</v>
      </c>
      <c r="C1114" s="2" t="s">
        <v>573</v>
      </c>
      <c r="D1114" s="2" t="str">
        <f t="shared" si="16"/>
        <v>Error?</v>
      </c>
    </row>
    <row r="1115" spans="1:4" x14ac:dyDescent="0.2">
      <c r="A1115" s="5">
        <v>1054</v>
      </c>
      <c r="B1115" s="138">
        <f>'Expenditures 15-22'!K42</f>
        <v>150689</v>
      </c>
      <c r="C1115" s="2" t="s">
        <v>573</v>
      </c>
      <c r="D1115" s="2" t="str">
        <f t="shared" si="16"/>
        <v>Error?</v>
      </c>
    </row>
    <row r="1116" spans="1:4" x14ac:dyDescent="0.2">
      <c r="A1116" s="5">
        <v>1055</v>
      </c>
      <c r="B1116" s="138">
        <f>'Expenditures 15-22'!K44</f>
        <v>25832</v>
      </c>
      <c r="C1116" s="2" t="s">
        <v>573</v>
      </c>
      <c r="D1116" s="2" t="str">
        <f t="shared" si="16"/>
        <v>Error?</v>
      </c>
    </row>
    <row r="1117" spans="1:4" x14ac:dyDescent="0.2">
      <c r="A1117" s="5">
        <v>1056</v>
      </c>
      <c r="B1117" s="138">
        <f>'Expenditures 15-22'!K45</f>
        <v>20217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46049</v>
      </c>
      <c r="C1119" s="2" t="s">
        <v>573</v>
      </c>
      <c r="D1119" s="2" t="str">
        <f t="shared" si="16"/>
        <v>Error?</v>
      </c>
    </row>
    <row r="1120" spans="1:4" x14ac:dyDescent="0.2">
      <c r="A1120" s="5">
        <v>1059</v>
      </c>
      <c r="B1120" s="138">
        <f>'Expenditures 15-22'!K49</f>
        <v>26534</v>
      </c>
      <c r="C1120" s="2" t="s">
        <v>573</v>
      </c>
      <c r="D1120" s="2" t="str">
        <f t="shared" si="16"/>
        <v>Error?</v>
      </c>
    </row>
    <row r="1121" spans="1:4" x14ac:dyDescent="0.2">
      <c r="A1121" s="5">
        <v>1060</v>
      </c>
      <c r="B1121" s="138">
        <f>'Expenditures 15-22'!K50</f>
        <v>133629</v>
      </c>
      <c r="C1121" s="2" t="s">
        <v>573</v>
      </c>
      <c r="D1121" s="2" t="str">
        <f t="shared" si="16"/>
        <v>Error?</v>
      </c>
    </row>
    <row r="1122" spans="1:4" x14ac:dyDescent="0.2">
      <c r="A1122" s="5">
        <v>1061</v>
      </c>
      <c r="B1122" s="138">
        <f>'Expenditures 15-22'!K53</f>
        <v>160163</v>
      </c>
      <c r="C1122" s="2" t="s">
        <v>573</v>
      </c>
      <c r="D1122" s="2" t="str">
        <f t="shared" si="16"/>
        <v>Error?</v>
      </c>
    </row>
    <row r="1123" spans="1:4" x14ac:dyDescent="0.2">
      <c r="A1123" s="5">
        <v>1062</v>
      </c>
      <c r="B1123" s="138">
        <f>'Expenditures 15-22'!K55</f>
        <v>201338</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201338</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94528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150467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244995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15182</v>
      </c>
      <c r="C1142" s="2" t="s">
        <v>573</v>
      </c>
      <c r="D1142" s="2" t="str">
        <f t="shared" si="16"/>
        <v>Error?</v>
      </c>
    </row>
    <row r="1143" spans="1:4" x14ac:dyDescent="0.2">
      <c r="A1143" s="5">
        <v>1082</v>
      </c>
      <c r="B1143" s="138">
        <f>'Expenditures 15-22'!K74</f>
        <v>818416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111462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4512425</v>
      </c>
      <c r="C1152" s="2" t="s">
        <v>573</v>
      </c>
      <c r="D1152" s="2" t="str">
        <f t="shared" si="17"/>
        <v>Error?</v>
      </c>
    </row>
    <row r="1153" spans="1:4" x14ac:dyDescent="0.2">
      <c r="A1153" s="5">
        <v>1092</v>
      </c>
      <c r="B1153" s="138">
        <f>'Expenditures 15-22'!K115</f>
        <v>495252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153520</v>
      </c>
      <c r="D1221" s="2" t="str">
        <f t="shared" si="18"/>
        <v>Error?</v>
      </c>
    </row>
    <row r="1222" spans="1:4" x14ac:dyDescent="0.2">
      <c r="A1222" s="10">
        <v>1161</v>
      </c>
      <c r="D1222" s="2" t="str">
        <f t="shared" si="18"/>
        <v>OK</v>
      </c>
    </row>
    <row r="1223" spans="1:4" x14ac:dyDescent="0.2">
      <c r="A1223" s="5">
        <v>1162</v>
      </c>
      <c r="B1223" s="138">
        <f>'Expenditures 15-22'!C127</f>
        <v>153520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153520</v>
      </c>
      <c r="C1225" s="2" t="s">
        <v>573</v>
      </c>
      <c r="D1225" s="2" t="str">
        <f t="shared" si="18"/>
        <v>Error?</v>
      </c>
    </row>
    <row r="1226" spans="1:4" x14ac:dyDescent="0.2">
      <c r="A1226" s="5">
        <v>1165</v>
      </c>
      <c r="B1226" s="138">
        <f>'Expenditures 15-22'!C151</f>
        <v>153520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25657</v>
      </c>
      <c r="D1229" s="2" t="str">
        <f t="shared" si="18"/>
        <v>Error?</v>
      </c>
    </row>
    <row r="1230" spans="1:4" x14ac:dyDescent="0.2">
      <c r="A1230" s="10">
        <v>1169</v>
      </c>
      <c r="D1230" s="2" t="str">
        <f t="shared" si="18"/>
        <v>OK</v>
      </c>
    </row>
    <row r="1231" spans="1:4" x14ac:dyDescent="0.2">
      <c r="A1231" s="5">
        <v>1170</v>
      </c>
      <c r="B1231" s="138">
        <f>'Expenditures 15-22'!D127</f>
        <v>25657</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25657</v>
      </c>
      <c r="C1233" s="2" t="s">
        <v>573</v>
      </c>
      <c r="D1233" s="2" t="str">
        <f t="shared" si="18"/>
        <v>Error?</v>
      </c>
    </row>
    <row r="1234" spans="1:4" x14ac:dyDescent="0.2">
      <c r="A1234" s="5">
        <v>1173</v>
      </c>
      <c r="B1234" s="138">
        <f>'Expenditures 15-22'!D151</f>
        <v>25657</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232505</v>
      </c>
      <c r="D1237" s="2" t="str">
        <f t="shared" si="18"/>
        <v>Error?</v>
      </c>
    </row>
    <row r="1238" spans="1:4" x14ac:dyDescent="0.2">
      <c r="A1238" s="10">
        <v>1177</v>
      </c>
      <c r="D1238" s="2" t="str">
        <f t="shared" si="18"/>
        <v>OK</v>
      </c>
    </row>
    <row r="1239" spans="1:4" x14ac:dyDescent="0.2">
      <c r="A1239" s="5">
        <v>1178</v>
      </c>
      <c r="B1239" s="138">
        <f>'Expenditures 15-22'!E127</f>
        <v>232505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232505</v>
      </c>
      <c r="C1241" s="2" t="s">
        <v>573</v>
      </c>
      <c r="D1241" s="2" t="str">
        <f t="shared" si="18"/>
        <v>Error?</v>
      </c>
    </row>
    <row r="1242" spans="1:4" x14ac:dyDescent="0.2">
      <c r="A1242" s="5">
        <v>1181</v>
      </c>
      <c r="B1242" s="138">
        <f>'Expenditures 15-22'!E151</f>
        <v>232505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44566</v>
      </c>
      <c r="D1245" s="2" t="str">
        <f t="shared" si="18"/>
        <v>Error?</v>
      </c>
    </row>
    <row r="1246" spans="1:4" x14ac:dyDescent="0.2">
      <c r="A1246" s="10">
        <v>1185</v>
      </c>
      <c r="D1246" s="2" t="str">
        <f t="shared" si="18"/>
        <v>OK</v>
      </c>
    </row>
    <row r="1247" spans="1:4" x14ac:dyDescent="0.2">
      <c r="A1247" s="5">
        <v>1186</v>
      </c>
      <c r="B1247" s="138">
        <f>'Expenditures 15-22'!F127</f>
        <v>44566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44566</v>
      </c>
      <c r="C1249" s="2" t="s">
        <v>573</v>
      </c>
      <c r="D1249" s="2" t="str">
        <f t="shared" si="18"/>
        <v>Error?</v>
      </c>
    </row>
    <row r="1250" spans="1:4" x14ac:dyDescent="0.2">
      <c r="A1250" s="5">
        <v>1189</v>
      </c>
      <c r="B1250" s="138">
        <f>'Expenditures 15-22'!F151</f>
        <v>44566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76903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76903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76903</v>
      </c>
      <c r="C1258" s="2" t="s">
        <v>573</v>
      </c>
      <c r="D1258" s="2" t="str">
        <f t="shared" si="18"/>
        <v>Error?</v>
      </c>
    </row>
    <row r="1259" spans="1:4" x14ac:dyDescent="0.2">
      <c r="A1259" s="5">
        <v>1198</v>
      </c>
      <c r="B1259" s="138">
        <f>'Expenditures 15-22'!G151</f>
        <v>76903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533151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533151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533151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533151</v>
      </c>
      <c r="C1288" s="2" t="s">
        <v>573</v>
      </c>
      <c r="D1288" s="2" t="str">
        <f t="shared" si="19"/>
        <v>Error?</v>
      </c>
    </row>
    <row r="1289" spans="1:4" x14ac:dyDescent="0.2">
      <c r="A1289" s="5">
        <v>1228</v>
      </c>
      <c r="B1289" s="138">
        <f>'Expenditures 15-22'!K152</f>
        <v>36587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16556</v>
      </c>
      <c r="D1307" s="2" t="str">
        <f t="shared" si="19"/>
        <v>Error?</v>
      </c>
    </row>
    <row r="1308" spans="1:4" x14ac:dyDescent="0.2">
      <c r="A1308" s="5">
        <v>1247</v>
      </c>
      <c r="B1308" s="138">
        <f>'Expenditures 15-22'!E172</f>
        <v>16556</v>
      </c>
      <c r="C1308" s="2" t="s">
        <v>573</v>
      </c>
      <c r="D1308" s="2" t="str">
        <f t="shared" si="19"/>
        <v>Error?</v>
      </c>
    </row>
    <row r="1309" spans="1:4" x14ac:dyDescent="0.2">
      <c r="A1309" s="5">
        <v>1248</v>
      </c>
      <c r="B1309" s="138">
        <f>'Expenditures 15-22'!E174</f>
        <v>16556</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190269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1202523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1392792</v>
      </c>
      <c r="C1317" s="2" t="s">
        <v>573</v>
      </c>
      <c r="D1317" s="2" t="str">
        <f t="shared" si="19"/>
        <v>Error?</v>
      </c>
    </row>
    <row r="1318" spans="1:4" x14ac:dyDescent="0.2">
      <c r="A1318" s="5">
        <v>1257</v>
      </c>
      <c r="B1318" s="138">
        <f>'Expenditures 15-22'!H174</f>
        <v>1392792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190269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1202523</v>
      </c>
      <c r="C1329" s="2" t="s">
        <v>573</v>
      </c>
      <c r="D1329" s="2" t="str">
        <f t="shared" si="19"/>
        <v>Error?</v>
      </c>
    </row>
    <row r="1330" spans="1:4" x14ac:dyDescent="0.2">
      <c r="A1330" s="5">
        <v>1269</v>
      </c>
      <c r="B1330" s="138">
        <f>'Expenditures 15-22'!K171</f>
        <v>16556</v>
      </c>
      <c r="C1330" s="2" t="s">
        <v>573</v>
      </c>
      <c r="D1330" s="2" t="str">
        <f t="shared" si="19"/>
        <v>Error?</v>
      </c>
    </row>
    <row r="1331" spans="1:4" x14ac:dyDescent="0.2">
      <c r="A1331" s="5">
        <v>1270</v>
      </c>
      <c r="B1331" s="138">
        <f>'Expenditures 15-22'!K172</f>
        <v>1409348</v>
      </c>
      <c r="C1331" s="2" t="s">
        <v>573</v>
      </c>
      <c r="D1331" s="2" t="str">
        <f t="shared" si="19"/>
        <v>Error?</v>
      </c>
    </row>
    <row r="1332" spans="1:4" x14ac:dyDescent="0.2">
      <c r="A1332" s="5">
        <v>1271</v>
      </c>
      <c r="B1332" s="138">
        <f>'Expenditures 15-22'!K174</f>
        <v>1409348</v>
      </c>
      <c r="C1332" s="2" t="s">
        <v>573</v>
      </c>
      <c r="D1332" s="2" t="str">
        <f t="shared" si="19"/>
        <v>Error?</v>
      </c>
    </row>
    <row r="1333" spans="1:4" x14ac:dyDescent="0.2">
      <c r="A1333" s="5">
        <v>1272</v>
      </c>
      <c r="B1333" s="138">
        <f>'Expenditures 15-22'!K175</f>
        <v>-718194</v>
      </c>
      <c r="C1333" s="2" t="s">
        <v>573</v>
      </c>
      <c r="D1333" s="2" t="str">
        <f t="shared" si="19"/>
        <v>Error?</v>
      </c>
    </row>
    <row r="1334" spans="1:4" x14ac:dyDescent="0.2">
      <c r="A1334" s="10">
        <v>1273</v>
      </c>
      <c r="D1334" s="2" t="str">
        <f t="shared" si="19"/>
        <v>OK</v>
      </c>
    </row>
    <row r="1335" spans="1:4" x14ac:dyDescent="0.2">
      <c r="A1335" s="5">
        <v>1274</v>
      </c>
      <c r="B1335" s="138">
        <f>'Expenditures 15-22'!C182</f>
        <v>111920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111920</v>
      </c>
      <c r="C1339" s="2" t="s">
        <v>573</v>
      </c>
      <c r="D1339" s="2" t="str">
        <f t="shared" si="19"/>
        <v>Error?</v>
      </c>
    </row>
    <row r="1340" spans="1:4" x14ac:dyDescent="0.2">
      <c r="A1340" s="5">
        <v>1279</v>
      </c>
      <c r="B1340" s="138">
        <f>'Expenditures 15-22'!C210</f>
        <v>111920</v>
      </c>
      <c r="C1340" s="2" t="s">
        <v>573</v>
      </c>
      <c r="D1340" s="2" t="str">
        <f t="shared" si="19"/>
        <v>Error?</v>
      </c>
    </row>
    <row r="1341" spans="1:4" x14ac:dyDescent="0.2">
      <c r="A1341" s="5">
        <v>1280</v>
      </c>
      <c r="B1341" s="138">
        <f>'Expenditures 15-22'!D182</f>
        <v>6608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6608</v>
      </c>
      <c r="C1345" s="2" t="s">
        <v>573</v>
      </c>
      <c r="D1345" s="2" t="str">
        <f t="shared" si="20"/>
        <v>Error?</v>
      </c>
    </row>
    <row r="1346" spans="1:4" x14ac:dyDescent="0.2">
      <c r="A1346" s="5">
        <v>1285</v>
      </c>
      <c r="B1346" s="138">
        <f>'Expenditures 15-22'!D210</f>
        <v>6608</v>
      </c>
      <c r="C1346" s="2" t="s">
        <v>573</v>
      </c>
      <c r="D1346" s="2" t="str">
        <f t="shared" si="20"/>
        <v>Error?</v>
      </c>
    </row>
    <row r="1347" spans="1:4" x14ac:dyDescent="0.2">
      <c r="A1347" s="5">
        <v>1286</v>
      </c>
      <c r="B1347" s="138">
        <f>'Expenditures 15-22'!E182</f>
        <v>67481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67481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67481</v>
      </c>
      <c r="C1353" s="2" t="s">
        <v>573</v>
      </c>
      <c r="D1353" s="2" t="str">
        <f t="shared" si="20"/>
        <v>Error?</v>
      </c>
    </row>
    <row r="1354" spans="1:4" x14ac:dyDescent="0.2">
      <c r="A1354" s="5">
        <v>1293</v>
      </c>
      <c r="B1354" s="138">
        <f>'Expenditures 15-22'!F182</f>
        <v>24032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24032</v>
      </c>
      <c r="C1358" s="2" t="s">
        <v>573</v>
      </c>
      <c r="D1358" s="2" t="str">
        <f t="shared" si="20"/>
        <v>Error?</v>
      </c>
    </row>
    <row r="1359" spans="1:4" x14ac:dyDescent="0.2">
      <c r="A1359" s="5">
        <v>1298</v>
      </c>
      <c r="B1359" s="138">
        <f>'Expenditures 15-22'!F210</f>
        <v>24032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210041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210041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210041</v>
      </c>
      <c r="C1388" s="2" t="s">
        <v>573</v>
      </c>
      <c r="D1388" s="2" t="str">
        <f t="shared" si="20"/>
        <v>Error?</v>
      </c>
    </row>
    <row r="1389" spans="1:4" x14ac:dyDescent="0.2">
      <c r="A1389" s="5">
        <v>1328</v>
      </c>
      <c r="B1389" s="138">
        <f>'Expenditures 15-22'!K211</f>
        <v>25372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955</v>
      </c>
      <c r="D1407" s="2" t="str">
        <f t="shared" ref="D1407:D1470" si="21">IF(ISBLANK(B1407),"OK",IF(A1407-B1407=0,"OK","Error?"))</f>
        <v>Error?</v>
      </c>
    </row>
    <row r="1408" spans="1:4" x14ac:dyDescent="0.2">
      <c r="A1408" s="5">
        <v>1347</v>
      </c>
      <c r="B1408" s="138">
        <f>'Expenditures 15-22'!D223</f>
        <v>4651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76126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1451</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1788</v>
      </c>
      <c r="D1416" s="2" t="str">
        <f t="shared" si="21"/>
        <v>Error?</v>
      </c>
    </row>
    <row r="1417" spans="1:4" x14ac:dyDescent="0.2">
      <c r="A1417" s="5">
        <v>1356</v>
      </c>
      <c r="B1417" s="138">
        <f>'Expenditures 15-22'!D238</f>
        <v>3239</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3143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3143</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2781</v>
      </c>
      <c r="D1423" s="2" t="str">
        <f t="shared" si="21"/>
        <v>Error?</v>
      </c>
    </row>
    <row r="1424" spans="1:4" x14ac:dyDescent="0.2">
      <c r="A1424" s="5">
        <v>1363</v>
      </c>
      <c r="B1424" s="138">
        <f>'Expenditures 15-22'!D257</f>
        <v>11972</v>
      </c>
      <c r="C1424" s="2" t="s">
        <v>573</v>
      </c>
      <c r="D1424" s="2" t="str">
        <f t="shared" si="21"/>
        <v>Error?</v>
      </c>
    </row>
    <row r="1425" spans="1:4" x14ac:dyDescent="0.2">
      <c r="A1425" s="5">
        <v>1364</v>
      </c>
      <c r="B1425" s="138">
        <f>'Expenditures 15-22'!D259</f>
        <v>12696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12696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13603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28660</v>
      </c>
      <c r="D1431" s="2" t="str">
        <f t="shared" si="21"/>
        <v>Error?</v>
      </c>
    </row>
    <row r="1432" spans="1:4" x14ac:dyDescent="0.2">
      <c r="A1432" s="5">
        <v>1371</v>
      </c>
      <c r="B1432" s="138">
        <f>'Expenditures 15-22'!D267</f>
        <v>17504</v>
      </c>
      <c r="D1432" s="2" t="str">
        <f t="shared" si="21"/>
        <v>Error?</v>
      </c>
    </row>
    <row r="1433" spans="1:4" x14ac:dyDescent="0.2">
      <c r="A1433" s="5">
        <v>1372</v>
      </c>
      <c r="B1433" s="138">
        <f>'Expenditures 15-22'!D268</f>
        <v>10860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70627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110</v>
      </c>
      <c r="D1445" s="2" t="str">
        <f t="shared" si="21"/>
        <v>Error?</v>
      </c>
    </row>
    <row r="1446" spans="1:4" x14ac:dyDescent="0.2">
      <c r="A1446" s="5">
        <v>1385</v>
      </c>
      <c r="B1446" s="138">
        <f>'Expenditures 15-22'!D279</f>
        <v>101787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177913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955</v>
      </c>
      <c r="C1471" s="2" t="s">
        <v>573</v>
      </c>
      <c r="D1471" s="2" t="str">
        <f t="shared" ref="D1471:D1534" si="22">IF(ISBLANK(B1471),"OK",IF(A1471-B1471=0,"OK","Error?"))</f>
        <v>Error?</v>
      </c>
    </row>
    <row r="1472" spans="1:4" x14ac:dyDescent="0.2">
      <c r="A1472" s="5">
        <v>1411</v>
      </c>
      <c r="B1472" s="138">
        <f>'Expenditures 15-22'!K223</f>
        <v>4651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76126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1451</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1788</v>
      </c>
      <c r="C1480" s="2" t="s">
        <v>573</v>
      </c>
      <c r="D1480" s="2" t="str">
        <f t="shared" si="22"/>
        <v>Error?</v>
      </c>
    </row>
    <row r="1481" spans="1:4" x14ac:dyDescent="0.2">
      <c r="A1481" s="5">
        <v>1420</v>
      </c>
      <c r="B1481" s="138">
        <f>'Expenditures 15-22'!K238</f>
        <v>3239</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3143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3143</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2781</v>
      </c>
      <c r="C1487" s="2" t="s">
        <v>573</v>
      </c>
      <c r="D1487" s="2" t="str">
        <f t="shared" si="22"/>
        <v>Error?</v>
      </c>
    </row>
    <row r="1488" spans="1:4" x14ac:dyDescent="0.2">
      <c r="A1488" s="5">
        <v>1427</v>
      </c>
      <c r="B1488" s="138">
        <f>'Expenditures 15-22'!K257</f>
        <v>11972</v>
      </c>
      <c r="C1488" s="2" t="s">
        <v>573</v>
      </c>
      <c r="D1488" s="2" t="str">
        <f t="shared" si="22"/>
        <v>Error?</v>
      </c>
    </row>
    <row r="1489" spans="1:4" x14ac:dyDescent="0.2">
      <c r="A1489" s="5">
        <v>1428</v>
      </c>
      <c r="B1489" s="138">
        <f>'Expenditures 15-22'!K259</f>
        <v>12696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12696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13603</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28660</v>
      </c>
      <c r="C1495" s="2" t="s">
        <v>573</v>
      </c>
      <c r="D1495" s="2" t="str">
        <f t="shared" si="22"/>
        <v>Error?</v>
      </c>
    </row>
    <row r="1496" spans="1:4" x14ac:dyDescent="0.2">
      <c r="A1496" s="5">
        <v>1435</v>
      </c>
      <c r="B1496" s="138">
        <f>'Expenditures 15-22'!K267</f>
        <v>17504</v>
      </c>
      <c r="C1496" s="2" t="s">
        <v>573</v>
      </c>
      <c r="D1496" s="2" t="str">
        <f t="shared" si="22"/>
        <v>Error?</v>
      </c>
    </row>
    <row r="1497" spans="1:4" x14ac:dyDescent="0.2">
      <c r="A1497" s="5">
        <v>1436</v>
      </c>
      <c r="B1497" s="138">
        <f>'Expenditures 15-22'!K268</f>
        <v>10860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70627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110</v>
      </c>
      <c r="C1509" s="2" t="s">
        <v>573</v>
      </c>
      <c r="D1509" s="2" t="str">
        <f t="shared" si="22"/>
        <v>Error?</v>
      </c>
    </row>
    <row r="1510" spans="1:4" x14ac:dyDescent="0.2">
      <c r="A1510" s="5">
        <v>1449</v>
      </c>
      <c r="B1510" s="138">
        <f>'Expenditures 15-22'!K279</f>
        <v>101787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177913</v>
      </c>
      <c r="C1517" s="2" t="s">
        <v>573</v>
      </c>
      <c r="D1517" s="2" t="str">
        <f t="shared" si="22"/>
        <v>Error?</v>
      </c>
    </row>
    <row r="1518" spans="1:4" x14ac:dyDescent="0.2">
      <c r="A1518" s="5">
        <v>1457</v>
      </c>
      <c r="B1518" s="138">
        <f>'Expenditures 15-22'!K296</f>
        <v>9224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2389445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2923834</v>
      </c>
      <c r="C1630" s="2" t="s">
        <v>573</v>
      </c>
      <c r="D1630" s="2" t="str">
        <f t="shared" si="24"/>
        <v>Error?</v>
      </c>
    </row>
    <row r="1631" spans="1:4" x14ac:dyDescent="0.2">
      <c r="A1631" s="5">
        <v>1570</v>
      </c>
      <c r="B1631" s="138">
        <f>'Acct Summary 7-8'!D79</f>
        <v>250647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277550</v>
      </c>
      <c r="C1644" s="2" t="s">
        <v>573</v>
      </c>
      <c r="D1644" s="2" t="str">
        <f t="shared" si="24"/>
        <v>Error?</v>
      </c>
    </row>
    <row r="1645" spans="1:4" x14ac:dyDescent="0.2">
      <c r="A1645" s="5">
        <v>1584</v>
      </c>
      <c r="B1645" s="138">
        <f>'Acct Summary 7-8'!E79</f>
        <v>381329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386619</v>
      </c>
      <c r="C1658" s="2" t="s">
        <v>573</v>
      </c>
      <c r="D1658" s="2" t="str">
        <f t="shared" si="24"/>
        <v>Error?</v>
      </c>
    </row>
    <row r="1659" spans="1:4" x14ac:dyDescent="0.2">
      <c r="A1659" s="5">
        <v>1598</v>
      </c>
      <c r="B1659" s="138">
        <f>'Acct Summary 7-8'!F79</f>
        <v>211430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236802</v>
      </c>
      <c r="C1672" s="2" t="s">
        <v>573</v>
      </c>
      <c r="D1672" s="2" t="str">
        <f t="shared" si="25"/>
        <v>Error?</v>
      </c>
    </row>
    <row r="1673" spans="1:4" x14ac:dyDescent="0.2">
      <c r="A1673" s="5">
        <v>1612</v>
      </c>
      <c r="B1673" s="138">
        <f>'Acct Summary 7-8'!G79</f>
        <v>10923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20147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3048150</v>
      </c>
      <c r="C1744" s="2" t="s">
        <v>573</v>
      </c>
      <c r="D1744" s="2" t="str">
        <f t="shared" si="26"/>
        <v>Error?</v>
      </c>
    </row>
    <row r="1745" spans="1:5" x14ac:dyDescent="0.2">
      <c r="A1745" s="5">
        <v>1684</v>
      </c>
      <c r="B1745" s="138">
        <f>'Tax Sched 23'!B5</f>
        <v>472855</v>
      </c>
      <c r="C1745" s="2" t="s">
        <v>573</v>
      </c>
      <c r="D1745" s="2" t="str">
        <f t="shared" si="26"/>
        <v>Error?</v>
      </c>
    </row>
    <row r="1746" spans="1:5" x14ac:dyDescent="0.2">
      <c r="A1746" s="5">
        <v>1685</v>
      </c>
      <c r="B1746" s="138">
        <f>'Tax Sched 23'!B6</f>
        <v>690365</v>
      </c>
      <c r="C1746" s="2" t="s">
        <v>573</v>
      </c>
      <c r="D1746" s="2" t="str">
        <f t="shared" si="26"/>
        <v>Error?</v>
      </c>
    </row>
    <row r="1747" spans="1:5" x14ac:dyDescent="0.2">
      <c r="A1747" s="5">
        <v>1686</v>
      </c>
      <c r="B1747" s="138">
        <f>'Tax Sched 23'!B7</f>
        <v>156318</v>
      </c>
      <c r="C1747" s="2" t="s">
        <v>573</v>
      </c>
      <c r="D1747" s="2" t="str">
        <f t="shared" si="26"/>
        <v>Error?</v>
      </c>
    </row>
    <row r="1748" spans="1:5" x14ac:dyDescent="0.2">
      <c r="A1748" s="5">
        <v>1687</v>
      </c>
      <c r="B1748" s="138">
        <f>'Tax Sched 23'!B8</f>
        <v>86769</v>
      </c>
      <c r="C1748" s="2" t="s">
        <v>573</v>
      </c>
      <c r="D1748" s="2" t="str">
        <f t="shared" si="26"/>
        <v>Error?</v>
      </c>
    </row>
    <row r="1749" spans="1:5" x14ac:dyDescent="0.2">
      <c r="A1749" s="5">
        <v>1688</v>
      </c>
      <c r="B1749" s="138">
        <f>'Tax Sched 23'!B10</f>
        <v>39080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177824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31262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4836273</v>
      </c>
      <c r="C1759" s="2" t="s">
        <v>573</v>
      </c>
      <c r="D1759" s="2" t="str">
        <f t="shared" si="26"/>
        <v>Error?</v>
      </c>
    </row>
    <row r="1760" spans="1:5" x14ac:dyDescent="0.2">
      <c r="A1760" s="5">
        <v>1699</v>
      </c>
      <c r="B1760" s="138">
        <f>'Tax Sched 23'!D4</f>
        <v>1373456</v>
      </c>
      <c r="C1760" s="2" t="s">
        <v>573</v>
      </c>
      <c r="D1760" s="2" t="str">
        <f t="shared" si="26"/>
        <v>Error?</v>
      </c>
    </row>
    <row r="1761" spans="1:5" x14ac:dyDescent="0.2">
      <c r="A1761" s="5">
        <v>1700</v>
      </c>
      <c r="B1761" s="138">
        <f>'Tax Sched 23'!D5</f>
        <v>213062</v>
      </c>
      <c r="C1761" s="2" t="s">
        <v>573</v>
      </c>
      <c r="D1761" s="2" t="str">
        <f t="shared" si="26"/>
        <v>Error?</v>
      </c>
    </row>
    <row r="1762" spans="1:5" s="8" customFormat="1" x14ac:dyDescent="0.2">
      <c r="A1762" s="5">
        <v>1701</v>
      </c>
      <c r="B1762" s="138">
        <f>'Tax Sched 23'!D6</f>
        <v>313084</v>
      </c>
      <c r="C1762" s="2" t="s">
        <v>573</v>
      </c>
      <c r="D1762" s="2" t="str">
        <f t="shared" si="26"/>
        <v>Error?</v>
      </c>
      <c r="E1762" s="9"/>
    </row>
    <row r="1763" spans="1:5" x14ac:dyDescent="0.2">
      <c r="A1763" s="5">
        <v>1702</v>
      </c>
      <c r="B1763" s="138">
        <f>'Tax Sched 23'!D7</f>
        <v>70434</v>
      </c>
      <c r="C1763" s="2" t="s">
        <v>573</v>
      </c>
      <c r="D1763" s="2" t="str">
        <f t="shared" si="26"/>
        <v>Error?</v>
      </c>
    </row>
    <row r="1764" spans="1:5" x14ac:dyDescent="0.2">
      <c r="A1764" s="5">
        <v>1703</v>
      </c>
      <c r="B1764" s="138">
        <f>'Tax Sched 23'!D8</f>
        <v>39665</v>
      </c>
      <c r="C1764" s="2" t="s">
        <v>573</v>
      </c>
      <c r="D1764" s="2" t="str">
        <f t="shared" si="26"/>
        <v>Error?</v>
      </c>
    </row>
    <row r="1765" spans="1:5" x14ac:dyDescent="0.2">
      <c r="A1765" s="5">
        <v>1704</v>
      </c>
      <c r="B1765" s="138">
        <f>'Tax Sched 23'!D10</f>
        <v>17608</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77315</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14086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2179550</v>
      </c>
      <c r="C1775" s="2" t="s">
        <v>573</v>
      </c>
      <c r="D1775" s="2" t="str">
        <f t="shared" si="26"/>
        <v>Error?</v>
      </c>
    </row>
    <row r="1776" spans="1:5" x14ac:dyDescent="0.2">
      <c r="A1776" s="5">
        <v>1715</v>
      </c>
      <c r="B1776" s="138">
        <f>'Tax Sched 23'!C4</f>
        <v>1674694</v>
      </c>
      <c r="D1776" s="2" t="str">
        <f t="shared" si="26"/>
        <v>Error?</v>
      </c>
    </row>
    <row r="1777" spans="1:4" x14ac:dyDescent="0.2">
      <c r="A1777" s="5">
        <v>1716</v>
      </c>
      <c r="B1777" s="138">
        <f>'Tax Sched 23'!C5</f>
        <v>259793</v>
      </c>
      <c r="D1777" s="2" t="str">
        <f t="shared" si="26"/>
        <v>Error?</v>
      </c>
    </row>
    <row r="1778" spans="1:4" x14ac:dyDescent="0.2">
      <c r="A1778" s="5">
        <v>1717</v>
      </c>
      <c r="B1778" s="138">
        <f>'Tax Sched 23'!C6</f>
        <v>377281</v>
      </c>
      <c r="D1778" s="2" t="str">
        <f t="shared" si="26"/>
        <v>Error?</v>
      </c>
    </row>
    <row r="1779" spans="1:4" x14ac:dyDescent="0.2">
      <c r="A1779" s="5">
        <v>1718</v>
      </c>
      <c r="B1779" s="138">
        <f>'Tax Sched 23'!C7</f>
        <v>85884</v>
      </c>
      <c r="D1779" s="2" t="str">
        <f t="shared" si="26"/>
        <v>Error?</v>
      </c>
    </row>
    <row r="1780" spans="1:4" x14ac:dyDescent="0.2">
      <c r="A1780" s="5">
        <v>1719</v>
      </c>
      <c r="B1780" s="138">
        <f>'Tax Sched 23'!C8</f>
        <v>47104</v>
      </c>
      <c r="D1780" s="2" t="str">
        <f t="shared" si="26"/>
        <v>Error?</v>
      </c>
    </row>
    <row r="1781" spans="1:4" x14ac:dyDescent="0.2">
      <c r="A1781" s="5">
        <v>1720</v>
      </c>
      <c r="B1781" s="138">
        <f>'Tax Sched 23'!C10</f>
        <v>21472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100509</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17176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2656723</v>
      </c>
      <c r="C1791" s="2" t="s">
        <v>573</v>
      </c>
      <c r="D1791" s="2" t="str">
        <f t="shared" ref="D1791:D1854" si="27">IF(ISBLANK(B1791),"OK",IF(A1791-B1791=0,"OK","Error?"))</f>
        <v>Error?</v>
      </c>
    </row>
    <row r="1792" spans="1:4" x14ac:dyDescent="0.2">
      <c r="A1792" s="5">
        <v>1731</v>
      </c>
      <c r="B1792" s="138">
        <f>'Tax Sched 23'!F4</f>
        <v>1407828</v>
      </c>
      <c r="C1792" s="2" t="s">
        <v>573</v>
      </c>
      <c r="D1792" s="2" t="str">
        <f t="shared" si="27"/>
        <v>Error?</v>
      </c>
    </row>
    <row r="1793" spans="1:4" x14ac:dyDescent="0.2">
      <c r="A1793" s="5">
        <v>1732</v>
      </c>
      <c r="B1793" s="138">
        <f>'Tax Sched 23'!F5</f>
        <v>218393</v>
      </c>
      <c r="C1793" s="2" t="s">
        <v>573</v>
      </c>
      <c r="D1793" s="2" t="str">
        <f t="shared" si="27"/>
        <v>Error?</v>
      </c>
    </row>
    <row r="1794" spans="1:4" x14ac:dyDescent="0.2">
      <c r="A1794" s="5">
        <v>1733</v>
      </c>
      <c r="B1794" s="138">
        <f>'Tax Sched 23'!F6</f>
        <v>317163</v>
      </c>
      <c r="C1794" s="2" t="s">
        <v>573</v>
      </c>
      <c r="D1794" s="2" t="str">
        <f t="shared" si="27"/>
        <v>Error?</v>
      </c>
    </row>
    <row r="1795" spans="1:4" x14ac:dyDescent="0.2">
      <c r="A1795" s="5">
        <v>1734</v>
      </c>
      <c r="B1795" s="138">
        <f>'Tax Sched 23'!F7</f>
        <v>72196</v>
      </c>
      <c r="C1795" s="2" t="s">
        <v>573</v>
      </c>
      <c r="D1795" s="2" t="str">
        <f t="shared" si="27"/>
        <v>Error?</v>
      </c>
    </row>
    <row r="1796" spans="1:4" x14ac:dyDescent="0.2">
      <c r="A1796" s="5">
        <v>1735</v>
      </c>
      <c r="B1796" s="138">
        <f>'Tax Sched 23'!F8</f>
        <v>39595</v>
      </c>
      <c r="C1796" s="2" t="s">
        <v>573</v>
      </c>
      <c r="D1796" s="2" t="str">
        <f t="shared" si="27"/>
        <v>Error?</v>
      </c>
    </row>
    <row r="1797" spans="1:4" x14ac:dyDescent="0.2">
      <c r="A1797" s="5">
        <v>1736</v>
      </c>
      <c r="B1797" s="138">
        <f>'Tax Sched 23'!F10</f>
        <v>18050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84492</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14437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2233364</v>
      </c>
      <c r="C1807" s="2" t="s">
        <v>573</v>
      </c>
      <c r="D1807" s="2" t="str">
        <f t="shared" si="27"/>
        <v>Error?</v>
      </c>
    </row>
    <row r="1808" spans="1:4" x14ac:dyDescent="0.2">
      <c r="A1808" s="5">
        <v>1747</v>
      </c>
      <c r="B1808" s="138">
        <f>'Tax Sched 23'!E4</f>
        <v>3082522</v>
      </c>
      <c r="D1808" s="2" t="str">
        <f t="shared" si="27"/>
        <v>Error?</v>
      </c>
    </row>
    <row r="1809" spans="1:4" x14ac:dyDescent="0.2">
      <c r="A1809" s="5">
        <v>1748</v>
      </c>
      <c r="B1809" s="138">
        <f>'Tax Sched 23'!E5</f>
        <v>478186</v>
      </c>
      <c r="D1809" s="2" t="str">
        <f t="shared" si="27"/>
        <v>Error?</v>
      </c>
    </row>
    <row r="1810" spans="1:4" x14ac:dyDescent="0.2">
      <c r="A1810" s="5">
        <v>1749</v>
      </c>
      <c r="B1810" s="138">
        <f>'Tax Sched 23'!E6</f>
        <v>694444</v>
      </c>
      <c r="D1810" s="2" t="str">
        <f t="shared" si="27"/>
        <v>Error?</v>
      </c>
    </row>
    <row r="1811" spans="1:4" x14ac:dyDescent="0.2">
      <c r="A1811" s="5">
        <v>1750</v>
      </c>
      <c r="B1811" s="138">
        <f>'Tax Sched 23'!E7</f>
        <v>158080</v>
      </c>
      <c r="D1811" s="2" t="str">
        <f t="shared" si="27"/>
        <v>Error?</v>
      </c>
    </row>
    <row r="1812" spans="1:4" x14ac:dyDescent="0.2">
      <c r="A1812" s="5">
        <v>1751</v>
      </c>
      <c r="B1812" s="138">
        <f>'Tax Sched 23'!E8</f>
        <v>86699</v>
      </c>
      <c r="D1812" s="2" t="str">
        <f t="shared" si="27"/>
        <v>Error?</v>
      </c>
    </row>
    <row r="1813" spans="1:4" x14ac:dyDescent="0.2">
      <c r="A1813" s="5">
        <v>1752</v>
      </c>
      <c r="B1813" s="138">
        <f>'Tax Sched 23'!E10</f>
        <v>39522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185001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31613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4890087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4940743</v>
      </c>
      <c r="C1939" s="2" t="s">
        <v>573</v>
      </c>
      <c r="D1939" s="2" t="str">
        <f t="shared" si="29"/>
        <v>Error?</v>
      </c>
    </row>
    <row r="1940" spans="1:5" x14ac:dyDescent="0.2">
      <c r="A1940" s="5">
        <v>1879</v>
      </c>
      <c r="B1940" s="138">
        <f>'Short-Term Long-Term Debt 24'!F49</f>
        <v>713800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31262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31262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31262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10145239</v>
      </c>
      <c r="D2009" s="2" t="str">
        <f t="shared" si="30"/>
        <v>Error?</v>
      </c>
    </row>
    <row r="2010" spans="1:4" x14ac:dyDescent="0.2">
      <c r="A2010" s="5">
        <v>1949</v>
      </c>
      <c r="B2010" s="138">
        <f>'Cap Outlay Deprec 26'!C10</f>
        <v>233159</v>
      </c>
      <c r="D2010" s="2" t="str">
        <f t="shared" si="30"/>
        <v>Error?</v>
      </c>
    </row>
    <row r="2011" spans="1:4" x14ac:dyDescent="0.2">
      <c r="A2011" s="5">
        <v>1950</v>
      </c>
      <c r="B2011" s="138">
        <f>'Cap Outlay Deprec 26'!C12</f>
        <v>770348</v>
      </c>
      <c r="D2011" s="2" t="str">
        <f t="shared" si="30"/>
        <v>Error?</v>
      </c>
    </row>
    <row r="2012" spans="1:4" x14ac:dyDescent="0.2">
      <c r="A2012" s="5">
        <v>1951</v>
      </c>
      <c r="B2012" s="138">
        <f>'Cap Outlay Deprec 26'!C13</f>
        <v>18652</v>
      </c>
      <c r="D2012" s="2" t="str">
        <f t="shared" si="30"/>
        <v>Error?</v>
      </c>
    </row>
    <row r="2013" spans="1:4" x14ac:dyDescent="0.2">
      <c r="A2013" s="5">
        <v>1952</v>
      </c>
      <c r="B2013" s="138">
        <f>'Cap Outlay Deprec 26'!C16</f>
        <v>11228040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158439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92170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250609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37586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37586</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10303678</v>
      </c>
      <c r="C2027" s="2" t="s">
        <v>573</v>
      </c>
      <c r="D2027" s="2" t="str">
        <f t="shared" si="30"/>
        <v>Error?</v>
      </c>
    </row>
    <row r="2028" spans="1:4" x14ac:dyDescent="0.2">
      <c r="A2028" s="5">
        <v>1967</v>
      </c>
      <c r="B2028" s="138">
        <f>'Cap Outlay Deprec 26'!F10</f>
        <v>233159</v>
      </c>
      <c r="C2028" s="2" t="s">
        <v>573</v>
      </c>
      <c r="D2028" s="2" t="str">
        <f t="shared" si="30"/>
        <v>Error?</v>
      </c>
    </row>
    <row r="2029" spans="1:4" x14ac:dyDescent="0.2">
      <c r="A2029" s="5">
        <v>1968</v>
      </c>
      <c r="B2029" s="138">
        <f>'Cap Outlay Deprec 26'!F12</f>
        <v>824932</v>
      </c>
      <c r="C2029" s="2" t="s">
        <v>573</v>
      </c>
      <c r="D2029" s="2" t="str">
        <f t="shared" si="30"/>
        <v>Error?</v>
      </c>
    </row>
    <row r="2030" spans="1:4" x14ac:dyDescent="0.2">
      <c r="A2030" s="5">
        <v>1969</v>
      </c>
      <c r="B2030" s="138">
        <f>'Cap Outlay Deprec 26'!F13</f>
        <v>18652</v>
      </c>
      <c r="C2030" s="2" t="s">
        <v>573</v>
      </c>
      <c r="D2030" s="2" t="str">
        <f t="shared" si="30"/>
        <v>Error?</v>
      </c>
    </row>
    <row r="2031" spans="1:4" x14ac:dyDescent="0.2">
      <c r="A2031" s="5">
        <v>1970</v>
      </c>
      <c r="B2031" s="138">
        <f>'Cap Outlay Deprec 26'!F16</f>
        <v>11441063</v>
      </c>
      <c r="C2031" s="2" t="s">
        <v>573</v>
      </c>
      <c r="D2031" s="2" t="str">
        <f t="shared" si="30"/>
        <v>Error?</v>
      </c>
    </row>
    <row r="2032" spans="1:4" x14ac:dyDescent="0.2">
      <c r="A2032" s="10">
        <v>1971</v>
      </c>
      <c r="D2032" s="2" t="str">
        <f t="shared" si="30"/>
        <v>OK</v>
      </c>
    </row>
    <row r="2033" spans="1:4" x14ac:dyDescent="0.2">
      <c r="A2033" s="5">
        <v>1972</v>
      </c>
      <c r="B2033" s="138">
        <f>'Cap Outlay Deprec 26'!H8</f>
        <v>4792196</v>
      </c>
      <c r="D2033" s="2" t="str">
        <f t="shared" si="30"/>
        <v>Error?</v>
      </c>
    </row>
    <row r="2034" spans="1:4" x14ac:dyDescent="0.2">
      <c r="A2034" s="5">
        <v>1973</v>
      </c>
      <c r="B2034" s="138">
        <f>'Cap Outlay Deprec 26'!H10</f>
        <v>196460</v>
      </c>
      <c r="D2034" s="2" t="str">
        <f t="shared" si="30"/>
        <v>Error?</v>
      </c>
    </row>
    <row r="2035" spans="1:4" x14ac:dyDescent="0.2">
      <c r="A2035" s="5">
        <v>1974</v>
      </c>
      <c r="B2035" s="138">
        <f>'Cap Outlay Deprec 26'!H12</f>
        <v>401944</v>
      </c>
      <c r="D2035" s="2" t="str">
        <f t="shared" si="30"/>
        <v>Error?</v>
      </c>
    </row>
    <row r="2036" spans="1:4" x14ac:dyDescent="0.2">
      <c r="A2036" s="5">
        <v>1975</v>
      </c>
      <c r="B2036" s="138">
        <f>'Cap Outlay Deprec 26'!H13</f>
        <v>7460</v>
      </c>
      <c r="D2036" s="2" t="str">
        <f t="shared" si="30"/>
        <v>Error?</v>
      </c>
    </row>
    <row r="2037" spans="1:4" x14ac:dyDescent="0.2">
      <c r="A2037" s="5">
        <v>1976</v>
      </c>
      <c r="B2037" s="138">
        <f>'Cap Outlay Deprec 26'!H16</f>
        <v>5398060</v>
      </c>
      <c r="C2037" s="2" t="s">
        <v>573</v>
      </c>
      <c r="D2037" s="2" t="str">
        <f t="shared" si="30"/>
        <v>Error?</v>
      </c>
    </row>
    <row r="2038" spans="1:4" x14ac:dyDescent="0.2">
      <c r="A2038" s="10">
        <v>1977</v>
      </c>
      <c r="D2038" s="2" t="str">
        <f t="shared" si="30"/>
        <v>OK</v>
      </c>
    </row>
    <row r="2039" spans="1:4" x14ac:dyDescent="0.2">
      <c r="A2039" s="5">
        <v>1978</v>
      </c>
      <c r="B2039" s="138">
        <f>'Cap Outlay Deprec 26'!I8</f>
        <v>190342</v>
      </c>
      <c r="D2039" s="2" t="str">
        <f t="shared" si="30"/>
        <v>Error?</v>
      </c>
    </row>
    <row r="2040" spans="1:4" x14ac:dyDescent="0.2">
      <c r="A2040" s="5">
        <v>1979</v>
      </c>
      <c r="B2040" s="138">
        <f>'Cap Outlay Deprec 26'!I10</f>
        <v>2844</v>
      </c>
      <c r="D2040" s="2" t="str">
        <f t="shared" si="30"/>
        <v>Error?</v>
      </c>
    </row>
    <row r="2041" spans="1:4" x14ac:dyDescent="0.2">
      <c r="A2041" s="5">
        <v>1980</v>
      </c>
      <c r="B2041" s="138">
        <f>'Cap Outlay Deprec 26'!I12</f>
        <v>82493</v>
      </c>
      <c r="D2041" s="2" t="str">
        <f t="shared" si="30"/>
        <v>Error?</v>
      </c>
    </row>
    <row r="2042" spans="1:4" x14ac:dyDescent="0.2">
      <c r="A2042" s="5">
        <v>1981</v>
      </c>
      <c r="B2042" s="138">
        <f>'Cap Outlay Deprec 26'!I13</f>
        <v>3730</v>
      </c>
      <c r="D2042" s="2" t="str">
        <f t="shared" si="30"/>
        <v>Error?</v>
      </c>
    </row>
    <row r="2043" spans="1:4" x14ac:dyDescent="0.2">
      <c r="A2043" s="5">
        <v>1982</v>
      </c>
      <c r="B2043" s="138">
        <f>'Cap Outlay Deprec 26'!I16</f>
        <v>279409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37586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37586</v>
      </c>
      <c r="C2049" s="2" t="s">
        <v>573</v>
      </c>
      <c r="D2049" s="2" t="str">
        <f t="shared" si="31"/>
        <v>Error?</v>
      </c>
    </row>
    <row r="2050" spans="1:4" x14ac:dyDescent="0.2">
      <c r="A2050" s="10">
        <v>1989</v>
      </c>
      <c r="D2050" s="2" t="str">
        <f t="shared" si="31"/>
        <v>OK</v>
      </c>
    </row>
    <row r="2051" spans="1:4" x14ac:dyDescent="0.2">
      <c r="A2051" s="5">
        <v>1990</v>
      </c>
      <c r="B2051" s="138">
        <f>'Cap Outlay Deprec 26'!K8</f>
        <v>4982538</v>
      </c>
      <c r="C2051" s="2" t="s">
        <v>573</v>
      </c>
      <c r="D2051" s="2" t="str">
        <f t="shared" si="31"/>
        <v>Error?</v>
      </c>
    </row>
    <row r="2052" spans="1:4" x14ac:dyDescent="0.2">
      <c r="A2052" s="5">
        <v>1991</v>
      </c>
      <c r="B2052" s="138">
        <f>'Cap Outlay Deprec 26'!K10</f>
        <v>199304</v>
      </c>
      <c r="C2052" s="2" t="s">
        <v>573</v>
      </c>
      <c r="D2052" s="2" t="str">
        <f t="shared" si="31"/>
        <v>Error?</v>
      </c>
    </row>
    <row r="2053" spans="1:4" x14ac:dyDescent="0.2">
      <c r="A2053" s="5">
        <v>1992</v>
      </c>
      <c r="B2053" s="138">
        <f>'Cap Outlay Deprec 26'!K12</f>
        <v>446851</v>
      </c>
      <c r="C2053" s="2" t="s">
        <v>573</v>
      </c>
      <c r="D2053" s="2" t="str">
        <f t="shared" si="31"/>
        <v>Error?</v>
      </c>
    </row>
    <row r="2054" spans="1:4" x14ac:dyDescent="0.2">
      <c r="A2054" s="5">
        <v>1993</v>
      </c>
      <c r="B2054" s="138">
        <f>'Cap Outlay Deprec 26'!K13</f>
        <v>11190</v>
      </c>
      <c r="C2054" s="2" t="s">
        <v>573</v>
      </c>
      <c r="D2054" s="2" t="str">
        <f t="shared" si="31"/>
        <v>Error?</v>
      </c>
    </row>
    <row r="2055" spans="1:4" x14ac:dyDescent="0.2">
      <c r="A2055" s="5">
        <v>1994</v>
      </c>
      <c r="B2055" s="138">
        <f>'Cap Outlay Deprec 26'!K16</f>
        <v>5639883</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5321140</v>
      </c>
      <c r="C2057" s="2" t="s">
        <v>573</v>
      </c>
      <c r="D2057" s="2" t="str">
        <f t="shared" si="31"/>
        <v>Error?</v>
      </c>
    </row>
    <row r="2058" spans="1:4" x14ac:dyDescent="0.2">
      <c r="A2058" s="5">
        <v>1997</v>
      </c>
      <c r="B2058" s="138">
        <f>'Cap Outlay Deprec 26'!L10</f>
        <v>33855</v>
      </c>
      <c r="C2058" s="2" t="s">
        <v>573</v>
      </c>
      <c r="D2058" s="2" t="str">
        <f t="shared" si="31"/>
        <v>Error?</v>
      </c>
    </row>
    <row r="2059" spans="1:4" x14ac:dyDescent="0.2">
      <c r="A2059" s="5">
        <v>1998</v>
      </c>
      <c r="B2059" s="138">
        <f>'Cap Outlay Deprec 26'!L12</f>
        <v>378081</v>
      </c>
      <c r="C2059" s="2" t="s">
        <v>573</v>
      </c>
      <c r="D2059" s="2" t="str">
        <f t="shared" si="31"/>
        <v>Error?</v>
      </c>
    </row>
    <row r="2060" spans="1:4" x14ac:dyDescent="0.2">
      <c r="A2060" s="5">
        <v>1999</v>
      </c>
      <c r="B2060" s="138">
        <f>'Cap Outlay Deprec 26'!L13</f>
        <v>7462</v>
      </c>
      <c r="C2060" s="2" t="s">
        <v>573</v>
      </c>
      <c r="D2060" s="2" t="str">
        <f t="shared" si="31"/>
        <v>Error?</v>
      </c>
    </row>
    <row r="2061" spans="1:4" x14ac:dyDescent="0.2">
      <c r="A2061" s="5">
        <v>2000</v>
      </c>
      <c r="B2061" s="138">
        <f>'Cap Outlay Deprec 26'!L16</f>
        <v>5801180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570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92048</v>
      </c>
      <c r="C2088" s="2" t="s">
        <v>573</v>
      </c>
      <c r="D2088" s="2" t="str">
        <f t="shared" si="31"/>
        <v>Error?</v>
      </c>
    </row>
    <row r="2089" spans="1:4" x14ac:dyDescent="0.2">
      <c r="A2089" s="5">
        <v>2028</v>
      </c>
      <c r="B2089" s="138">
        <f>'Expenditures 15-22'!K92</f>
        <v>19414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39137</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3657728</v>
      </c>
      <c r="C2551" s="2" t="s">
        <v>573</v>
      </c>
      <c r="D2551" s="2" t="str">
        <f t="shared" si="38"/>
        <v>Error?</v>
      </c>
    </row>
    <row r="2552" spans="1:4" x14ac:dyDescent="0.2">
      <c r="A2552" s="10">
        <v>2491</v>
      </c>
      <c r="D2552" s="2" t="str">
        <f t="shared" si="38"/>
        <v>OK</v>
      </c>
    </row>
    <row r="2553" spans="1:4" x14ac:dyDescent="0.2">
      <c r="A2553" s="5">
        <v>2492</v>
      </c>
      <c r="B2553" s="138">
        <f>'Acct Summary 7-8'!C6</f>
        <v>1025031</v>
      </c>
      <c r="C2553" s="2" t="s">
        <v>573</v>
      </c>
      <c r="D2553" s="2" t="str">
        <f t="shared" si="38"/>
        <v>Error?</v>
      </c>
    </row>
    <row r="2554" spans="1:4" x14ac:dyDescent="0.2">
      <c r="A2554" s="5">
        <v>2493</v>
      </c>
      <c r="B2554" s="138">
        <f>'Acct Summary 7-8'!C7</f>
        <v>324918</v>
      </c>
      <c r="C2554" s="2" t="s">
        <v>573</v>
      </c>
      <c r="D2554" s="2" t="str">
        <f t="shared" si="38"/>
        <v>Error?</v>
      </c>
    </row>
    <row r="2555" spans="1:4" x14ac:dyDescent="0.2">
      <c r="A2555" s="5">
        <v>2494</v>
      </c>
      <c r="B2555" s="138">
        <f>'Acct Summary 7-8'!C8</f>
        <v>5007677</v>
      </c>
      <c r="C2555" s="2" t="s">
        <v>573</v>
      </c>
      <c r="D2555" s="2" t="str">
        <f t="shared" si="38"/>
        <v>Error?</v>
      </c>
    </row>
    <row r="2556" spans="1:4" x14ac:dyDescent="0.2">
      <c r="A2556" s="5">
        <v>2495</v>
      </c>
      <c r="B2556" s="138">
        <f>'Acct Summary 7-8'!C12</f>
        <v>3582547</v>
      </c>
      <c r="C2556" s="2" t="s">
        <v>573</v>
      </c>
      <c r="D2556" s="2" t="str">
        <f t="shared" si="38"/>
        <v>Error?</v>
      </c>
    </row>
    <row r="2557" spans="1:4" x14ac:dyDescent="0.2">
      <c r="A2557" s="5">
        <v>2496</v>
      </c>
      <c r="B2557" s="138">
        <f>'Acct Summary 7-8'!C13</f>
        <v>818416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111462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4512425</v>
      </c>
      <c r="C2561" s="2" t="s">
        <v>573</v>
      </c>
      <c r="D2561" s="2" t="str">
        <f t="shared" si="39"/>
        <v>Error?</v>
      </c>
    </row>
    <row r="2562" spans="1:4" x14ac:dyDescent="0.2">
      <c r="A2562" s="5">
        <v>2501</v>
      </c>
      <c r="B2562" s="138">
        <f>'Acct Summary 7-8'!C20</f>
        <v>495252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569738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569738</v>
      </c>
      <c r="C2568" s="2" t="s">
        <v>573</v>
      </c>
      <c r="D2568" s="2" t="str">
        <f t="shared" si="39"/>
        <v>Error?</v>
      </c>
    </row>
    <row r="2569" spans="1:4" x14ac:dyDescent="0.2">
      <c r="A2569" s="5">
        <v>2508</v>
      </c>
      <c r="B2569" s="138">
        <f>'Acct Summary 7-8'!D13</f>
        <v>533151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533151</v>
      </c>
      <c r="C2573" s="2" t="s">
        <v>573</v>
      </c>
      <c r="D2573" s="2" t="str">
        <f t="shared" si="39"/>
        <v>Error?</v>
      </c>
    </row>
    <row r="2574" spans="1:4" x14ac:dyDescent="0.2">
      <c r="A2574" s="5">
        <v>2513</v>
      </c>
      <c r="B2574" s="138">
        <f>'Acct Summary 7-8'!D20</f>
        <v>36587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157364</v>
      </c>
      <c r="C2591" s="2" t="s">
        <v>573</v>
      </c>
      <c r="D2591" s="2" t="str">
        <f t="shared" si="39"/>
        <v>Error?</v>
      </c>
    </row>
    <row r="2592" spans="1:4" x14ac:dyDescent="0.2">
      <c r="A2592" s="10">
        <v>2531</v>
      </c>
      <c r="D2592" s="2" t="str">
        <f t="shared" si="39"/>
        <v>OK</v>
      </c>
    </row>
    <row r="2593" spans="1:4" x14ac:dyDescent="0.2">
      <c r="A2593" s="5">
        <v>2532</v>
      </c>
      <c r="B2593" s="138">
        <f>'Acct Summary 7-8'!F6</f>
        <v>78049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235413</v>
      </c>
      <c r="C2595" s="2" t="s">
        <v>573</v>
      </c>
      <c r="D2595" s="2" t="str">
        <f t="shared" si="39"/>
        <v>Error?</v>
      </c>
    </row>
    <row r="2596" spans="1:4" x14ac:dyDescent="0.2">
      <c r="A2596" s="5">
        <v>2535</v>
      </c>
      <c r="B2596" s="138">
        <f>'Acct Summary 7-8'!F13</f>
        <v>210041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210041</v>
      </c>
      <c r="C2600" s="2" t="s">
        <v>573</v>
      </c>
      <c r="D2600" s="2" t="str">
        <f t="shared" si="39"/>
        <v>Error?</v>
      </c>
    </row>
    <row r="2601" spans="1:4" x14ac:dyDescent="0.2">
      <c r="A2601" s="5">
        <v>2540</v>
      </c>
      <c r="B2601" s="138">
        <f>'Acct Summary 7-8'!F20</f>
        <v>25372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187137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187137</v>
      </c>
      <c r="C2606" s="2" t="s">
        <v>573</v>
      </c>
      <c r="D2606" s="2" t="str">
        <f t="shared" si="39"/>
        <v>Error?</v>
      </c>
    </row>
    <row r="2607" spans="1:4" x14ac:dyDescent="0.2">
      <c r="A2607" s="5">
        <v>2546</v>
      </c>
      <c r="B2607" s="138">
        <f>'Acct Summary 7-8'!G12</f>
        <v>76126</v>
      </c>
      <c r="C2607" s="2" t="s">
        <v>573</v>
      </c>
      <c r="D2607" s="2" t="str">
        <f t="shared" si="39"/>
        <v>Error?</v>
      </c>
    </row>
    <row r="2608" spans="1:4" x14ac:dyDescent="0.2">
      <c r="A2608" s="5">
        <v>2547</v>
      </c>
      <c r="B2608" s="138">
        <f>'Acct Summary 7-8'!G13</f>
        <v>101787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177913</v>
      </c>
      <c r="C2612" s="2" t="s">
        <v>573</v>
      </c>
      <c r="D2612" s="2" t="str">
        <f t="shared" si="39"/>
        <v>Error?</v>
      </c>
    </row>
    <row r="2613" spans="1:4" x14ac:dyDescent="0.2">
      <c r="A2613" s="5">
        <v>2552</v>
      </c>
      <c r="B2613" s="138">
        <f>'Acct Summary 7-8'!G20</f>
        <v>9224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691154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691154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1409348</v>
      </c>
      <c r="C2634" s="2" t="s">
        <v>573</v>
      </c>
      <c r="D2634" s="2" t="str">
        <f t="shared" si="40"/>
        <v>Error?</v>
      </c>
    </row>
    <row r="2635" spans="1:4" x14ac:dyDescent="0.2">
      <c r="A2635" s="5">
        <v>2574</v>
      </c>
      <c r="B2635" s="138">
        <f>'Acct Summary 7-8'!E17</f>
        <v>1409348</v>
      </c>
      <c r="C2635" s="2" t="s">
        <v>573</v>
      </c>
      <c r="D2635" s="2" t="str">
        <f t="shared" si="40"/>
        <v>Error?</v>
      </c>
    </row>
    <row r="2636" spans="1:4" x14ac:dyDescent="0.2">
      <c r="A2636" s="5">
        <v>2575</v>
      </c>
      <c r="B2636" s="138">
        <f>'Acct Summary 7-8'!E20</f>
        <v>-718194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91478</v>
      </c>
      <c r="C2789" s="2" t="s">
        <v>573</v>
      </c>
      <c r="D2789" s="2" t="str">
        <f t="shared" si="42"/>
        <v>Error?</v>
      </c>
    </row>
    <row r="2790" spans="1:4" x14ac:dyDescent="0.2">
      <c r="A2790" s="5">
        <v>2729</v>
      </c>
      <c r="B2790" s="138">
        <f>'Expenditures 15-22'!E102</f>
        <v>91478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135148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10259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151412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135148</v>
      </c>
      <c r="D2912" s="2" t="str">
        <f t="shared" si="44"/>
        <v>Error?</v>
      </c>
    </row>
    <row r="2913" spans="1:4" x14ac:dyDescent="0.2">
      <c r="A2913" s="5">
        <v>2852</v>
      </c>
      <c r="B2913" s="138">
        <f>'Assets-Liab 5-6'!I41</f>
        <v>135148</v>
      </c>
      <c r="C2913" s="2" t="s">
        <v>573</v>
      </c>
      <c r="D2913" s="2" t="str">
        <f t="shared" si="44"/>
        <v>Error?</v>
      </c>
    </row>
    <row r="2914" spans="1:4" x14ac:dyDescent="0.2">
      <c r="A2914" s="5">
        <v>2853</v>
      </c>
      <c r="B2914" s="138">
        <f>'Assets-Liab 5-6'!L33</f>
        <v>131605</v>
      </c>
      <c r="D2914" s="2" t="str">
        <f t="shared" si="44"/>
        <v>Error?</v>
      </c>
    </row>
    <row r="2915" spans="1:4" x14ac:dyDescent="0.2">
      <c r="A2915" s="10">
        <v>2854</v>
      </c>
      <c r="D2915" s="2" t="str">
        <f t="shared" si="44"/>
        <v>OK</v>
      </c>
    </row>
    <row r="2916" spans="1:4" x14ac:dyDescent="0.2">
      <c r="A2916" s="5">
        <v>2855</v>
      </c>
      <c r="B2916" s="138">
        <f>'Assets-Liab 5-6'!L34</f>
        <v>131605</v>
      </c>
      <c r="C2916" s="2" t="s">
        <v>573</v>
      </c>
      <c r="D2916" s="2" t="str">
        <f t="shared" si="44"/>
        <v>Error?</v>
      </c>
    </row>
    <row r="2917" spans="1:4" x14ac:dyDescent="0.2">
      <c r="A2917" s="5">
        <v>2856</v>
      </c>
      <c r="B2917" s="138">
        <f>'Assets-Liab 5-6'!L41</f>
        <v>151412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91478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570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91478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570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85039</v>
      </c>
      <c r="D3055" s="2" t="str">
        <f t="shared" si="46"/>
        <v>Error?</v>
      </c>
    </row>
    <row r="3056" spans="1:4" x14ac:dyDescent="0.2">
      <c r="A3056" s="5">
        <v>2995</v>
      </c>
      <c r="B3056" s="138">
        <f>'Expenditures 15-22'!D10</f>
        <v>23180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108219</v>
      </c>
      <c r="C3062" s="2" t="s">
        <v>573</v>
      </c>
      <c r="D3062" s="2" t="str">
        <f t="shared" si="46"/>
        <v>Error?</v>
      </c>
    </row>
    <row r="3063" spans="1:4" x14ac:dyDescent="0.2">
      <c r="A3063" s="10">
        <v>3002</v>
      </c>
      <c r="D3063" s="2" t="str">
        <f t="shared" si="46"/>
        <v>OK</v>
      </c>
    </row>
    <row r="3064" spans="1:4" x14ac:dyDescent="0.2">
      <c r="A3064" s="5">
        <v>3003</v>
      </c>
      <c r="B3064" s="138">
        <f>'Expenditures 15-22'!D219</f>
        <v>1198</v>
      </c>
      <c r="D3064" s="2" t="str">
        <f t="shared" si="46"/>
        <v>Error?</v>
      </c>
    </row>
    <row r="3065" spans="1:4" x14ac:dyDescent="0.2">
      <c r="A3065" s="5">
        <v>3004</v>
      </c>
      <c r="B3065" s="138">
        <f>'Expenditures 15-22'!K219</f>
        <v>1198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19807</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713800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39147</v>
      </c>
      <c r="C3225" s="2" t="s">
        <v>573</v>
      </c>
      <c r="D3225" s="2" t="str">
        <f t="shared" si="49"/>
        <v>Error?</v>
      </c>
    </row>
    <row r="3226" spans="1:4" x14ac:dyDescent="0.2">
      <c r="A3226" s="5">
        <v>3165</v>
      </c>
      <c r="B3226" s="138">
        <f>'Acct Summary 7-8'!I8</f>
        <v>39147</v>
      </c>
      <c r="C3226" s="2" t="s">
        <v>573</v>
      </c>
      <c r="D3226" s="2" t="str">
        <f t="shared" si="49"/>
        <v>Error?</v>
      </c>
    </row>
    <row r="3227" spans="1:4" x14ac:dyDescent="0.2">
      <c r="A3227" s="5">
        <v>3166</v>
      </c>
      <c r="B3227" s="138">
        <f>'Acct Summary 7-8'!I20</f>
        <v>39147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39137</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39137</v>
      </c>
      <c r="C3232" s="2" t="s">
        <v>573</v>
      </c>
      <c r="D3232" s="2" t="str">
        <f t="shared" si="49"/>
        <v>Error?</v>
      </c>
    </row>
    <row r="3233" spans="1:4" x14ac:dyDescent="0.2">
      <c r="A3233" s="5">
        <v>3172</v>
      </c>
      <c r="B3233" s="138">
        <f>'Acct Summary 7-8'!C78</f>
        <v>534389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9684</v>
      </c>
      <c r="C3237" s="2" t="s">
        <v>573</v>
      </c>
      <c r="D3237" s="2" t="str">
        <f t="shared" si="49"/>
        <v>Error?</v>
      </c>
    </row>
    <row r="3238" spans="1:4" x14ac:dyDescent="0.2">
      <c r="A3238" s="5">
        <v>3177</v>
      </c>
      <c r="B3238" s="138">
        <f>'Acct Summary 7-8'!D77</f>
        <v>-9684</v>
      </c>
      <c r="C3238" s="2" t="s">
        <v>573</v>
      </c>
      <c r="D3238" s="2" t="str">
        <f t="shared" si="49"/>
        <v>Error?</v>
      </c>
    </row>
    <row r="3239" spans="1:4" x14ac:dyDescent="0.2">
      <c r="A3239" s="5">
        <v>3178</v>
      </c>
      <c r="B3239" s="138">
        <f>'Acct Summary 7-8'!D78</f>
        <v>26903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25372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9224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723484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723484</v>
      </c>
      <c r="C3277" s="2" t="s">
        <v>573</v>
      </c>
      <c r="D3277" s="2" t="str">
        <f t="shared" si="50"/>
        <v>Error?</v>
      </c>
    </row>
    <row r="3278" spans="1:4" x14ac:dyDescent="0.2">
      <c r="A3278" s="5">
        <v>3217</v>
      </c>
      <c r="B3278" s="138">
        <f>'Acct Summary 7-8'!E78</f>
        <v>5290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t="str">
        <f>'Acct Summary 7-8'!I43</f>
        <v xml:space="preserve"> </v>
      </c>
      <c r="D3316" s="2" t="e">
        <f t="shared" si="50"/>
        <v>#VALUE!</v>
      </c>
    </row>
    <row r="3317" spans="1:4" x14ac:dyDescent="0.2">
      <c r="A3317" s="5">
        <v>3256</v>
      </c>
      <c r="B3317" s="138">
        <f>'Acct Summary 7-8'!I44</f>
        <v>0</v>
      </c>
      <c r="C3317" s="2" t="s">
        <v>573</v>
      </c>
      <c r="D3317" s="2" t="str">
        <f t="shared" si="50"/>
        <v>Error?</v>
      </c>
    </row>
    <row r="3318" spans="1:4" x14ac:dyDescent="0.2">
      <c r="A3318" s="5">
        <v>3257</v>
      </c>
      <c r="B3318" s="138">
        <f>'Acct Summary 7-8'!I76</f>
        <v>39137</v>
      </c>
      <c r="C3318" s="2" t="s">
        <v>573</v>
      </c>
      <c r="D3318" s="2" t="str">
        <f t="shared" si="50"/>
        <v>Error?</v>
      </c>
    </row>
    <row r="3319" spans="1:4" x14ac:dyDescent="0.2">
      <c r="A3319" s="5">
        <v>3258</v>
      </c>
      <c r="B3319" s="138">
        <f>'Acct Summary 7-8'!I77</f>
        <v>-39137</v>
      </c>
      <c r="C3319" s="2" t="s">
        <v>573</v>
      </c>
      <c r="D3319" s="2" t="str">
        <f t="shared" si="50"/>
        <v>Error?</v>
      </c>
    </row>
    <row r="3320" spans="1:4" x14ac:dyDescent="0.2">
      <c r="A3320" s="5">
        <v>3259</v>
      </c>
      <c r="B3320" s="138">
        <f>'Acct Summary 7-8'!I78</f>
        <v>10</v>
      </c>
      <c r="C3320" s="2" t="s">
        <v>573</v>
      </c>
      <c r="D3320" s="2" t="str">
        <f t="shared" si="50"/>
        <v>Error?</v>
      </c>
    </row>
    <row r="3321" spans="1:4" x14ac:dyDescent="0.2">
      <c r="A3321" s="5">
        <v>3260</v>
      </c>
      <c r="B3321" s="138">
        <f>'Acct Summary 7-8'!I79</f>
        <v>135138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135148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618274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140386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1784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3703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764147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22891</v>
      </c>
      <c r="D3387" s="2" t="str">
        <f t="shared" si="51"/>
        <v>Error?</v>
      </c>
    </row>
    <row r="3388" spans="1:4" x14ac:dyDescent="0.2">
      <c r="A3388" s="5">
        <v>3327</v>
      </c>
      <c r="B3388" s="138">
        <f>'Expenditures 15-22'!D217</f>
        <v>43467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22891</v>
      </c>
      <c r="C3390" s="2" t="s">
        <v>573</v>
      </c>
      <c r="D3390" s="2" t="str">
        <f t="shared" si="51"/>
        <v>Error?</v>
      </c>
    </row>
    <row r="3391" spans="1:4" x14ac:dyDescent="0.2">
      <c r="A3391" s="5">
        <v>3330</v>
      </c>
      <c r="B3391" s="138">
        <f>'Expenditures 15-22'!K217</f>
        <v>43467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2216172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279231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386619</v>
      </c>
      <c r="D3417" s="2" t="str">
        <f t="shared" si="52"/>
        <v>Error?</v>
      </c>
    </row>
    <row r="3418" spans="1:4" x14ac:dyDescent="0.2">
      <c r="A3418" s="10">
        <v>3357</v>
      </c>
      <c r="D3418" s="2" t="str">
        <f t="shared" si="52"/>
        <v>OK</v>
      </c>
    </row>
    <row r="3419" spans="1:4" x14ac:dyDescent="0.2">
      <c r="A3419" s="5">
        <v>3358</v>
      </c>
      <c r="B3419" s="138">
        <f>'Assets-Liab 5-6'!F4</f>
        <v>238112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20147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135148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141153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94570</v>
      </c>
      <c r="C3446" s="2" t="s">
        <v>573</v>
      </c>
      <c r="D3446" s="2" t="str">
        <f t="shared" si="52"/>
        <v>Error?</v>
      </c>
    </row>
    <row r="3447" spans="1:4" x14ac:dyDescent="0.2">
      <c r="A3447" s="5">
        <v>3386</v>
      </c>
      <c r="B3447" s="138">
        <f>'Tax Sched 23'!D16</f>
        <v>43232</v>
      </c>
      <c r="C3447" s="2" t="s">
        <v>573</v>
      </c>
      <c r="D3447" s="2" t="str">
        <f t="shared" si="52"/>
        <v>Error?</v>
      </c>
    </row>
    <row r="3448" spans="1:4" x14ac:dyDescent="0.2">
      <c r="A3448" s="5">
        <v>3387</v>
      </c>
      <c r="B3448" s="138">
        <f>'Tax Sched 23'!C16</f>
        <v>51338</v>
      </c>
      <c r="D3448" s="2" t="str">
        <f t="shared" si="52"/>
        <v>Error?</v>
      </c>
    </row>
    <row r="3449" spans="1:4" x14ac:dyDescent="0.2">
      <c r="A3449" s="5">
        <v>3388</v>
      </c>
      <c r="B3449" s="138">
        <f>'Tax Sched 23'!F16</f>
        <v>43160</v>
      </c>
      <c r="C3449" s="2" t="s">
        <v>573</v>
      </c>
      <c r="D3449" s="2" t="str">
        <f t="shared" si="52"/>
        <v>Error?</v>
      </c>
    </row>
    <row r="3450" spans="1:4" x14ac:dyDescent="0.2">
      <c r="A3450" s="5">
        <v>3389</v>
      </c>
      <c r="B3450" s="138">
        <f>'Tax Sched 23'!E16</f>
        <v>94498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42289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42289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42289</v>
      </c>
      <c r="D3567" s="2" t="str">
        <f t="shared" si="54"/>
        <v>Error?</v>
      </c>
    </row>
    <row r="3568" spans="1:4" x14ac:dyDescent="0.2">
      <c r="A3568" s="5">
        <v>3507</v>
      </c>
      <c r="B3568" s="138">
        <f>'Assets-Liab 5-6'!K41</f>
        <v>42289</v>
      </c>
      <c r="C3568" s="2" t="s">
        <v>573</v>
      </c>
      <c r="D3568" s="2" t="str">
        <f t="shared" si="54"/>
        <v>Error?</v>
      </c>
    </row>
    <row r="3569" spans="1:4" x14ac:dyDescent="0.2">
      <c r="A3569" s="5">
        <v>3508</v>
      </c>
      <c r="B3569" s="138">
        <f>'Acct Summary 7-8'!K4</f>
        <v>37</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37</v>
      </c>
      <c r="C3571" s="2" t="s">
        <v>573</v>
      </c>
      <c r="D3571" s="2" t="str">
        <f t="shared" si="54"/>
        <v>Error?</v>
      </c>
    </row>
    <row r="3572" spans="1:4" x14ac:dyDescent="0.2">
      <c r="A3572" s="5">
        <v>3511</v>
      </c>
      <c r="B3572" s="138">
        <f>'Acct Summary 7-8'!K13</f>
        <v>169733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169733</v>
      </c>
      <c r="C3575" s="2" t="s">
        <v>573</v>
      </c>
      <c r="D3575" s="2" t="str">
        <f t="shared" si="54"/>
        <v>Error?</v>
      </c>
    </row>
    <row r="3576" spans="1:4" x14ac:dyDescent="0.2">
      <c r="A3576" s="5">
        <v>3515</v>
      </c>
      <c r="B3576" s="138">
        <f>'Acct Summary 7-8'!K20</f>
        <v>-169696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-169696</v>
      </c>
      <c r="C3588" s="2" t="s">
        <v>573</v>
      </c>
      <c r="D3588" s="2" t="str">
        <f t="shared" si="55"/>
        <v>Error?</v>
      </c>
    </row>
    <row r="3589" spans="1:4" x14ac:dyDescent="0.2">
      <c r="A3589" s="5">
        <v>3528</v>
      </c>
      <c r="B3589" s="138">
        <f>'Acct Summary 7-8'!K79</f>
        <v>211985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42289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7791</v>
      </c>
      <c r="D3632" s="2" t="str">
        <f t="shared" si="55"/>
        <v>Error?</v>
      </c>
    </row>
    <row r="3633" spans="1:4" x14ac:dyDescent="0.2">
      <c r="A3633" s="5">
        <v>3572</v>
      </c>
      <c r="B3633" s="138">
        <f>'Expenditures 15-22'!E350</f>
        <v>7791</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7791</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3504</v>
      </c>
      <c r="D3639" s="2" t="str">
        <f t="shared" si="55"/>
        <v>Error?</v>
      </c>
    </row>
    <row r="3640" spans="1:4" x14ac:dyDescent="0.2">
      <c r="A3640" s="5">
        <v>3579</v>
      </c>
      <c r="B3640" s="138">
        <f>'Expenditures 15-22'!F350</f>
        <v>3504</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3504</v>
      </c>
      <c r="C3642" s="2" t="s">
        <v>573</v>
      </c>
      <c r="D3642" s="2" t="str">
        <f t="shared" si="55"/>
        <v>Error?</v>
      </c>
    </row>
    <row r="3643" spans="1:4" x14ac:dyDescent="0.2">
      <c r="A3643" s="5">
        <v>3582</v>
      </c>
      <c r="B3643" s="138">
        <f>'Expenditures 15-22'!F367</f>
        <v>3504</v>
      </c>
      <c r="C3643" s="2" t="s">
        <v>573</v>
      </c>
      <c r="D3643" s="2" t="str">
        <f t="shared" si="55"/>
        <v>Error?</v>
      </c>
    </row>
    <row r="3644" spans="1:4" x14ac:dyDescent="0.2">
      <c r="A3644" s="10">
        <v>3583</v>
      </c>
      <c r="D3644" s="2" t="str">
        <f t="shared" si="55"/>
        <v>OK</v>
      </c>
    </row>
    <row r="3645" spans="1:4" x14ac:dyDescent="0.2">
      <c r="A3645" s="5">
        <v>3584</v>
      </c>
      <c r="B3645" s="138">
        <f>'Expenditures 15-22'!G348</f>
        <v>24500</v>
      </c>
      <c r="D3645" s="2" t="str">
        <f t="shared" si="55"/>
        <v>Error?</v>
      </c>
    </row>
    <row r="3646" spans="1:4" x14ac:dyDescent="0.2">
      <c r="A3646" s="5">
        <v>3585</v>
      </c>
      <c r="B3646" s="138">
        <f>'Expenditures 15-22'!G349</f>
        <v>133938</v>
      </c>
      <c r="D3646" s="2" t="str">
        <f t="shared" si="55"/>
        <v>Error?</v>
      </c>
    </row>
    <row r="3647" spans="1:4" x14ac:dyDescent="0.2">
      <c r="A3647" s="5">
        <v>3586</v>
      </c>
      <c r="B3647" s="138">
        <f>'Expenditures 15-22'!G350</f>
        <v>158438</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158438</v>
      </c>
      <c r="C3649" s="2" t="s">
        <v>573</v>
      </c>
      <c r="D3649" s="2" t="str">
        <f t="shared" si="56"/>
        <v>Error?</v>
      </c>
    </row>
    <row r="3650" spans="1:4" x14ac:dyDescent="0.2">
      <c r="A3650" s="5">
        <v>3589</v>
      </c>
      <c r="B3650" s="138">
        <f>'Expenditures 15-22'!G367</f>
        <v>158438</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24500</v>
      </c>
      <c r="C3668" s="2" t="s">
        <v>573</v>
      </c>
      <c r="D3668" s="2" t="str">
        <f t="shared" si="56"/>
        <v>Error?</v>
      </c>
    </row>
    <row r="3669" spans="1:4" x14ac:dyDescent="0.2">
      <c r="A3669" s="5">
        <v>3608</v>
      </c>
      <c r="B3669" s="138">
        <f>'Expenditures 15-22'!K349</f>
        <v>145233</v>
      </c>
      <c r="C3669" s="2" t="s">
        <v>573</v>
      </c>
      <c r="D3669" s="2" t="str">
        <f t="shared" si="56"/>
        <v>Error?</v>
      </c>
    </row>
    <row r="3670" spans="1:4" x14ac:dyDescent="0.2">
      <c r="A3670" s="5">
        <v>3609</v>
      </c>
      <c r="B3670" s="138">
        <f>'Expenditures 15-22'!K350</f>
        <v>169733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169733</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169733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-169696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39080</v>
      </c>
      <c r="C3725" s="2" t="s">
        <v>573</v>
      </c>
      <c r="D3725" s="2" t="str">
        <f t="shared" si="57"/>
        <v>Error?</v>
      </c>
    </row>
    <row r="3726" spans="1:4" x14ac:dyDescent="0.2">
      <c r="A3726" s="5">
        <v>3665</v>
      </c>
      <c r="B3726" s="138">
        <f>'Tax Sched 23'!D13</f>
        <v>17608</v>
      </c>
      <c r="C3726" s="2" t="s">
        <v>573</v>
      </c>
      <c r="D3726" s="2" t="str">
        <f t="shared" si="57"/>
        <v>Error?</v>
      </c>
    </row>
    <row r="3727" spans="1:4" x14ac:dyDescent="0.2">
      <c r="A3727" s="5">
        <v>3666</v>
      </c>
      <c r="B3727" s="138">
        <f>'Tax Sched 23'!C13</f>
        <v>21472</v>
      </c>
      <c r="D3727" s="2" t="str">
        <f t="shared" si="57"/>
        <v>Error?</v>
      </c>
    </row>
    <row r="3728" spans="1:4" x14ac:dyDescent="0.2">
      <c r="A3728" s="5">
        <v>3667</v>
      </c>
      <c r="B3728" s="138">
        <f>'Tax Sched 23'!F13</f>
        <v>18050</v>
      </c>
      <c r="C3728" s="2" t="s">
        <v>573</v>
      </c>
      <c r="D3728" s="2" t="str">
        <f t="shared" si="57"/>
        <v>Error?</v>
      </c>
    </row>
    <row r="3729" spans="1:4" x14ac:dyDescent="0.2">
      <c r="A3729" s="5">
        <v>3668</v>
      </c>
      <c r="B3729" s="138">
        <f>'Tax Sched 23'!E13</f>
        <v>39522</v>
      </c>
      <c r="D3729" s="2" t="str">
        <f t="shared" si="57"/>
        <v>Error?</v>
      </c>
    </row>
    <row r="3730" spans="1:4" x14ac:dyDescent="0.2">
      <c r="A3730" s="5">
        <v>3669</v>
      </c>
      <c r="B3730" s="138">
        <f>'ICR Computation 30'!E10</f>
        <v>71862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2041796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7049473</v>
      </c>
      <c r="C4122" s="2" t="s">
        <v>573</v>
      </c>
      <c r="D4122" s="2" t="str">
        <f t="shared" si="63"/>
        <v>Error?</v>
      </c>
    </row>
    <row r="4123" spans="1:4" x14ac:dyDescent="0.2">
      <c r="A4123" s="5">
        <v>4062</v>
      </c>
      <c r="B4123" s="138">
        <f>'Acct Summary 7-8'!D10</f>
        <v>569738</v>
      </c>
      <c r="C4123" s="2" t="s">
        <v>573</v>
      </c>
      <c r="D4123" s="2" t="str">
        <f t="shared" si="63"/>
        <v>Error?</v>
      </c>
    </row>
    <row r="4124" spans="1:4" x14ac:dyDescent="0.2">
      <c r="A4124" s="5">
        <v>4063</v>
      </c>
      <c r="B4124" s="138">
        <f>'Acct Summary 7-8'!E10</f>
        <v>691154</v>
      </c>
      <c r="C4124" s="2" t="s">
        <v>573</v>
      </c>
      <c r="D4124" s="2" t="str">
        <f t="shared" si="63"/>
        <v>Error?</v>
      </c>
    </row>
    <row r="4125" spans="1:4" x14ac:dyDescent="0.2">
      <c r="A4125" s="5">
        <v>4064</v>
      </c>
      <c r="B4125" s="138">
        <f>'Acct Summary 7-8'!F10</f>
        <v>235413</v>
      </c>
      <c r="C4125" s="2" t="s">
        <v>573</v>
      </c>
      <c r="D4125" s="2" t="str">
        <f t="shared" si="63"/>
        <v>Error?</v>
      </c>
    </row>
    <row r="4126" spans="1:4" x14ac:dyDescent="0.2">
      <c r="A4126" s="5">
        <v>4065</v>
      </c>
      <c r="B4126" s="138">
        <f>'Acct Summary 7-8'!G10</f>
        <v>187137</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39147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37</v>
      </c>
      <c r="C4130" s="2" t="s">
        <v>573</v>
      </c>
      <c r="D4130" s="2" t="str">
        <f t="shared" si="63"/>
        <v>Error?</v>
      </c>
    </row>
    <row r="4131" spans="1:4" x14ac:dyDescent="0.2">
      <c r="A4131" s="5">
        <v>4070</v>
      </c>
      <c r="B4131" s="138">
        <f>'Acct Summary 7-8'!C18</f>
        <v>2041796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6554221</v>
      </c>
      <c r="C4136" s="2" t="s">
        <v>573</v>
      </c>
      <c r="D4136" s="2" t="str">
        <f t="shared" si="63"/>
        <v>Error?</v>
      </c>
    </row>
    <row r="4137" spans="1:4" x14ac:dyDescent="0.2">
      <c r="A4137" s="5">
        <v>4076</v>
      </c>
      <c r="B4137" s="138">
        <f>'Acct Summary 7-8'!D19</f>
        <v>533151</v>
      </c>
      <c r="C4137" s="2" t="s">
        <v>573</v>
      </c>
      <c r="D4137" s="2" t="str">
        <f t="shared" si="63"/>
        <v>Error?</v>
      </c>
    </row>
    <row r="4138" spans="1:4" x14ac:dyDescent="0.2">
      <c r="A4138" s="5">
        <v>4077</v>
      </c>
      <c r="B4138" s="138">
        <f>'Acct Summary 7-8'!E19</f>
        <v>1409348</v>
      </c>
      <c r="C4138" s="2" t="s">
        <v>573</v>
      </c>
      <c r="D4138" s="2" t="str">
        <f t="shared" si="63"/>
        <v>Error?</v>
      </c>
    </row>
    <row r="4139" spans="1:4" x14ac:dyDescent="0.2">
      <c r="A4139" s="5">
        <v>4078</v>
      </c>
      <c r="B4139" s="138">
        <f>'Acct Summary 7-8'!F19</f>
        <v>210041</v>
      </c>
      <c r="C4139" s="2" t="s">
        <v>573</v>
      </c>
      <c r="D4139" s="2" t="str">
        <f t="shared" si="63"/>
        <v>Error?</v>
      </c>
    </row>
    <row r="4140" spans="1:4" x14ac:dyDescent="0.2">
      <c r="A4140" s="5">
        <v>4079</v>
      </c>
      <c r="B4140" s="138">
        <f>'Acct Summary 7-8'!G19</f>
        <v>177913</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169733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4452020</v>
      </c>
      <c r="C4171" s="2" t="s">
        <v>573</v>
      </c>
      <c r="D4171" s="2" t="str">
        <f t="shared" si="64"/>
        <v>Error?</v>
      </c>
    </row>
    <row r="4172" spans="1:4" x14ac:dyDescent="0.2">
      <c r="A4172" s="5">
        <v>4111</v>
      </c>
      <c r="B4172" s="138">
        <f>'Short-Term Long-Term Debt 24'!J49</f>
        <v>4065401</v>
      </c>
      <c r="C4172" s="2" t="s">
        <v>573</v>
      </c>
      <c r="D4172" s="2" t="str">
        <f t="shared" si="64"/>
        <v>Error?</v>
      </c>
    </row>
    <row r="4173" spans="1:4" x14ac:dyDescent="0.2">
      <c r="A4173" s="5">
        <v>4112</v>
      </c>
      <c r="B4173" s="138">
        <f>'Short-Term Long-Term Debt 24'!H49</f>
        <v>1202523</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3889.62</v>
      </c>
      <c r="C4265" s="2" t="s">
        <v>573</v>
      </c>
      <c r="D4265" s="2" t="str">
        <f t="shared" si="65"/>
        <v>Error?</v>
      </c>
      <c r="E4265" s="128"/>
    </row>
    <row r="4266" spans="1:5" x14ac:dyDescent="0.2">
      <c r="A4266" s="12">
        <v>4205</v>
      </c>
      <c r="B4266" s="138">
        <f>('FP Info 3'!F10)*100000</f>
        <v>603.39</v>
      </c>
      <c r="C4266" s="2" t="s">
        <v>573</v>
      </c>
      <c r="D4266" s="2" t="str">
        <f t="shared" si="65"/>
        <v>Error?</v>
      </c>
      <c r="E4266" s="128"/>
    </row>
    <row r="4267" spans="1:5" x14ac:dyDescent="0.2">
      <c r="A4267" s="12">
        <v>4206</v>
      </c>
      <c r="B4267" s="138">
        <f>('FP Info 3'!H10)*100000</f>
        <v>199.47</v>
      </c>
      <c r="C4267" s="2" t="s">
        <v>573</v>
      </c>
      <c r="D4267" s="2" t="str">
        <f t="shared" si="65"/>
        <v>Error?</v>
      </c>
      <c r="E4267" s="128"/>
    </row>
    <row r="4268" spans="1:5" x14ac:dyDescent="0.2">
      <c r="A4268" s="12">
        <v>4207</v>
      </c>
      <c r="B4268" s="138">
        <f>('FP Info 3'!J10)*100000</f>
        <v>4692</v>
      </c>
      <c r="C4268" s="2" t="s">
        <v>573</v>
      </c>
      <c r="D4268" s="2" t="str">
        <f t="shared" si="65"/>
        <v>Error?</v>
      </c>
    </row>
    <row r="4269" spans="1:5" x14ac:dyDescent="0.2">
      <c r="A4269" s="12">
        <v>4208</v>
      </c>
      <c r="B4269" s="138">
        <f>'FP Info 3'!J16</f>
        <v>3573334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10967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19289</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11670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49.870000000000005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1168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36458</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15127</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79249964</v>
      </c>
      <c r="D4995" s="2" t="str">
        <f t="shared" si="77"/>
        <v>Error?</v>
      </c>
    </row>
    <row r="4996" spans="1:4" x14ac:dyDescent="0.2">
      <c r="A4996" s="12">
        <v>4935</v>
      </c>
      <c r="B4996" s="138">
        <f>'FP Info 3'!H31</f>
        <v>10936495.032000002</v>
      </c>
      <c r="D4996" s="2" t="str">
        <f t="shared" si="77"/>
        <v>Error?</v>
      </c>
    </row>
    <row r="4997" spans="1:4" x14ac:dyDescent="0.2">
      <c r="A4997" s="12">
        <v>4936</v>
      </c>
      <c r="B4997" s="138">
        <f>'FP Info 3'!H37</f>
        <v>4452020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3048150</v>
      </c>
      <c r="D5061" s="2" t="str">
        <f t="shared" si="78"/>
        <v>Error?</v>
      </c>
    </row>
    <row r="5062" spans="1:4" x14ac:dyDescent="0.2">
      <c r="A5062" s="10">
        <v>5001</v>
      </c>
      <c r="D5062" s="2" t="str">
        <f t="shared" si="78"/>
        <v>OK</v>
      </c>
    </row>
    <row r="5063" spans="1:4" x14ac:dyDescent="0.2">
      <c r="A5063" s="5">
        <v>5002</v>
      </c>
      <c r="B5063" s="138">
        <f>'Revenues 9-14'!C7</f>
        <v>31262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3079412</v>
      </c>
      <c r="C5066" s="2" t="s">
        <v>573</v>
      </c>
      <c r="D5066" s="2" t="str">
        <f t="shared" si="78"/>
        <v>Error?</v>
      </c>
    </row>
    <row r="5067" spans="1:4" x14ac:dyDescent="0.2">
      <c r="A5067" s="5">
        <v>5006</v>
      </c>
      <c r="B5067" s="138">
        <f>'Revenues 9-14'!C14</f>
        <v>3035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199979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203014</v>
      </c>
      <c r="C5071" s="2" t="s">
        <v>573</v>
      </c>
      <c r="D5071" s="2" t="str">
        <f t="shared" si="78"/>
        <v>Error?</v>
      </c>
    </row>
    <row r="5072" spans="1:4" x14ac:dyDescent="0.2">
      <c r="A5072" s="5">
        <v>5011</v>
      </c>
      <c r="B5072" s="138">
        <f>'Revenues 9-14'!C20</f>
        <v>8880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8880</v>
      </c>
      <c r="C5087" s="2" t="s">
        <v>573</v>
      </c>
      <c r="D5087" s="2" t="str">
        <f t="shared" si="78"/>
        <v>Error?</v>
      </c>
    </row>
    <row r="5088" spans="1:4" x14ac:dyDescent="0.2">
      <c r="A5088" s="5">
        <v>5027</v>
      </c>
      <c r="B5088" s="138">
        <f>'Revenues 9-14'!C65</f>
        <v>6397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6397</v>
      </c>
      <c r="C5090" s="2" t="s">
        <v>573</v>
      </c>
      <c r="D5090" s="2" t="str">
        <f t="shared" si="78"/>
        <v>Error?</v>
      </c>
    </row>
    <row r="5091" spans="1:4" x14ac:dyDescent="0.2">
      <c r="A5091" s="5">
        <v>5030</v>
      </c>
      <c r="B5091" s="138">
        <f>'Revenues 9-14'!C70</f>
        <v>6195</v>
      </c>
      <c r="D5091" s="2" t="str">
        <f t="shared" si="78"/>
        <v>Error?</v>
      </c>
    </row>
    <row r="5092" spans="1:4" x14ac:dyDescent="0.2">
      <c r="A5092" s="5">
        <v>5031</v>
      </c>
      <c r="B5092" s="138">
        <f>'Revenues 9-14'!C71</f>
        <v>50273</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1072</v>
      </c>
      <c r="D5094" s="2" t="str">
        <f t="shared" si="78"/>
        <v>Error?</v>
      </c>
    </row>
    <row r="5095" spans="1:4" x14ac:dyDescent="0.2">
      <c r="A5095" s="5">
        <v>5034</v>
      </c>
      <c r="B5095" s="138">
        <f>'Revenues 9-14'!C74</f>
        <v>3897</v>
      </c>
      <c r="D5095" s="2" t="str">
        <f t="shared" si="78"/>
        <v>Error?</v>
      </c>
    </row>
    <row r="5096" spans="1:4" x14ac:dyDescent="0.2">
      <c r="A5096" s="5">
        <v>5035</v>
      </c>
      <c r="B5096" s="138">
        <f>'Revenues 9-14'!C75</f>
        <v>98035</v>
      </c>
      <c r="C5096" s="2" t="s">
        <v>573</v>
      </c>
      <c r="D5096" s="2" t="str">
        <f t="shared" si="78"/>
        <v>Error?</v>
      </c>
    </row>
    <row r="5097" spans="1:4" x14ac:dyDescent="0.2">
      <c r="A5097" s="5">
        <v>5036</v>
      </c>
      <c r="B5097" s="138">
        <f>'Revenues 9-14'!C77</f>
        <v>24093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13788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27536</v>
      </c>
      <c r="D5101" s="2" t="str">
        <f t="shared" si="78"/>
        <v>Error?</v>
      </c>
    </row>
    <row r="5102" spans="1:4" x14ac:dyDescent="0.2">
      <c r="A5102" s="5">
        <v>5041</v>
      </c>
      <c r="B5102" s="138">
        <f>'Revenues 9-14'!C82</f>
        <v>65417</v>
      </c>
      <c r="C5102" s="2" t="s">
        <v>573</v>
      </c>
      <c r="D5102" s="2" t="str">
        <f t="shared" si="78"/>
        <v>Error?</v>
      </c>
    </row>
    <row r="5103" spans="1:4" x14ac:dyDescent="0.2">
      <c r="A5103" s="5">
        <v>5042</v>
      </c>
      <c r="B5103" s="138">
        <f>'Revenues 9-14'!C84</f>
        <v>30834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30834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112270</v>
      </c>
      <c r="D5114" s="2" t="str">
        <f t="shared" si="78"/>
        <v>Error?</v>
      </c>
    </row>
    <row r="5115" spans="1:4" x14ac:dyDescent="0.2">
      <c r="A5115" s="5">
        <v>5054</v>
      </c>
      <c r="B5115" s="138">
        <f>'Revenues 9-14'!C98</f>
        <v>27973</v>
      </c>
      <c r="D5115" s="2" t="str">
        <f t="shared" si="78"/>
        <v>Error?</v>
      </c>
    </row>
    <row r="5116" spans="1:4" x14ac:dyDescent="0.2">
      <c r="A5116" s="5">
        <v>5055</v>
      </c>
      <c r="B5116" s="138">
        <f>'Revenues 9-14'!C99</f>
        <v>16922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1524</v>
      </c>
      <c r="D5119" s="2" t="str">
        <f t="shared" ref="D5119:D5182" si="79">IF(ISBLANK(B5119),"OK",IF(A5119-B5119=0,"OK","Error?"))</f>
        <v>Error?</v>
      </c>
    </row>
    <row r="5120" spans="1:4" x14ac:dyDescent="0.2">
      <c r="A5120" s="5">
        <v>5059</v>
      </c>
      <c r="B5120" s="138">
        <f>'Revenues 9-14'!C108</f>
        <v>165739</v>
      </c>
      <c r="C5120" s="2" t="s">
        <v>573</v>
      </c>
      <c r="D5120" s="2" t="str">
        <f t="shared" si="79"/>
        <v>Error?</v>
      </c>
    </row>
    <row r="5121" spans="1:4" x14ac:dyDescent="0.2">
      <c r="A5121" s="5">
        <v>5060</v>
      </c>
      <c r="B5121" s="138">
        <f>'Revenues 9-14'!C109</f>
        <v>3657728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858582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858582</v>
      </c>
      <c r="C5132" s="2" t="s">
        <v>573</v>
      </c>
      <c r="D5132" s="2" t="str">
        <f t="shared" si="79"/>
        <v>Error?</v>
      </c>
    </row>
    <row r="5133" spans="1:4" x14ac:dyDescent="0.2">
      <c r="A5133" s="5">
        <v>5072</v>
      </c>
      <c r="B5133" s="138">
        <f>'Revenues 9-14'!C125</f>
        <v>115206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27820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143026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15098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1322</v>
      </c>
      <c r="D5167" s="2" t="str">
        <f t="shared" si="79"/>
        <v>Error?</v>
      </c>
    </row>
    <row r="5168" spans="1:4" x14ac:dyDescent="0.2">
      <c r="A5168" s="5">
        <v>5107</v>
      </c>
      <c r="B5168" s="138">
        <f>'Revenues 9-14'!C148</f>
        <v>5835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166449</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1025031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36458</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53697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17830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71527</v>
      </c>
      <c r="C5246" s="2" t="s">
        <v>573</v>
      </c>
      <c r="D5246" s="2" t="str">
        <f t="shared" si="80"/>
        <v>Error?</v>
      </c>
    </row>
    <row r="5247" spans="1:4" x14ac:dyDescent="0.2">
      <c r="A5247" s="5">
        <v>5186</v>
      </c>
      <c r="B5247" s="138">
        <f>'Revenues 9-14'!C200</f>
        <v>61989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61989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5345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92546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97891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288460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324918</v>
      </c>
      <c r="C5326" s="2" t="s">
        <v>573</v>
      </c>
      <c r="D5326" s="2" t="str">
        <f t="shared" si="82"/>
        <v>Error?</v>
      </c>
    </row>
    <row r="5327" spans="1:5" x14ac:dyDescent="0.2">
      <c r="A5327" s="5">
        <v>5266</v>
      </c>
      <c r="B5327" s="138">
        <f>'Revenues 9-14'!C268</f>
        <v>5007677</v>
      </c>
      <c r="C5327" s="2" t="s">
        <v>573</v>
      </c>
      <c r="D5327" s="2" t="str">
        <f t="shared" si="82"/>
        <v>Error?</v>
      </c>
    </row>
    <row r="5328" spans="1:5" x14ac:dyDescent="0.2">
      <c r="A5328" s="5">
        <v>5267</v>
      </c>
      <c r="B5328" s="138">
        <f>'Revenues 9-14'!D5</f>
        <v>472855</v>
      </c>
      <c r="D5328" s="2" t="str">
        <f t="shared" si="82"/>
        <v>Error?</v>
      </c>
    </row>
    <row r="5329" spans="1:4" x14ac:dyDescent="0.2">
      <c r="A5329" s="10">
        <v>5268</v>
      </c>
      <c r="D5329" s="2" t="str">
        <f t="shared" si="82"/>
        <v>OK</v>
      </c>
    </row>
    <row r="5330" spans="1:4" x14ac:dyDescent="0.2">
      <c r="A5330" s="5">
        <v>5269</v>
      </c>
      <c r="B5330" s="138">
        <f>'Revenues 9-14'!D6</f>
        <v>39080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511935</v>
      </c>
      <c r="C5334" s="2" t="s">
        <v>573</v>
      </c>
      <c r="D5334" s="2" t="str">
        <f t="shared" si="82"/>
        <v>Error?</v>
      </c>
    </row>
    <row r="5335" spans="1:4" x14ac:dyDescent="0.2">
      <c r="A5335" s="5">
        <v>5274</v>
      </c>
      <c r="B5335" s="138">
        <f>'Revenues 9-14'!D14</f>
        <v>505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505</v>
      </c>
      <c r="C5339" s="2" t="s">
        <v>573</v>
      </c>
      <c r="D5339" s="2" t="str">
        <f t="shared" si="82"/>
        <v>Error?</v>
      </c>
    </row>
    <row r="5340" spans="1:4" x14ac:dyDescent="0.2">
      <c r="A5340" s="5">
        <v>5279</v>
      </c>
      <c r="B5340" s="138">
        <f>'Revenues 9-14'!D65</f>
        <v>88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23162</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34048</v>
      </c>
      <c r="D5354" s="2" t="str">
        <f t="shared" si="82"/>
        <v>Error?</v>
      </c>
    </row>
    <row r="5355" spans="1:4" x14ac:dyDescent="0.2">
      <c r="A5355" s="5">
        <v>5294</v>
      </c>
      <c r="B5355" s="138">
        <f>'Revenues 9-14'!D108</f>
        <v>57210</v>
      </c>
      <c r="C5355" s="2" t="s">
        <v>573</v>
      </c>
      <c r="D5355" s="2" t="str">
        <f t="shared" si="82"/>
        <v>Error?</v>
      </c>
    </row>
    <row r="5356" spans="1:4" x14ac:dyDescent="0.2">
      <c r="A5356" s="5">
        <v>5295</v>
      </c>
      <c r="B5356" s="138">
        <f>'Revenues 9-14'!D109</f>
        <v>569738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569738</v>
      </c>
      <c r="C5508" s="2" t="s">
        <v>573</v>
      </c>
      <c r="D5508" s="2" t="str">
        <f t="shared" si="85"/>
        <v>Error?</v>
      </c>
    </row>
    <row r="5509" spans="1:4" x14ac:dyDescent="0.2">
      <c r="A5509" s="5">
        <v>5448</v>
      </c>
      <c r="B5509" s="138">
        <f>'Revenues 9-14'!E5</f>
        <v>690365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690365</v>
      </c>
      <c r="C5513" s="2" t="s">
        <v>573</v>
      </c>
      <c r="D5513" s="2" t="str">
        <f t="shared" si="85"/>
        <v>Error?</v>
      </c>
    </row>
    <row r="5514" spans="1:4" x14ac:dyDescent="0.2">
      <c r="A5514" s="5">
        <v>5453</v>
      </c>
      <c r="B5514" s="138">
        <f>'Revenues 9-14'!E14</f>
        <v>685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685</v>
      </c>
      <c r="C5518" s="2" t="s">
        <v>573</v>
      </c>
      <c r="D5518" s="2" t="str">
        <f t="shared" si="85"/>
        <v>Error?</v>
      </c>
    </row>
    <row r="5519" spans="1:4" x14ac:dyDescent="0.2">
      <c r="A5519" s="5">
        <v>5458</v>
      </c>
      <c r="B5519" s="138">
        <f>'Revenues 9-14'!E65</f>
        <v>104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104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691154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691154</v>
      </c>
      <c r="C5552" s="2" t="s">
        <v>573</v>
      </c>
      <c r="D5552" s="2" t="str">
        <f t="shared" si="85"/>
        <v>Error?</v>
      </c>
    </row>
    <row r="5553" spans="1:4" x14ac:dyDescent="0.2">
      <c r="A5553" s="5">
        <v>5492</v>
      </c>
      <c r="B5553" s="138">
        <f>'Revenues 9-14'!F5</f>
        <v>156318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156318</v>
      </c>
      <c r="C5557" s="2" t="s">
        <v>573</v>
      </c>
      <c r="D5557" s="2" t="str">
        <f t="shared" si="85"/>
        <v>Error?</v>
      </c>
    </row>
    <row r="5558" spans="1:4" x14ac:dyDescent="0.2">
      <c r="A5558" s="5">
        <v>5497</v>
      </c>
      <c r="B5558" s="138">
        <f>'Revenues 9-14'!F14</f>
        <v>154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154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104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104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788</v>
      </c>
      <c r="D5586" s="2" t="str">
        <f t="shared" si="86"/>
        <v>Error?</v>
      </c>
    </row>
    <row r="5587" spans="1:4" x14ac:dyDescent="0.2">
      <c r="A5587" s="5">
        <v>5526</v>
      </c>
      <c r="B5587" s="138">
        <f>'Revenues 9-14'!F108</f>
        <v>788</v>
      </c>
      <c r="C5587" s="2" t="s">
        <v>573</v>
      </c>
      <c r="D5587" s="2" t="str">
        <f t="shared" si="86"/>
        <v>Error?</v>
      </c>
    </row>
    <row r="5588" spans="1:4" x14ac:dyDescent="0.2">
      <c r="A5588" s="5">
        <v>5527</v>
      </c>
      <c r="B5588" s="138">
        <f>'Revenues 9-14'!F109</f>
        <v>157364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47064</v>
      </c>
      <c r="D5615" s="2" t="str">
        <f t="shared" si="86"/>
        <v>Error?</v>
      </c>
    </row>
    <row r="5616" spans="1:4" x14ac:dyDescent="0.2">
      <c r="A5616" s="10">
        <v>5555</v>
      </c>
      <c r="D5616" s="2" t="str">
        <f t="shared" si="86"/>
        <v>OK</v>
      </c>
    </row>
    <row r="5617" spans="1:5" x14ac:dyDescent="0.2">
      <c r="A5617" s="5">
        <v>5556</v>
      </c>
      <c r="B5617" s="138">
        <f>'Revenues 9-14'!F153</f>
        <v>30985</v>
      </c>
      <c r="D5617" s="2" t="str">
        <f t="shared" si="86"/>
        <v>Error?</v>
      </c>
    </row>
    <row r="5618" spans="1:5" x14ac:dyDescent="0.2">
      <c r="A5618" s="5">
        <v>5557</v>
      </c>
      <c r="B5618" s="138">
        <f>'Revenues 9-14'!F155</f>
        <v>78049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78049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78049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235413</v>
      </c>
      <c r="C5720" s="2" t="s">
        <v>573</v>
      </c>
      <c r="D5720" s="2" t="str">
        <f t="shared" si="88"/>
        <v>Error?</v>
      </c>
    </row>
    <row r="5721" spans="1:4" x14ac:dyDescent="0.2">
      <c r="A5721" s="5">
        <v>5660</v>
      </c>
      <c r="B5721" s="138">
        <f>'Revenues 9-14'!G5</f>
        <v>86769</v>
      </c>
      <c r="D5721" s="2" t="str">
        <f t="shared" si="88"/>
        <v>Error?</v>
      </c>
    </row>
    <row r="5722" spans="1:4" x14ac:dyDescent="0.2">
      <c r="A5722" s="5">
        <v>5661</v>
      </c>
      <c r="B5722" s="138">
        <f>'Revenues 9-14'!G7</f>
        <v>0</v>
      </c>
      <c r="D5722" s="2" t="str">
        <f t="shared" si="88"/>
        <v>Error?</v>
      </c>
    </row>
    <row r="5723" spans="1:4" x14ac:dyDescent="0.2">
      <c r="A5723" s="5">
        <v>5662</v>
      </c>
      <c r="B5723" s="138">
        <f>'Revenues 9-14'!G8</f>
        <v>94570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181339</v>
      </c>
      <c r="C5725" s="2" t="s">
        <v>573</v>
      </c>
      <c r="D5725" s="2" t="str">
        <f t="shared" si="88"/>
        <v>Error?</v>
      </c>
    </row>
    <row r="5726" spans="1:4" x14ac:dyDescent="0.2">
      <c r="A5726" s="5">
        <v>5665</v>
      </c>
      <c r="B5726" s="138">
        <f>'Revenues 9-14'!G14</f>
        <v>181</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5606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5787</v>
      </c>
      <c r="C5730" s="2" t="s">
        <v>573</v>
      </c>
      <c r="D5730" s="2" t="str">
        <f t="shared" si="88"/>
        <v>Error?</v>
      </c>
    </row>
    <row r="5731" spans="1:4" x14ac:dyDescent="0.2">
      <c r="A5731" s="5">
        <v>5670</v>
      </c>
      <c r="B5731" s="138">
        <f>'Revenues 9-14'!G65</f>
        <v>11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187137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39080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39080</v>
      </c>
      <c r="C5918" s="2" t="s">
        <v>573</v>
      </c>
      <c r="D5918" s="2" t="str">
        <f t="shared" si="91"/>
        <v>Error?</v>
      </c>
    </row>
    <row r="5919" spans="1:4" x14ac:dyDescent="0.2">
      <c r="A5919" s="5">
        <v>5858</v>
      </c>
      <c r="B5919" s="138">
        <f>'Revenues 9-14'!I14</f>
        <v>39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39</v>
      </c>
      <c r="C5923" s="2" t="s">
        <v>573</v>
      </c>
      <c r="D5923" s="2" t="str">
        <f t="shared" si="91"/>
        <v>Error?</v>
      </c>
    </row>
    <row r="5924" spans="1:4" x14ac:dyDescent="0.2">
      <c r="A5924" s="5">
        <v>5863</v>
      </c>
      <c r="B5924" s="138">
        <f>'Revenues 9-14'!I65</f>
        <v>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39147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37</v>
      </c>
      <c r="C6023" s="2" t="s">
        <v>573</v>
      </c>
      <c r="D6023" s="2" t="str">
        <f t="shared" si="93"/>
        <v>Error?</v>
      </c>
    </row>
    <row r="6024" spans="1:5" x14ac:dyDescent="0.2">
      <c r="A6024" s="5">
        <v>5963</v>
      </c>
      <c r="B6024" s="138">
        <f>'Revenues 9-14'!G109</f>
        <v>187137</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39147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37</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36598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11097</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459.8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2502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2170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2170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332</v>
      </c>
      <c r="D6215" s="2" t="str">
        <f t="shared" si="96"/>
        <v>Error?</v>
      </c>
      <c r="E6215" s="2" t="s">
        <v>190</v>
      </c>
    </row>
    <row r="6216" spans="1:5" x14ac:dyDescent="0.2">
      <c r="A6216">
        <v>6155</v>
      </c>
      <c r="B6216" s="138">
        <f>'Assets-Liab 5-6'!J41</f>
        <v>2502</v>
      </c>
      <c r="D6216" s="2" t="str">
        <f t="shared" si="96"/>
        <v>Error?</v>
      </c>
      <c r="E6216" s="2" t="s">
        <v>190</v>
      </c>
    </row>
    <row r="6217" spans="1:5" x14ac:dyDescent="0.2">
      <c r="A6217">
        <v>6156</v>
      </c>
      <c r="B6217" s="138">
        <f>'Assets-Liab 5-6'!J4</f>
        <v>2502</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178002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178002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178002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177994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177994</v>
      </c>
      <c r="D6229" s="2" t="str">
        <f t="shared" si="96"/>
        <v>Error?</v>
      </c>
      <c r="E6229" s="2" t="s">
        <v>190</v>
      </c>
    </row>
    <row r="6230" spans="1:5" x14ac:dyDescent="0.2">
      <c r="A6230">
        <v>6169</v>
      </c>
      <c r="B6230" s="138">
        <f>'Acct Summary 7-8'!J20</f>
        <v>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7523</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2161</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8</v>
      </c>
      <c r="D6263" s="2" t="str">
        <f t="shared" si="96"/>
        <v>Error?</v>
      </c>
      <c r="E6263" s="2" t="s">
        <v>190</v>
      </c>
    </row>
    <row r="6264" spans="1:5" x14ac:dyDescent="0.2">
      <c r="A6264">
        <v>6203</v>
      </c>
      <c r="B6264" s="138">
        <f>'Acct Summary 7-8'!J79</f>
        <v>324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332</v>
      </c>
      <c r="D6266" s="2" t="str">
        <f t="shared" si="96"/>
        <v>Error?</v>
      </c>
      <c r="E6266" s="2" t="s">
        <v>190</v>
      </c>
    </row>
    <row r="6267" spans="1:5" x14ac:dyDescent="0.2">
      <c r="A6267">
        <v>6206</v>
      </c>
      <c r="B6267" s="138">
        <f>'Acct Summary 7-8'!C82</f>
        <v>534389</v>
      </c>
      <c r="D6267" s="2" t="str">
        <f t="shared" si="96"/>
        <v>Error?</v>
      </c>
      <c r="E6267" s="2" t="s">
        <v>190</v>
      </c>
    </row>
    <row r="6268" spans="1:5" x14ac:dyDescent="0.2">
      <c r="A6268">
        <v>6207</v>
      </c>
      <c r="B6268" s="138">
        <f>'Acct Summary 7-8'!D82</f>
        <v>26903</v>
      </c>
      <c r="D6268" s="2" t="str">
        <f t="shared" si="96"/>
        <v>Error?</v>
      </c>
      <c r="E6268" s="2" t="s">
        <v>190</v>
      </c>
    </row>
    <row r="6269" spans="1:5" x14ac:dyDescent="0.2">
      <c r="A6269">
        <v>6208</v>
      </c>
      <c r="B6269" s="138">
        <f>'Acct Summary 7-8'!E82</f>
        <v>5290</v>
      </c>
      <c r="D6269" s="2" t="str">
        <f t="shared" si="96"/>
        <v>Error?</v>
      </c>
      <c r="E6269" s="2" t="s">
        <v>190</v>
      </c>
    </row>
    <row r="6270" spans="1:5" x14ac:dyDescent="0.2">
      <c r="A6270">
        <v>6209</v>
      </c>
      <c r="B6270" s="138">
        <f>'Acct Summary 7-8'!F82</f>
        <v>25372</v>
      </c>
      <c r="D6270" s="2" t="str">
        <f t="shared" si="96"/>
        <v>Error?</v>
      </c>
      <c r="E6270" s="2" t="s">
        <v>190</v>
      </c>
    </row>
    <row r="6271" spans="1:5" x14ac:dyDescent="0.2">
      <c r="A6271">
        <v>6210</v>
      </c>
      <c r="B6271" s="138">
        <f>'Acct Summary 7-8'!G82</f>
        <v>9224</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10</v>
      </c>
      <c r="D6273" s="2" t="str">
        <f t="shared" si="97"/>
        <v>Error?</v>
      </c>
      <c r="E6273" s="2" t="s">
        <v>190</v>
      </c>
    </row>
    <row r="6274" spans="1:5" x14ac:dyDescent="0.2">
      <c r="A6274">
        <v>6213</v>
      </c>
      <c r="B6274" s="138">
        <f>'Acct Summary 7-8'!J82</f>
        <v>8</v>
      </c>
      <c r="D6274" s="2" t="str">
        <f t="shared" si="97"/>
        <v>Error?</v>
      </c>
      <c r="E6274" s="2" t="s">
        <v>190</v>
      </c>
    </row>
    <row r="6275" spans="1:5" x14ac:dyDescent="0.2">
      <c r="A6275">
        <v>6214</v>
      </c>
      <c r="B6275" s="138">
        <f>'Acct Summary 7-8'!K82</f>
        <v>-169696</v>
      </c>
      <c r="D6275" s="2" t="str">
        <f t="shared" si="97"/>
        <v>Error?</v>
      </c>
      <c r="E6275" s="2" t="s">
        <v>190</v>
      </c>
    </row>
    <row r="6276" spans="1:5" x14ac:dyDescent="0.2">
      <c r="A6276">
        <v>6215</v>
      </c>
      <c r="B6276" s="138">
        <f>'Acct Summary 7-8'!C83</f>
        <v>0.18276995205610169</v>
      </c>
      <c r="D6276" s="2" t="str">
        <f t="shared" si="97"/>
        <v>Error?</v>
      </c>
      <c r="E6276" s="2" t="s">
        <v>190</v>
      </c>
    </row>
    <row r="6277" spans="1:5" x14ac:dyDescent="0.2">
      <c r="A6277">
        <v>6216</v>
      </c>
      <c r="B6277" s="138">
        <f>'Acct Summary 7-8'!D83</f>
        <v>9.6930282831922177E-2</v>
      </c>
      <c r="D6277" s="2" t="str">
        <f t="shared" si="97"/>
        <v>Error?</v>
      </c>
      <c r="E6277" s="2" t="s">
        <v>190</v>
      </c>
    </row>
    <row r="6278" spans="1:5" x14ac:dyDescent="0.2">
      <c r="A6278">
        <v>6217</v>
      </c>
      <c r="B6278" s="138">
        <f>'Acct Summary 7-8'!E83</f>
        <v>1.3682721232013946E-2</v>
      </c>
      <c r="D6278" s="2" t="str">
        <f t="shared" si="97"/>
        <v>Error?</v>
      </c>
      <c r="E6278" s="2" t="s">
        <v>190</v>
      </c>
    </row>
    <row r="6279" spans="1:5" x14ac:dyDescent="0.2">
      <c r="A6279">
        <v>6218</v>
      </c>
      <c r="B6279" s="138">
        <f>'Acct Summary 7-8'!F83</f>
        <v>0.10714436533475225</v>
      </c>
      <c r="D6279" s="2" t="str">
        <f t="shared" si="97"/>
        <v>Error?</v>
      </c>
      <c r="E6279" s="2" t="s">
        <v>190</v>
      </c>
    </row>
    <row r="6280" spans="1:5" x14ac:dyDescent="0.2">
      <c r="A6280">
        <v>6219</v>
      </c>
      <c r="B6280" s="138">
        <f>'Acct Summary 7-8'!G83</f>
        <v>0.45783491338660842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7.3992955870601115E-5</v>
      </c>
      <c r="D6282" s="2" t="str">
        <f t="shared" si="97"/>
        <v>Error?</v>
      </c>
      <c r="E6282" s="2" t="s">
        <v>190</v>
      </c>
    </row>
    <row r="6283" spans="1:5" x14ac:dyDescent="0.2">
      <c r="A6283">
        <v>6222</v>
      </c>
      <c r="B6283" s="138">
        <f>'Acct Summary 7-8'!J83</f>
        <v>2.4096385542168676E-2</v>
      </c>
      <c r="D6283" s="2" t="str">
        <f t="shared" si="97"/>
        <v>Error?</v>
      </c>
      <c r="E6283" s="2" t="s">
        <v>190</v>
      </c>
    </row>
    <row r="6284" spans="1:5" x14ac:dyDescent="0.2">
      <c r="A6284">
        <v>6223</v>
      </c>
      <c r="B6284" s="138">
        <f>'Acct Summary 7-8'!K83</f>
        <v>-4.0127692780628532</v>
      </c>
      <c r="D6284" s="2" t="str">
        <f t="shared" si="97"/>
        <v>Error?</v>
      </c>
      <c r="E6284" s="2" t="s">
        <v>190</v>
      </c>
    </row>
    <row r="6285" spans="1:5" x14ac:dyDescent="0.2">
      <c r="A6285">
        <v>6224</v>
      </c>
      <c r="B6285" s="138">
        <f>'Acct Summary 7-8'!E37</f>
        <v>7523</v>
      </c>
      <c r="D6285" s="2" t="str">
        <f t="shared" si="97"/>
        <v>Error?</v>
      </c>
      <c r="E6285" s="2" t="s">
        <v>190</v>
      </c>
    </row>
    <row r="6286" spans="1:5" x14ac:dyDescent="0.2">
      <c r="A6286">
        <v>6225</v>
      </c>
      <c r="B6286" s="138">
        <f>'Acct Summary 7-8'!E38</f>
        <v>2161</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177824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177824</v>
      </c>
      <c r="D6301" s="2" t="str">
        <f t="shared" si="97"/>
        <v>Error?</v>
      </c>
      <c r="E6301" s="2" t="s">
        <v>190</v>
      </c>
    </row>
    <row r="6302" spans="1:5" x14ac:dyDescent="0.2">
      <c r="A6302">
        <v>6241</v>
      </c>
      <c r="B6302" s="138">
        <f>'Revenues 9-14'!J14</f>
        <v>169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169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7050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178002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15098</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4691</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4760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73434</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20726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237623</v>
      </c>
      <c r="D6880" s="2" t="str">
        <f t="shared" si="106"/>
        <v>Error?</v>
      </c>
    </row>
    <row r="6881" spans="1:4" x14ac:dyDescent="0.2">
      <c r="A6881">
        <v>6820</v>
      </c>
      <c r="B6881" s="138">
        <f>'Expenditures 15-22'!K22</f>
        <v>237623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10314</v>
      </c>
      <c r="D6983" s="2" t="str">
        <f t="shared" si="108"/>
        <v>Error?</v>
      </c>
    </row>
    <row r="6984" spans="1:4" x14ac:dyDescent="0.2">
      <c r="A6984">
        <v>6923</v>
      </c>
      <c r="B6984" s="138">
        <f>'Expenditures 15-22'!K86</f>
        <v>10314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9100</v>
      </c>
      <c r="D6987" s="2" t="str">
        <f t="shared" si="108"/>
        <v>Error?</v>
      </c>
    </row>
    <row r="6988" spans="1:4" x14ac:dyDescent="0.2">
      <c r="A6988">
        <v>6927</v>
      </c>
      <c r="B6988" s="138">
        <f>'Expenditures 15-22'!K88</f>
        <v>9100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19414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177994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178002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901</v>
      </c>
      <c r="D7073" s="2" t="str">
        <f t="shared" si="109"/>
        <v>Error?</v>
      </c>
    </row>
    <row r="7074" spans="1:4" x14ac:dyDescent="0.2">
      <c r="A7074">
        <v>7013</v>
      </c>
      <c r="B7074" s="138">
        <f>'Expenditures 15-22'!K216</f>
        <v>901</v>
      </c>
      <c r="D7074" s="2" t="str">
        <f t="shared" si="109"/>
        <v>Error?</v>
      </c>
    </row>
    <row r="7075" spans="1:4" x14ac:dyDescent="0.2">
      <c r="A7075">
        <v>7014</v>
      </c>
      <c r="B7075" s="138">
        <f>'Expenditures 15-22'!D218</f>
        <v>1797</v>
      </c>
      <c r="D7075" s="2" t="str">
        <f t="shared" si="109"/>
        <v>Error?</v>
      </c>
    </row>
    <row r="7076" spans="1:4" x14ac:dyDescent="0.2">
      <c r="A7076">
        <v>7015</v>
      </c>
      <c r="B7076" s="138">
        <f>'Expenditures 15-22'!K218</f>
        <v>1797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266</v>
      </c>
      <c r="D7079" s="2" t="str">
        <f t="shared" si="109"/>
        <v>Error?</v>
      </c>
    </row>
    <row r="7080" spans="1:4" x14ac:dyDescent="0.2">
      <c r="A7080">
        <v>7019</v>
      </c>
      <c r="B7080" s="138">
        <f>'Expenditures 15-22'!K226</f>
        <v>266</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9191</v>
      </c>
      <c r="D7093" s="2" t="str">
        <f t="shared" si="109"/>
        <v>Error?</v>
      </c>
    </row>
    <row r="7094" spans="1:4" x14ac:dyDescent="0.2">
      <c r="A7094">
        <v>7033</v>
      </c>
      <c r="B7094" s="138">
        <f>'Expenditures 15-22'!K254</f>
        <v>9191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23812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23812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8672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8672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42552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42552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75291</v>
      </c>
      <c r="D7172" s="2" t="str">
        <f t="shared" si="111"/>
        <v>Error?</v>
      </c>
    </row>
    <row r="7173" spans="1:4" x14ac:dyDescent="0.2">
      <c r="A7173">
        <v>7112</v>
      </c>
      <c r="B7173" s="138">
        <f>'Expenditures 15-22'!D325</f>
        <v>9589</v>
      </c>
      <c r="D7173" s="2" t="str">
        <f t="shared" si="111"/>
        <v>Error?</v>
      </c>
    </row>
    <row r="7174" spans="1:4" x14ac:dyDescent="0.2">
      <c r="A7174">
        <v>7113</v>
      </c>
      <c r="B7174" s="138">
        <f>'Expenditures 15-22'!E325</f>
        <v>8528</v>
      </c>
      <c r="D7174" s="2" t="str">
        <f t="shared" si="111"/>
        <v>Error?</v>
      </c>
    </row>
    <row r="7175" spans="1:4" x14ac:dyDescent="0.2">
      <c r="A7175">
        <v>7114</v>
      </c>
      <c r="B7175" s="138">
        <f>'Expenditures 15-22'!F325</f>
        <v>2292</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95700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7258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7258</v>
      </c>
      <c r="D7198" s="2" t="str">
        <f t="shared" si="111"/>
        <v>Error?</v>
      </c>
    </row>
    <row r="7199" spans="1:4" x14ac:dyDescent="0.2">
      <c r="A7199">
        <v>7138</v>
      </c>
      <c r="B7199" s="138">
        <f>'Expenditures 15-22'!C330</f>
        <v>75291</v>
      </c>
      <c r="D7199" s="2" t="str">
        <f t="shared" si="111"/>
        <v>Error?</v>
      </c>
    </row>
    <row r="7200" spans="1:4" x14ac:dyDescent="0.2">
      <c r="A7200">
        <v>7139</v>
      </c>
      <c r="B7200" s="138">
        <f>'Expenditures 15-22'!D330</f>
        <v>9589</v>
      </c>
      <c r="D7200" s="2" t="str">
        <f t="shared" si="111"/>
        <v>Error?</v>
      </c>
    </row>
    <row r="7201" spans="1:4" x14ac:dyDescent="0.2">
      <c r="A7201">
        <v>7140</v>
      </c>
      <c r="B7201" s="138">
        <f>'Expenditures 15-22'!E330</f>
        <v>90822</v>
      </c>
      <c r="D7201" s="2" t="str">
        <f t="shared" si="111"/>
        <v>Error?</v>
      </c>
    </row>
    <row r="7202" spans="1:4" x14ac:dyDescent="0.2">
      <c r="A7202">
        <v>7141</v>
      </c>
      <c r="B7202" s="138">
        <f>'Expenditures 15-22'!F330</f>
        <v>2292</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177994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75291</v>
      </c>
      <c r="D7216" s="2" t="str">
        <f t="shared" si="111"/>
        <v>Error?</v>
      </c>
    </row>
    <row r="7217" spans="1:4" x14ac:dyDescent="0.2">
      <c r="A7217">
        <v>7156</v>
      </c>
      <c r="B7217" s="138">
        <f>'Expenditures 15-22'!D342</f>
        <v>9589</v>
      </c>
      <c r="D7217" s="2" t="str">
        <f t="shared" si="111"/>
        <v>Error?</v>
      </c>
    </row>
    <row r="7218" spans="1:4" x14ac:dyDescent="0.2">
      <c r="A7218">
        <v>7157</v>
      </c>
      <c r="B7218" s="138">
        <f>'Expenditures 15-22'!E342</f>
        <v>90822</v>
      </c>
      <c r="D7218" s="2" t="str">
        <f t="shared" si="111"/>
        <v>Error?</v>
      </c>
    </row>
    <row r="7219" spans="1:4" x14ac:dyDescent="0.2">
      <c r="A7219">
        <v>7158</v>
      </c>
      <c r="B7219" s="138">
        <f>'Expenditures 15-22'!F342</f>
        <v>2292</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177994</v>
      </c>
      <c r="D7224" s="2" t="str">
        <f t="shared" si="111"/>
        <v>Error?</v>
      </c>
    </row>
    <row r="7225" spans="1:4" x14ac:dyDescent="0.2">
      <c r="A7225">
        <v>7164</v>
      </c>
      <c r="B7225" s="138">
        <f>'Expenditures 15-22'!K343</f>
        <v>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69</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60198</v>
      </c>
      <c r="D7251" s="2" t="str">
        <f t="shared" si="112"/>
        <v>Error?</v>
      </c>
    </row>
    <row r="7252" spans="1:4" x14ac:dyDescent="0.2">
      <c r="A7252">
        <f t="shared" si="113"/>
        <v>7191</v>
      </c>
      <c r="B7252" s="138">
        <f>'Expenditures 15-22'!D9</f>
        <v>13236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18382</v>
      </c>
      <c r="D7263" s="2" t="str">
        <f t="shared" si="112"/>
        <v>Error?</v>
      </c>
    </row>
    <row r="7264" spans="1:4" x14ac:dyDescent="0.2">
      <c r="A7264">
        <f t="shared" si="113"/>
        <v>7203</v>
      </c>
      <c r="B7264" s="138">
        <f>'Expenditures 15-22'!D17</f>
        <v>2344</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60642</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60642</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60642</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279409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7050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5835</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12885</v>
      </c>
      <c r="D7719" s="2" t="str">
        <f t="shared" si="126"/>
        <v>Error?</v>
      </c>
      <c r="E7719" s="2" t="s">
        <v>827</v>
      </c>
    </row>
    <row r="7720" spans="1:6" x14ac:dyDescent="0.2">
      <c r="A7720">
        <v>7659</v>
      </c>
      <c r="B7720" s="138">
        <f>'Rest Tax Levies-Tort Im 25'!H14</f>
        <v>31262</v>
      </c>
      <c r="D7720" s="2" t="str">
        <f t="shared" si="126"/>
        <v>Error?</v>
      </c>
      <c r="E7720" s="2" t="s">
        <v>827</v>
      </c>
    </row>
    <row r="7721" spans="1:6" x14ac:dyDescent="0.2">
      <c r="A7721">
        <v>7660</v>
      </c>
      <c r="B7721" s="138">
        <f>'Rest Tax Levies-Tort Im 25'!K14</f>
        <v>12885</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39137</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29'!D38</f>
        <v>403924</v>
      </c>
      <c r="D7797" s="2" t="str">
        <f t="shared" si="127"/>
        <v>Error?</v>
      </c>
      <c r="E7797" s="4" t="s">
        <v>1903</v>
      </c>
    </row>
    <row r="7798" spans="1:5" x14ac:dyDescent="0.2">
      <c r="A7798">
        <v>7737</v>
      </c>
      <c r="B7798" s="138">
        <f>'Contracts Paid in CY 29'!F38</f>
        <v>125000</v>
      </c>
      <c r="D7798" s="2" t="str">
        <f t="shared" si="127"/>
        <v>Error?</v>
      </c>
      <c r="E7798" s="4" t="s">
        <v>1903</v>
      </c>
    </row>
    <row r="7799" spans="1:5" x14ac:dyDescent="0.2">
      <c r="A7799">
        <v>7738</v>
      </c>
      <c r="B7799" s="138">
        <f>'Contracts Paid in CY 29'!G38</f>
        <v>278924</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391" t="s">
        <v>1191</v>
      </c>
      <c r="B2" s="2391"/>
      <c r="C2" s="2391"/>
      <c r="D2" s="2391"/>
      <c r="E2" s="2391"/>
      <c r="F2" s="2391"/>
      <c r="G2" s="2391"/>
      <c r="H2" s="2391"/>
      <c r="I2" s="2391"/>
      <c r="J2" s="2391"/>
      <c r="K2" s="2391"/>
      <c r="L2" s="2391"/>
    </row>
    <row r="3" spans="1:29" ht="13.5" customHeight="1" x14ac:dyDescent="0.2">
      <c r="A3" s="2422" t="s">
        <v>1190</v>
      </c>
      <c r="B3" s="2422"/>
      <c r="C3" s="2422"/>
      <c r="D3" s="2422"/>
      <c r="E3" s="2422"/>
      <c r="F3" s="2422"/>
      <c r="G3" s="2422"/>
      <c r="H3" s="2422"/>
      <c r="I3" s="2422"/>
      <c r="J3" s="2422"/>
      <c r="K3" s="2422"/>
      <c r="L3" s="2422"/>
    </row>
    <row r="4" spans="1:29" ht="13.5" customHeight="1" x14ac:dyDescent="0.2">
      <c r="A4" s="2391" t="s">
        <v>1987</v>
      </c>
      <c r="B4" s="2412"/>
      <c r="C4" s="2412"/>
      <c r="D4" s="2412"/>
      <c r="E4" s="2412"/>
      <c r="F4" s="2412"/>
      <c r="G4" s="2412"/>
      <c r="H4" s="2412"/>
      <c r="I4" s="2412"/>
      <c r="J4" s="2412"/>
      <c r="K4" s="2412"/>
      <c r="L4" s="2412"/>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413" t="str">
        <f>COVER!A17</f>
        <v>LEXINGTON CUSD 7</v>
      </c>
      <c r="B7" s="2414"/>
      <c r="C7" s="2414"/>
      <c r="D7" s="2415"/>
      <c r="E7" s="2416">
        <f>COVER!A13</f>
        <v>17064007026</v>
      </c>
      <c r="F7" s="2417"/>
      <c r="G7" s="2423" t="str">
        <f>COVER!T23</f>
        <v>066-003845</v>
      </c>
      <c r="H7" s="2424"/>
      <c r="I7" s="2424"/>
      <c r="J7" s="2424"/>
      <c r="K7" s="2424"/>
      <c r="L7" s="2425"/>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426"/>
      <c r="B9" s="2427"/>
      <c r="C9" s="2427"/>
      <c r="D9" s="2427"/>
      <c r="E9" s="2427"/>
      <c r="F9" s="2428"/>
      <c r="G9" s="2397" t="str">
        <f>COVER!T13</f>
        <v>MOSE, YOCKEY, BROWN &amp; KULL, LLC</v>
      </c>
      <c r="H9" s="2429"/>
      <c r="I9" s="2429"/>
      <c r="J9" s="2429"/>
      <c r="K9" s="2429"/>
      <c r="L9" s="2430"/>
    </row>
    <row r="10" spans="1:29" ht="13.5" customHeight="1" x14ac:dyDescent="0.2">
      <c r="A10" s="2403" t="str">
        <f>COVER!A38</f>
        <v>PAUL DETERS</v>
      </c>
      <c r="B10" s="2404"/>
      <c r="C10" s="2404"/>
      <c r="D10" s="2404"/>
      <c r="E10" s="2404"/>
      <c r="F10" s="2405"/>
      <c r="G10" s="2397" t="str">
        <f>COVER!T17</f>
        <v>230 N MORGAN, PO BOX 317</v>
      </c>
      <c r="H10" s="2398"/>
      <c r="I10" s="2398"/>
      <c r="J10" s="2398"/>
      <c r="K10" s="2398"/>
      <c r="L10" s="2399"/>
    </row>
    <row r="11" spans="1:29" ht="13.5" customHeight="1" x14ac:dyDescent="0.2">
      <c r="A11" s="1182" t="s">
        <v>1519</v>
      </c>
      <c r="B11" s="1183"/>
      <c r="C11" s="1184"/>
      <c r="D11" s="1189"/>
      <c r="E11" s="1184"/>
      <c r="F11" s="1188"/>
      <c r="G11" s="2397" t="str">
        <f>COVER!T19</f>
        <v>SHELBYVILLE</v>
      </c>
      <c r="H11" s="2398"/>
      <c r="I11" s="2398"/>
      <c r="J11" s="2398"/>
      <c r="K11" s="2398"/>
      <c r="L11" s="2399"/>
    </row>
    <row r="12" spans="1:29" ht="13.5" customHeight="1" x14ac:dyDescent="0.2">
      <c r="A12" s="2406" t="s">
        <v>1518</v>
      </c>
      <c r="B12" s="2407"/>
      <c r="C12" s="2407"/>
      <c r="D12" s="2407"/>
      <c r="E12" s="2407"/>
      <c r="F12" s="2408"/>
      <c r="G12" s="2400"/>
      <c r="H12" s="2401"/>
      <c r="I12" s="2401"/>
      <c r="J12" s="2401"/>
      <c r="K12" s="2401"/>
      <c r="L12" s="2402"/>
    </row>
    <row r="13" spans="1:29" ht="13.5" customHeight="1" x14ac:dyDescent="0.2">
      <c r="A13" s="2397"/>
      <c r="B13" s="2398"/>
      <c r="C13" s="2398"/>
      <c r="D13" s="2398"/>
      <c r="E13" s="2398"/>
      <c r="F13" s="2399"/>
      <c r="G13" s="2392" t="s">
        <v>1520</v>
      </c>
      <c r="H13" s="2393"/>
      <c r="I13" s="2409" t="str">
        <f>COVER!T25</f>
        <v>mybkcpas@consolidated.net</v>
      </c>
      <c r="J13" s="2410"/>
      <c r="K13" s="2410"/>
      <c r="L13" s="2411"/>
    </row>
    <row r="14" spans="1:29" ht="13.5" customHeight="1" x14ac:dyDescent="0.2">
      <c r="A14" s="2397" t="str">
        <f>COVER!A19</f>
        <v>100 E. WALL STREET</v>
      </c>
      <c r="B14" s="2398"/>
      <c r="C14" s="2398"/>
      <c r="D14" s="2398"/>
      <c r="E14" s="2398"/>
      <c r="F14" s="2399"/>
      <c r="G14" s="1193" t="s">
        <v>1185</v>
      </c>
      <c r="H14" s="1191"/>
      <c r="I14" s="1191"/>
      <c r="J14" s="1191"/>
      <c r="K14" s="1191"/>
      <c r="L14" s="1192"/>
    </row>
    <row r="15" spans="1:29" ht="13.5" customHeight="1" x14ac:dyDescent="0.2">
      <c r="A15" s="2397" t="str">
        <f>COVER!A21</f>
        <v>LEXINGTON</v>
      </c>
      <c r="B15" s="2398"/>
      <c r="C15" s="2398"/>
      <c r="D15" s="2398"/>
      <c r="E15" s="2398"/>
      <c r="F15" s="2399"/>
      <c r="G15" s="2394" t="str">
        <f>COVER!T15</f>
        <v>ROBIN R. YOCKEY</v>
      </c>
      <c r="H15" s="2395"/>
      <c r="I15" s="2395"/>
      <c r="J15" s="2395"/>
      <c r="K15" s="2395"/>
      <c r="L15" s="2396"/>
    </row>
    <row r="16" spans="1:29" ht="12.2" customHeight="1" x14ac:dyDescent="0.2">
      <c r="A16" s="2419">
        <f>COVER!A25</f>
        <v>61753</v>
      </c>
      <c r="B16" s="2420"/>
      <c r="C16" s="2420"/>
      <c r="D16" s="2420"/>
      <c r="E16" s="2420"/>
      <c r="F16" s="2421"/>
      <c r="G16" s="2431"/>
      <c r="H16" s="2432"/>
      <c r="I16" s="2432"/>
      <c r="J16" s="2432"/>
      <c r="K16" s="2432"/>
      <c r="L16" s="2433"/>
    </row>
    <row r="17" spans="1:13" ht="12.2" customHeight="1" x14ac:dyDescent="0.2">
      <c r="A17" s="2434"/>
      <c r="B17" s="2420"/>
      <c r="C17" s="2420"/>
      <c r="D17" s="2420"/>
      <c r="E17" s="2420"/>
      <c r="F17" s="2421"/>
      <c r="G17" s="1193" t="s">
        <v>1184</v>
      </c>
      <c r="H17" s="1191"/>
      <c r="I17" s="1191"/>
      <c r="J17" s="1191"/>
      <c r="K17" s="1195" t="s">
        <v>1183</v>
      </c>
      <c r="L17" s="1188"/>
      <c r="M17" s="1181"/>
    </row>
    <row r="18" spans="1:13" ht="12.2" customHeight="1" x14ac:dyDescent="0.2">
      <c r="A18" s="2403"/>
      <c r="B18" s="2404"/>
      <c r="C18" s="2404"/>
      <c r="D18" s="2404"/>
      <c r="E18" s="2404"/>
      <c r="F18" s="2405"/>
      <c r="G18" s="2413" t="str">
        <f>COVER!T21</f>
        <v>217-774-9587</v>
      </c>
      <c r="H18" s="2414"/>
      <c r="I18" s="2414"/>
      <c r="J18" s="2414"/>
      <c r="K18" s="2413" t="str">
        <f>COVER!X21</f>
        <v>217-774-9589</v>
      </c>
      <c r="L18" s="2418"/>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5" t="str">
        <f>'Single Audit Cover'!A7</f>
        <v>LEXINGTON CUSD 7</v>
      </c>
      <c r="B1" s="2412"/>
      <c r="C1" s="2412"/>
      <c r="D1" s="2412"/>
    </row>
    <row r="2" spans="1:11" s="1210" customFormat="1" ht="12.75" x14ac:dyDescent="0.2">
      <c r="A2" s="2436">
        <f>'Single Audit Cover'!E7</f>
        <v>17064007026</v>
      </c>
      <c r="B2" s="2437"/>
      <c r="C2" s="2437"/>
      <c r="D2" s="2437"/>
    </row>
    <row r="3" spans="1:11" s="1210" customFormat="1" ht="12.75" x14ac:dyDescent="0.2">
      <c r="A3" s="2435" t="s">
        <v>1513</v>
      </c>
      <c r="B3" s="2412"/>
      <c r="C3" s="2412"/>
      <c r="D3" s="2412"/>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9" t="str">
        <f>'Single Audit Cover'!A7</f>
        <v>LEXINGTON CUSD 7</v>
      </c>
      <c r="B1" s="2439"/>
      <c r="C1" s="2439"/>
      <c r="D1" s="2439"/>
      <c r="E1" s="2439"/>
    </row>
    <row r="2" spans="1:5" x14ac:dyDescent="0.2">
      <c r="A2" s="2440">
        <f>'Single Audit Cover'!E7</f>
        <v>17064007026</v>
      </c>
      <c r="B2" s="2440"/>
      <c r="C2" s="2440"/>
      <c r="D2" s="2440"/>
      <c r="E2" s="2440"/>
    </row>
    <row r="3" spans="1:5" ht="4.5" customHeight="1" x14ac:dyDescent="0.2"/>
    <row r="4" spans="1:5" x14ac:dyDescent="0.2">
      <c r="A4" s="2439" t="s">
        <v>1245</v>
      </c>
      <c r="B4" s="2439"/>
      <c r="C4" s="2439"/>
      <c r="D4" s="2439"/>
      <c r="E4" s="2439"/>
    </row>
    <row r="5" spans="1:5" x14ac:dyDescent="0.2">
      <c r="A5" s="2442" t="str">
        <f>'Single Audit Cover'!A4</f>
        <v>Year Ending June 30, 2019</v>
      </c>
      <c r="B5" s="2442"/>
      <c r="C5" s="2442"/>
      <c r="D5" s="2442"/>
      <c r="E5" s="2442"/>
    </row>
    <row r="6" spans="1:5" x14ac:dyDescent="0.2">
      <c r="A6" s="2439" t="s">
        <v>1244</v>
      </c>
      <c r="B6" s="2439"/>
      <c r="C6" s="2439"/>
      <c r="D6" s="2439"/>
      <c r="E6" s="2439"/>
    </row>
    <row r="8" spans="1:5" x14ac:dyDescent="0.2">
      <c r="A8" s="1255" t="s">
        <v>1243</v>
      </c>
    </row>
    <row r="10" spans="1:5" x14ac:dyDescent="0.2">
      <c r="A10" s="1256" t="s">
        <v>1242</v>
      </c>
      <c r="B10" s="1257" t="s">
        <v>1241</v>
      </c>
      <c r="C10" s="1257"/>
      <c r="D10" s="1258">
        <f>SUM('Acct Summary 7-8'!C7:K7)</f>
        <v>324918</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11097</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-19289</v>
      </c>
    </row>
    <row r="19" spans="1:4" ht="13.5" thickBot="1" x14ac:dyDescent="0.25">
      <c r="A19" s="1260" t="s">
        <v>1235</v>
      </c>
      <c r="D19" s="1261">
        <f>SUM(D10:D17)</f>
        <v>316726</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41"/>
      <c r="B24" s="2441"/>
      <c r="D24" s="1263"/>
    </row>
    <row r="25" spans="1:4" x14ac:dyDescent="0.2">
      <c r="A25" s="2438"/>
      <c r="B25" s="2438"/>
      <c r="D25" s="1263"/>
    </row>
    <row r="26" spans="1:4" x14ac:dyDescent="0.2">
      <c r="A26" s="2438"/>
      <c r="B26" s="2438"/>
      <c r="D26" s="1263"/>
    </row>
    <row r="27" spans="1:4" x14ac:dyDescent="0.2">
      <c r="A27" s="2438"/>
      <c r="B27" s="2438"/>
      <c r="D27" s="1263"/>
    </row>
    <row r="28" spans="1:4" x14ac:dyDescent="0.2">
      <c r="A28" s="2438"/>
      <c r="B28" s="2438"/>
      <c r="D28" s="1263"/>
    </row>
    <row r="29" spans="1:4" x14ac:dyDescent="0.2">
      <c r="A29" s="2438"/>
      <c r="B29" s="2438"/>
      <c r="D29" s="1263"/>
    </row>
    <row r="30" spans="1:4" x14ac:dyDescent="0.2">
      <c r="A30" s="2438"/>
      <c r="B30" s="2438"/>
      <c r="D30" s="1263"/>
    </row>
    <row r="32" spans="1:4" x14ac:dyDescent="0.2">
      <c r="A32" s="1255" t="s">
        <v>1233</v>
      </c>
      <c r="D32" s="1258">
        <f>SUM(D19:D30)</f>
        <v>316726</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8"/>
      <c r="B40" s="2438"/>
      <c r="D40" s="1263"/>
    </row>
    <row r="41" spans="1:4" x14ac:dyDescent="0.2">
      <c r="A41" s="2438"/>
      <c r="B41" s="2438"/>
      <c r="D41" s="1266"/>
    </row>
    <row r="42" spans="1:4" x14ac:dyDescent="0.2">
      <c r="A42" s="2438"/>
      <c r="B42" s="2438"/>
      <c r="D42" s="1266"/>
    </row>
    <row r="43" spans="1:4" x14ac:dyDescent="0.2">
      <c r="A43" s="2438"/>
      <c r="B43" s="2438"/>
      <c r="D43" s="1266"/>
    </row>
    <row r="44" spans="1:4" x14ac:dyDescent="0.2">
      <c r="A44" s="2438"/>
      <c r="B44" s="2438"/>
      <c r="D44" s="1266"/>
    </row>
    <row r="45" spans="1:4" x14ac:dyDescent="0.2">
      <c r="A45" s="2438"/>
      <c r="B45" s="2438"/>
      <c r="D45" s="1266"/>
    </row>
    <row r="47" spans="1:4" x14ac:dyDescent="0.2">
      <c r="B47" s="1267" t="s">
        <v>1227</v>
      </c>
      <c r="C47" s="1267"/>
      <c r="D47" s="1268">
        <f>SUM(D35:D45)</f>
        <v>0</v>
      </c>
    </row>
    <row r="49" spans="2:4" x14ac:dyDescent="0.2">
      <c r="B49" s="1267" t="s">
        <v>1226</v>
      </c>
      <c r="C49" s="1267"/>
      <c r="D49" s="1268">
        <f>D32-D47</f>
        <v>316726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422" t="str">
        <f>'Single Audit Cover'!A7</f>
        <v>LEXINGTON CUSD 7</v>
      </c>
      <c r="C1" s="2443"/>
      <c r="D1" s="2443"/>
      <c r="E1" s="2443"/>
      <c r="F1" s="2443"/>
      <c r="G1" s="2443"/>
      <c r="H1" s="2443"/>
      <c r="I1" s="2443"/>
      <c r="J1" s="2443"/>
      <c r="K1" s="2443"/>
      <c r="L1" s="2443"/>
      <c r="M1" s="2443"/>
    </row>
    <row r="2" spans="2:14" ht="15" x14ac:dyDescent="0.2">
      <c r="B2" s="2444">
        <f>'Single Audit Cover'!E7</f>
        <v>17064007026</v>
      </c>
      <c r="C2" s="2444"/>
      <c r="D2" s="2444"/>
      <c r="E2" s="2444"/>
      <c r="F2" s="2444"/>
      <c r="G2" s="2444"/>
      <c r="H2" s="2444"/>
      <c r="I2" s="2444"/>
      <c r="J2" s="2444"/>
      <c r="K2" s="2444"/>
      <c r="L2" s="2444"/>
      <c r="M2" s="2444"/>
      <c r="N2" s="1297"/>
    </row>
    <row r="3" spans="2:14" ht="15" x14ac:dyDescent="0.2">
      <c r="B3" s="2445" t="s">
        <v>1219</v>
      </c>
      <c r="C3" s="2445"/>
      <c r="D3" s="2445"/>
      <c r="E3" s="2445"/>
      <c r="F3" s="2445"/>
      <c r="G3" s="2445"/>
      <c r="H3" s="2445"/>
      <c r="I3" s="2445"/>
      <c r="J3" s="2445"/>
      <c r="K3" s="2445"/>
      <c r="L3" s="2445"/>
      <c r="M3" s="2445"/>
      <c r="N3" s="1297"/>
    </row>
    <row r="4" spans="2:14" ht="15" x14ac:dyDescent="0.2">
      <c r="B4" s="2446" t="str">
        <f>'Single Audit Cover'!A4</f>
        <v>Year Ending June 30, 2019</v>
      </c>
      <c r="C4" s="2446"/>
      <c r="D4" s="2446"/>
      <c r="E4" s="2446"/>
      <c r="F4" s="2446"/>
      <c r="G4" s="2446"/>
      <c r="H4" s="2446"/>
      <c r="I4" s="2446"/>
      <c r="J4" s="2446"/>
      <c r="K4" s="2446"/>
      <c r="L4" s="2446"/>
      <c r="M4" s="2446"/>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0"/>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LEXINGTON CUSD 7</v>
      </c>
      <c r="B1" s="2456"/>
      <c r="C1" s="2456"/>
      <c r="D1" s="2456"/>
      <c r="E1" s="2456"/>
      <c r="F1" s="2456"/>
    </row>
    <row r="2" spans="1:7" ht="13.5" customHeight="1" x14ac:dyDescent="0.2">
      <c r="A2" s="2444">
        <f>'Single Audit Cover'!E7</f>
        <v>17064007026</v>
      </c>
      <c r="B2" s="2444"/>
      <c r="C2" s="2444"/>
      <c r="D2" s="2444"/>
      <c r="E2" s="2444"/>
      <c r="F2" s="2444"/>
      <c r="G2" s="1270"/>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1" t="s">
        <v>1728</v>
      </c>
      <c r="C6" s="317"/>
      <c r="D6" s="317"/>
    </row>
    <row r="7" spans="1:7" ht="60.95" customHeight="1" x14ac:dyDescent="0.2">
      <c r="A7" s="2455" t="s">
        <v>1729</v>
      </c>
      <c r="B7" s="2455"/>
      <c r="C7" s="2455"/>
      <c r="D7" s="2455"/>
      <c r="E7" s="2455"/>
      <c r="F7" s="2455"/>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55" t="s">
        <v>1731</v>
      </c>
      <c r="B13" s="2455"/>
      <c r="C13" s="2455"/>
      <c r="D13" s="2455"/>
      <c r="E13" s="2455"/>
      <c r="F13" s="2455"/>
    </row>
    <row r="14" spans="1:7" ht="9.75" customHeight="1" x14ac:dyDescent="0.2">
      <c r="C14" s="1255"/>
      <c r="D14" s="1255"/>
    </row>
    <row r="15" spans="1:7" ht="13.5" customHeight="1" x14ac:dyDescent="0.2">
      <c r="C15" s="1839" t="s">
        <v>1270</v>
      </c>
      <c r="D15" s="2453" t="s">
        <v>1269</v>
      </c>
      <c r="E15" s="2453"/>
      <c r="F15" s="2453"/>
    </row>
    <row r="16" spans="1:7" ht="13.5" customHeight="1" x14ac:dyDescent="0.2">
      <c r="A16" s="1277"/>
      <c r="B16" s="1271" t="s">
        <v>1268</v>
      </c>
      <c r="C16" s="1839" t="s">
        <v>1267</v>
      </c>
      <c r="D16" s="2454" t="s">
        <v>1588</v>
      </c>
      <c r="E16" s="2454"/>
      <c r="F16" s="2454"/>
    </row>
    <row r="17" spans="1:6" ht="20.45" customHeight="1" x14ac:dyDescent="0.2">
      <c r="A17" s="1278"/>
      <c r="B17" s="1279"/>
      <c r="C17" s="1280"/>
      <c r="D17" s="2448"/>
      <c r="E17" s="2448"/>
      <c r="F17" s="2448"/>
    </row>
    <row r="18" spans="1:6" ht="20.65" customHeight="1" x14ac:dyDescent="0.2">
      <c r="A18" s="1278"/>
      <c r="B18" s="1279"/>
      <c r="C18" s="1280"/>
      <c r="D18" s="2448"/>
      <c r="E18" s="2448"/>
      <c r="F18" s="2448"/>
    </row>
    <row r="19" spans="1:6" ht="20.65" customHeight="1" x14ac:dyDescent="0.2">
      <c r="A19" s="1278"/>
      <c r="B19" s="1279"/>
      <c r="C19" s="1280"/>
      <c r="D19" s="2448"/>
      <c r="E19" s="2448"/>
      <c r="F19" s="2448"/>
    </row>
    <row r="20" spans="1:6" ht="20.65" customHeight="1" x14ac:dyDescent="0.2">
      <c r="A20" s="1278"/>
      <c r="B20" s="1279"/>
      <c r="C20" s="1280"/>
      <c r="D20" s="2448"/>
      <c r="E20" s="2448"/>
      <c r="F20" s="2448"/>
    </row>
    <row r="21" spans="1:6" ht="20.65" customHeight="1" x14ac:dyDescent="0.2">
      <c r="A21" s="1278"/>
      <c r="B21" s="1279"/>
      <c r="C21" s="1280"/>
      <c r="D21" s="2448"/>
      <c r="E21" s="2448"/>
      <c r="F21" s="2448"/>
    </row>
    <row r="22" spans="1:6" ht="20.65" customHeight="1" x14ac:dyDescent="0.2">
      <c r="A22" s="1278"/>
      <c r="B22" s="1279"/>
      <c r="C22" s="1280"/>
      <c r="D22" s="2448"/>
      <c r="E22" s="2448"/>
      <c r="F22" s="2448"/>
    </row>
    <row r="23" spans="1:6" ht="20.65" customHeight="1" x14ac:dyDescent="0.2">
      <c r="A23" s="1278"/>
      <c r="B23" s="1279"/>
      <c r="C23" s="1280"/>
      <c r="D23" s="2448"/>
      <c r="E23" s="2448"/>
      <c r="F23" s="2448"/>
    </row>
    <row r="24" spans="1:6" ht="20.65" customHeight="1" x14ac:dyDescent="0.2">
      <c r="A24" s="1278"/>
      <c r="B24" s="1279"/>
      <c r="C24" s="1280"/>
      <c r="D24" s="2448"/>
      <c r="E24" s="2448"/>
      <c r="F24" s="2448"/>
    </row>
    <row r="25" spans="1:6" ht="20.65" customHeight="1" x14ac:dyDescent="0.2">
      <c r="A25" s="1278"/>
      <c r="B25" s="1279"/>
      <c r="C25" s="1280"/>
      <c r="D25" s="2448"/>
      <c r="E25" s="2448"/>
      <c r="F25" s="2448"/>
    </row>
    <row r="26" spans="1:6" ht="20.65" customHeight="1" x14ac:dyDescent="0.2">
      <c r="A26" s="1278"/>
      <c r="B26" s="1279"/>
      <c r="C26" s="1280"/>
      <c r="D26" s="2448"/>
      <c r="E26" s="2448"/>
      <c r="F26" s="2448"/>
    </row>
    <row r="27" spans="1:6" ht="20.65" customHeight="1" x14ac:dyDescent="0.2">
      <c r="A27" s="1278"/>
      <c r="B27" s="1279"/>
      <c r="C27" s="1280"/>
      <c r="D27" s="2448"/>
      <c r="E27" s="2448"/>
      <c r="F27" s="2448"/>
    </row>
    <row r="28" spans="1:6" ht="20.65" customHeight="1" x14ac:dyDescent="0.2">
      <c r="A28" s="1278"/>
      <c r="B28" s="1279"/>
      <c r="C28" s="1280"/>
      <c r="D28" s="2448"/>
      <c r="E28" s="2448"/>
      <c r="F28" s="2448"/>
    </row>
    <row r="29" spans="1:6" ht="20.65" customHeight="1" x14ac:dyDescent="0.2">
      <c r="A29" s="1278"/>
      <c r="B29" s="1279"/>
      <c r="C29" s="1280"/>
      <c r="D29" s="2448"/>
      <c r="E29" s="2448"/>
      <c r="F29" s="2448"/>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9" t="s">
        <v>1732</v>
      </c>
      <c r="B32" s="2449"/>
      <c r="C32" s="2449"/>
      <c r="D32" s="2449"/>
      <c r="E32" s="2449"/>
      <c r="F32" s="2449"/>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50">
        <f>+C33+C34</f>
        <v>0</v>
      </c>
      <c r="F34" s="2451"/>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2" t="s">
        <v>1590</v>
      </c>
      <c r="C49" s="2452"/>
      <c r="D49" s="2452"/>
      <c r="E49" s="1394"/>
    </row>
    <row r="50" spans="1:5" s="1295" customFormat="1" ht="3.75" customHeight="1" x14ac:dyDescent="0.2">
      <c r="A50" s="1294"/>
      <c r="B50" s="1838"/>
      <c r="C50" s="1838"/>
      <c r="D50" s="1838"/>
      <c r="E50" s="1394"/>
    </row>
    <row r="51" spans="1:5" s="1295" customFormat="1" ht="20.25" customHeight="1" x14ac:dyDescent="0.2">
      <c r="A51" s="1296">
        <v>6</v>
      </c>
      <c r="B51" s="2447" t="s">
        <v>1551</v>
      </c>
      <c r="C51" s="2447"/>
      <c r="D51" s="2447"/>
    </row>
    <row r="52" spans="1:5" ht="14.25" customHeight="1" x14ac:dyDescent="0.2">
      <c r="A52" s="1296"/>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7"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LEXINGTON CUSD 7</v>
      </c>
      <c r="C1" s="2471"/>
      <c r="D1" s="2471"/>
      <c r="E1" s="2471"/>
      <c r="F1" s="2471"/>
      <c r="G1" s="2471"/>
      <c r="H1" s="2471"/>
      <c r="I1" s="2471"/>
      <c r="J1" s="1404"/>
    </row>
    <row r="2" spans="2:10" s="317" customFormat="1" ht="12.75" customHeight="1" x14ac:dyDescent="0.2">
      <c r="B2" s="2472">
        <f>'Single Audit Cover'!E7</f>
        <v>17064007026</v>
      </c>
      <c r="C2" s="2473"/>
      <c r="D2" s="2473"/>
      <c r="E2" s="2473"/>
      <c r="F2" s="2473"/>
      <c r="G2" s="2473"/>
      <c r="H2" s="2473"/>
      <c r="I2" s="2473"/>
      <c r="J2" s="1404"/>
    </row>
    <row r="3" spans="2:10" s="317" customFormat="1" ht="12.75" customHeight="1" x14ac:dyDescent="0.2">
      <c r="B3" s="2474" t="s">
        <v>1285</v>
      </c>
      <c r="C3" s="2475"/>
      <c r="D3" s="2475"/>
      <c r="E3" s="2475"/>
      <c r="F3" s="2475"/>
      <c r="G3" s="2475"/>
      <c r="H3" s="2475"/>
      <c r="I3" s="2475"/>
      <c r="J3" s="1405"/>
    </row>
    <row r="4" spans="2:10" s="317" customFormat="1" ht="12.75" customHeight="1" x14ac:dyDescent="0.2">
      <c r="B4" s="2474" t="str">
        <f>'Single Audit Cover'!A4</f>
        <v>Year Ending June 30, 2019</v>
      </c>
      <c r="C4" s="2475"/>
      <c r="D4" s="2475"/>
      <c r="E4" s="2475"/>
      <c r="F4" s="2475"/>
      <c r="G4" s="2475"/>
      <c r="H4" s="2475"/>
      <c r="I4" s="2475"/>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74" t="s">
        <v>1284</v>
      </c>
      <c r="C7" s="2475"/>
      <c r="D7" s="2475"/>
      <c r="E7" s="2475"/>
      <c r="F7" s="2475"/>
      <c r="G7" s="2475"/>
      <c r="H7" s="2475"/>
      <c r="I7" s="2475"/>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76"/>
      <c r="D11" s="2476"/>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77"/>
      <c r="E29" s="2477"/>
      <c r="F29" s="2477"/>
      <c r="G29" s="2477"/>
      <c r="H29" s="2477"/>
      <c r="I29" s="2477"/>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78" t="s">
        <v>1751</v>
      </c>
      <c r="D37" s="2479"/>
      <c r="E37" s="2479"/>
      <c r="F37" s="2480"/>
      <c r="G37" s="2478" t="s">
        <v>1592</v>
      </c>
      <c r="H37" s="2479"/>
      <c r="I37" s="2480"/>
    </row>
    <row r="38" spans="2:9" ht="16.5" customHeight="1" x14ac:dyDescent="0.2">
      <c r="B38" s="1426"/>
      <c r="C38" s="2466"/>
      <c r="D38" s="2467"/>
      <c r="E38" s="2467"/>
      <c r="F38" s="2468"/>
      <c r="G38" s="2481"/>
      <c r="H38" s="2482"/>
      <c r="I38" s="2483"/>
    </row>
    <row r="39" spans="2:9" ht="16.5" customHeight="1" x14ac:dyDescent="0.2">
      <c r="B39" s="1426"/>
      <c r="C39" s="2466"/>
      <c r="D39" s="2467"/>
      <c r="E39" s="2467"/>
      <c r="F39" s="2468"/>
      <c r="G39" s="2469"/>
      <c r="H39" s="2469"/>
      <c r="I39" s="2469"/>
    </row>
    <row r="40" spans="2:9" ht="16.5" customHeight="1" x14ac:dyDescent="0.2">
      <c r="B40" s="1426"/>
      <c r="C40" s="2466"/>
      <c r="D40" s="2467"/>
      <c r="E40" s="2467"/>
      <c r="F40" s="2468"/>
      <c r="G40" s="2469"/>
      <c r="H40" s="2469"/>
      <c r="I40" s="2469"/>
    </row>
    <row r="41" spans="2:9" ht="16.5" customHeight="1" x14ac:dyDescent="0.2">
      <c r="B41" s="1426"/>
      <c r="C41" s="2466"/>
      <c r="D41" s="2467"/>
      <c r="E41" s="2467"/>
      <c r="F41" s="2468"/>
      <c r="G41" s="2469"/>
      <c r="H41" s="2469"/>
      <c r="I41" s="2469"/>
    </row>
    <row r="42" spans="2:9" ht="16.5" customHeight="1" x14ac:dyDescent="0.2">
      <c r="B42" s="1426"/>
      <c r="C42" s="2466"/>
      <c r="D42" s="2467"/>
      <c r="E42" s="2467"/>
      <c r="F42" s="2468"/>
      <c r="G42" s="2469"/>
      <c r="H42" s="2469"/>
      <c r="I42" s="2469"/>
    </row>
    <row r="43" spans="2:9" ht="16.5" customHeight="1" x14ac:dyDescent="0.2">
      <c r="B43" s="1426"/>
      <c r="C43" s="2459" t="s">
        <v>1593</v>
      </c>
      <c r="D43" s="2460"/>
      <c r="E43" s="2460"/>
      <c r="F43" s="2461"/>
      <c r="G43" s="2462">
        <f>SUM(G38:I42)</f>
        <v>0</v>
      </c>
      <c r="H43" s="2462"/>
      <c r="I43" s="2462"/>
    </row>
    <row r="44" spans="2:9" ht="12.75" customHeight="1" x14ac:dyDescent="0.2"/>
    <row r="45" spans="2:9" ht="12.75" customHeight="1" x14ac:dyDescent="0.2">
      <c r="B45" s="1417" t="s">
        <v>2062</v>
      </c>
      <c r="D45" s="2463">
        <v>0</v>
      </c>
      <c r="E45" s="2464"/>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65"/>
      <c r="F49" s="2465"/>
      <c r="G49" s="2465"/>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A10" sqref="A1:XFD104857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LEXINGTON CUSD 7</v>
      </c>
      <c r="C1" s="2470"/>
      <c r="D1" s="2470"/>
      <c r="E1" s="2470"/>
      <c r="F1" s="2470"/>
      <c r="G1" s="2470"/>
      <c r="H1" s="2470"/>
      <c r="I1" s="2470"/>
      <c r="J1" s="2470"/>
      <c r="K1" s="2470"/>
      <c r="L1" s="1369"/>
      <c r="M1" s="1369"/>
    </row>
    <row r="2" spans="1:13" ht="12" customHeight="1" x14ac:dyDescent="0.2">
      <c r="B2" s="2472">
        <f>'Single Audit Cover'!E7</f>
        <v>17064007026</v>
      </c>
      <c r="C2" s="2472"/>
      <c r="D2" s="2472"/>
      <c r="E2" s="2472"/>
      <c r="F2" s="2472"/>
      <c r="G2" s="2472"/>
      <c r="H2" s="2472"/>
      <c r="I2" s="2472"/>
      <c r="J2" s="2472"/>
      <c r="K2" s="2472"/>
      <c r="L2" s="1370"/>
      <c r="M2" s="1371"/>
    </row>
    <row r="3" spans="1:13" ht="10.35" customHeight="1" x14ac:dyDescent="0.2">
      <c r="B3" s="2486" t="s">
        <v>1285</v>
      </c>
      <c r="C3" s="2486"/>
      <c r="D3" s="2486"/>
      <c r="E3" s="2486"/>
      <c r="F3" s="2486"/>
      <c r="G3" s="2486"/>
      <c r="H3" s="2486"/>
      <c r="I3" s="2486"/>
      <c r="J3" s="2486"/>
      <c r="K3" s="2486"/>
      <c r="L3" s="1372"/>
      <c r="M3" s="1372"/>
    </row>
    <row r="4" spans="1:13" ht="14.25" customHeight="1" x14ac:dyDescent="0.2">
      <c r="B4" s="2487" t="str">
        <f>'Single Audit Cover'!A4</f>
        <v>Year Ending June 30, 2019</v>
      </c>
      <c r="C4" s="2487"/>
      <c r="D4" s="2487"/>
      <c r="E4" s="2487"/>
      <c r="F4" s="2487"/>
      <c r="G4" s="2487"/>
      <c r="H4" s="2487"/>
      <c r="I4" s="2487"/>
      <c r="J4" s="2487"/>
      <c r="K4" s="248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7" t="s">
        <v>1296</v>
      </c>
      <c r="C7" s="2487"/>
      <c r="D7" s="2488"/>
      <c r="E7" s="2488"/>
      <c r="F7" s="2488"/>
      <c r="G7" s="2488"/>
      <c r="H7" s="2488"/>
      <c r="I7" s="2488"/>
      <c r="J7" s="2488"/>
      <c r="K7" s="248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c r="H10" s="1384" t="s">
        <v>1294</v>
      </c>
      <c r="I10" s="1383" t="s">
        <v>2065</v>
      </c>
      <c r="J10" s="1385" t="s">
        <v>1293</v>
      </c>
      <c r="K10" s="322"/>
      <c r="L10" s="1376"/>
    </row>
    <row r="11" spans="1:13" ht="13.5" customHeight="1" x14ac:dyDescent="0.2">
      <c r="B11" s="322"/>
      <c r="C11" s="322"/>
      <c r="D11" s="322"/>
      <c r="E11" s="322"/>
      <c r="F11" s="322"/>
      <c r="G11" s="1378"/>
      <c r="H11" s="322"/>
      <c r="I11" s="1386" t="s">
        <v>1292</v>
      </c>
      <c r="J11" s="322"/>
      <c r="K11" s="1387">
        <v>2012</v>
      </c>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5" t="s">
        <v>2140</v>
      </c>
      <c r="C14" s="2485"/>
      <c r="D14" s="2485"/>
      <c r="E14" s="2485"/>
      <c r="F14" s="2485"/>
      <c r="G14" s="2485"/>
      <c r="H14" s="2485"/>
      <c r="I14" s="2485"/>
      <c r="J14" s="2485"/>
      <c r="K14" s="248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5" t="s">
        <v>2141</v>
      </c>
      <c r="C17" s="2485"/>
      <c r="D17" s="2485"/>
      <c r="E17" s="2485"/>
      <c r="F17" s="2485"/>
      <c r="G17" s="2485"/>
      <c r="H17" s="2485"/>
      <c r="I17" s="2485"/>
      <c r="J17" s="2485"/>
      <c r="K17" s="248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9" t="s">
        <v>2146</v>
      </c>
      <c r="C20" s="2489"/>
      <c r="D20" s="2485"/>
      <c r="E20" s="2485"/>
      <c r="F20" s="2485"/>
      <c r="G20" s="2485"/>
      <c r="H20" s="2485"/>
      <c r="I20" s="2485"/>
      <c r="J20" s="2485"/>
      <c r="K20" s="248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5" t="s">
        <v>2142</v>
      </c>
      <c r="C23" s="2485"/>
      <c r="D23" s="2485"/>
      <c r="E23" s="2485"/>
      <c r="F23" s="2485"/>
      <c r="G23" s="2485"/>
      <c r="H23" s="2485"/>
      <c r="I23" s="2485"/>
      <c r="J23" s="2485"/>
      <c r="K23" s="248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5" t="s">
        <v>2143</v>
      </c>
      <c r="C26" s="2485"/>
      <c r="D26" s="2485"/>
      <c r="E26" s="2485"/>
      <c r="F26" s="2485"/>
      <c r="G26" s="2485"/>
      <c r="H26" s="2485"/>
      <c r="I26" s="2485"/>
      <c r="J26" s="2485"/>
      <c r="K26" s="248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4" t="s">
        <v>2144</v>
      </c>
      <c r="C29" s="2484"/>
      <c r="D29" s="2485"/>
      <c r="E29" s="2485"/>
      <c r="F29" s="2485"/>
      <c r="G29" s="2485"/>
      <c r="H29" s="2485"/>
      <c r="I29" s="2485"/>
      <c r="J29" s="2485"/>
      <c r="K29" s="248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4" t="s">
        <v>2145</v>
      </c>
      <c r="C32" s="2484"/>
      <c r="D32" s="2485"/>
      <c r="E32" s="2485"/>
      <c r="F32" s="2485"/>
      <c r="G32" s="2485"/>
      <c r="H32" s="2485"/>
      <c r="I32" s="2485"/>
      <c r="J32" s="2485"/>
      <c r="K32" s="248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41"/>
  <sheetViews>
    <sheetView showGridLines="0" topLeftCell="A15" workbookViewId="0">
      <selection activeCell="B29" sqref="B29:K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LEXINGTON CUSD 7</v>
      </c>
      <c r="C1" s="2470"/>
      <c r="D1" s="2470"/>
      <c r="E1" s="2470"/>
      <c r="F1" s="2470"/>
      <c r="G1" s="2470"/>
      <c r="H1" s="2470"/>
      <c r="I1" s="2470"/>
      <c r="J1" s="2470"/>
      <c r="K1" s="2470"/>
      <c r="L1" s="1369"/>
      <c r="M1" s="1369"/>
    </row>
    <row r="2" spans="1:13" ht="12" customHeight="1" x14ac:dyDescent="0.2">
      <c r="B2" s="2472">
        <f>'Single Audit Cover'!E7</f>
        <v>17064007026</v>
      </c>
      <c r="C2" s="2472"/>
      <c r="D2" s="2472"/>
      <c r="E2" s="2472"/>
      <c r="F2" s="2472"/>
      <c r="G2" s="2472"/>
      <c r="H2" s="2472"/>
      <c r="I2" s="2472"/>
      <c r="J2" s="2472"/>
      <c r="K2" s="2472"/>
      <c r="L2" s="1370"/>
      <c r="M2" s="1371"/>
    </row>
    <row r="3" spans="1:13" ht="10.35" customHeight="1" x14ac:dyDescent="0.2">
      <c r="B3" s="2486" t="s">
        <v>1285</v>
      </c>
      <c r="C3" s="2486"/>
      <c r="D3" s="2486"/>
      <c r="E3" s="2486"/>
      <c r="F3" s="2486"/>
      <c r="G3" s="2486"/>
      <c r="H3" s="2486"/>
      <c r="I3" s="2486"/>
      <c r="J3" s="2486"/>
      <c r="K3" s="2486"/>
      <c r="L3" s="1943"/>
      <c r="M3" s="1943"/>
    </row>
    <row r="4" spans="1:13" ht="14.25" customHeight="1" x14ac:dyDescent="0.2">
      <c r="B4" s="2487" t="str">
        <f>'Single Audit Cover'!A4</f>
        <v>Year Ending June 30, 2019</v>
      </c>
      <c r="C4" s="2487"/>
      <c r="D4" s="2487"/>
      <c r="E4" s="2487"/>
      <c r="F4" s="2487"/>
      <c r="G4" s="2487"/>
      <c r="H4" s="2487"/>
      <c r="I4" s="2487"/>
      <c r="J4" s="2487"/>
      <c r="K4" s="248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7" t="s">
        <v>1296</v>
      </c>
      <c r="C7" s="2487"/>
      <c r="D7" s="2488"/>
      <c r="E7" s="2488"/>
      <c r="F7" s="2488"/>
      <c r="G7" s="2488"/>
      <c r="H7" s="2488"/>
      <c r="I7" s="2488"/>
      <c r="J7" s="2488"/>
      <c r="K7" s="248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5" t="s">
        <v>2148</v>
      </c>
      <c r="C14" s="2485"/>
      <c r="D14" s="2485"/>
      <c r="E14" s="2485"/>
      <c r="F14" s="2485"/>
      <c r="G14" s="2485"/>
      <c r="H14" s="2485"/>
      <c r="I14" s="2485"/>
      <c r="J14" s="2485"/>
      <c r="K14" s="248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5" t="s">
        <v>2149</v>
      </c>
      <c r="C17" s="2485"/>
      <c r="D17" s="2485"/>
      <c r="E17" s="2485"/>
      <c r="F17" s="2485"/>
      <c r="G17" s="2485"/>
      <c r="H17" s="2485"/>
      <c r="I17" s="2485"/>
      <c r="J17" s="2485"/>
      <c r="K17" s="248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9" t="s">
        <v>2150</v>
      </c>
      <c r="C20" s="2489"/>
      <c r="D20" s="2485"/>
      <c r="E20" s="2485"/>
      <c r="F20" s="2485"/>
      <c r="G20" s="2485"/>
      <c r="H20" s="2485"/>
      <c r="I20" s="2485"/>
      <c r="J20" s="2485"/>
      <c r="K20" s="248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5" t="s">
        <v>2147</v>
      </c>
      <c r="C23" s="2485"/>
      <c r="D23" s="2485"/>
      <c r="E23" s="2485"/>
      <c r="F23" s="2485"/>
      <c r="G23" s="2485"/>
      <c r="H23" s="2485"/>
      <c r="I23" s="2485"/>
      <c r="J23" s="2485"/>
      <c r="K23" s="248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33" customHeight="1" x14ac:dyDescent="0.2">
      <c r="B26" s="2485" t="s">
        <v>2151</v>
      </c>
      <c r="C26" s="2485"/>
      <c r="D26" s="2485"/>
      <c r="E26" s="2485"/>
      <c r="F26" s="2485"/>
      <c r="G26" s="2485"/>
      <c r="H26" s="2485"/>
      <c r="I26" s="2485"/>
      <c r="J26" s="2485"/>
      <c r="K26" s="248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57.75" customHeight="1" x14ac:dyDescent="0.2">
      <c r="B29" s="2484" t="s">
        <v>2153</v>
      </c>
      <c r="C29" s="2484"/>
      <c r="D29" s="2485"/>
      <c r="E29" s="2485"/>
      <c r="F29" s="2485"/>
      <c r="G29" s="2485"/>
      <c r="H29" s="2485"/>
      <c r="I29" s="2485"/>
      <c r="J29" s="2485"/>
      <c r="K29" s="248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4" t="s">
        <v>2152</v>
      </c>
      <c r="C32" s="2484"/>
      <c r="D32" s="2485"/>
      <c r="E32" s="2485"/>
      <c r="F32" s="2485"/>
      <c r="G32" s="2485"/>
      <c r="H32" s="2485"/>
      <c r="I32" s="2485"/>
      <c r="J32" s="2485"/>
      <c r="K32" s="248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workbookViewId="0">
      <selection activeCell="Y29" sqref="Y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LEXINGTON CUSD 7</v>
      </c>
      <c r="C1" s="2470"/>
      <c r="D1" s="2470"/>
      <c r="E1" s="2470"/>
      <c r="F1" s="2470"/>
      <c r="G1" s="2470"/>
      <c r="H1" s="2470"/>
      <c r="I1" s="2470"/>
      <c r="J1" s="2470"/>
      <c r="K1" s="2470"/>
      <c r="L1" s="1369"/>
      <c r="M1" s="1369"/>
    </row>
    <row r="2" spans="1:13" ht="12" customHeight="1" x14ac:dyDescent="0.2">
      <c r="B2" s="2472">
        <f>'Single Audit Cover'!E7</f>
        <v>17064007026</v>
      </c>
      <c r="C2" s="2472"/>
      <c r="D2" s="2472"/>
      <c r="E2" s="2472"/>
      <c r="F2" s="2472"/>
      <c r="G2" s="2472"/>
      <c r="H2" s="2472"/>
      <c r="I2" s="2472"/>
      <c r="J2" s="2472"/>
      <c r="K2" s="2472"/>
      <c r="L2" s="1370"/>
      <c r="M2" s="1371"/>
    </row>
    <row r="3" spans="1:13" ht="10.35" customHeight="1" x14ac:dyDescent="0.2">
      <c r="B3" s="2486" t="s">
        <v>1285</v>
      </c>
      <c r="C3" s="2486"/>
      <c r="D3" s="2486"/>
      <c r="E3" s="2486"/>
      <c r="F3" s="2486"/>
      <c r="G3" s="2486"/>
      <c r="H3" s="2486"/>
      <c r="I3" s="2486"/>
      <c r="J3" s="2486"/>
      <c r="K3" s="2486"/>
      <c r="L3" s="1942"/>
      <c r="M3" s="1942"/>
    </row>
    <row r="4" spans="1:13" ht="14.25" customHeight="1" x14ac:dyDescent="0.2">
      <c r="B4" s="2487" t="str">
        <f>'Single Audit Cover'!A4</f>
        <v>Year Ending June 30, 2019</v>
      </c>
      <c r="C4" s="2487"/>
      <c r="D4" s="2487"/>
      <c r="E4" s="2487"/>
      <c r="F4" s="2487"/>
      <c r="G4" s="2487"/>
      <c r="H4" s="2487"/>
      <c r="I4" s="2487"/>
      <c r="J4" s="2487"/>
      <c r="K4" s="2487"/>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7" t="s">
        <v>1296</v>
      </c>
      <c r="C7" s="2487"/>
      <c r="D7" s="2488"/>
      <c r="E7" s="2488"/>
      <c r="F7" s="2488"/>
      <c r="G7" s="2488"/>
      <c r="H7" s="2488"/>
      <c r="I7" s="2488"/>
      <c r="J7" s="2488"/>
      <c r="K7" s="2488"/>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c r="E10" s="322"/>
      <c r="F10" s="1382" t="s">
        <v>1295</v>
      </c>
      <c r="G10" s="1383"/>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5"/>
      <c r="C14" s="2485"/>
      <c r="D14" s="2485"/>
      <c r="E14" s="2485"/>
      <c r="F14" s="2485"/>
      <c r="G14" s="2485"/>
      <c r="H14" s="2485"/>
      <c r="I14" s="2485"/>
      <c r="J14" s="2485"/>
      <c r="K14" s="248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5"/>
      <c r="C17" s="2485"/>
      <c r="D17" s="2485"/>
      <c r="E17" s="2485"/>
      <c r="F17" s="2485"/>
      <c r="G17" s="2485"/>
      <c r="H17" s="2485"/>
      <c r="I17" s="2485"/>
      <c r="J17" s="2485"/>
      <c r="K17" s="248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9"/>
      <c r="C20" s="2489"/>
      <c r="D20" s="2485"/>
      <c r="E20" s="2485"/>
      <c r="F20" s="2485"/>
      <c r="G20" s="2485"/>
      <c r="H20" s="2485"/>
      <c r="I20" s="2485"/>
      <c r="J20" s="2485"/>
      <c r="K20" s="248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5"/>
      <c r="C23" s="2485"/>
      <c r="D23" s="2485"/>
      <c r="E23" s="2485"/>
      <c r="F23" s="2485"/>
      <c r="G23" s="2485"/>
      <c r="H23" s="2485"/>
      <c r="I23" s="2485"/>
      <c r="J23" s="2485"/>
      <c r="K23" s="248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5"/>
      <c r="C26" s="2485"/>
      <c r="D26" s="2485"/>
      <c r="E26" s="2485"/>
      <c r="F26" s="2485"/>
      <c r="G26" s="2485"/>
      <c r="H26" s="2485"/>
      <c r="I26" s="2485"/>
      <c r="J26" s="2485"/>
      <c r="K26" s="248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4"/>
      <c r="C29" s="2484"/>
      <c r="D29" s="2485"/>
      <c r="E29" s="2485"/>
      <c r="F29" s="2485"/>
      <c r="G29" s="2485"/>
      <c r="H29" s="2485"/>
      <c r="I29" s="2485"/>
      <c r="J29" s="2485"/>
      <c r="K29" s="2485"/>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84"/>
      <c r="C32" s="2484"/>
      <c r="D32" s="2485"/>
      <c r="E32" s="2485"/>
      <c r="F32" s="2485"/>
      <c r="G32" s="2485"/>
      <c r="H32" s="2485"/>
      <c r="I32" s="2485"/>
      <c r="J32" s="2485"/>
      <c r="K32" s="2485"/>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activeCell="W14" sqref="W1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LEXINGTON CUSD 7</v>
      </c>
      <c r="C1" s="2493"/>
      <c r="D1" s="2493"/>
      <c r="E1" s="2493"/>
      <c r="F1" s="2493"/>
      <c r="G1" s="2493"/>
      <c r="H1" s="2493"/>
      <c r="I1" s="2493"/>
      <c r="J1" s="2493"/>
      <c r="K1" s="2493"/>
      <c r="L1" s="1447"/>
    </row>
    <row r="2" spans="1:12" ht="12.75" customHeight="1" x14ac:dyDescent="0.2">
      <c r="B2" s="2494">
        <f>'Single Audit Cover'!E7</f>
        <v>17064007026</v>
      </c>
      <c r="C2" s="2494"/>
      <c r="D2" s="2494"/>
      <c r="E2" s="2494"/>
      <c r="F2" s="2494"/>
      <c r="G2" s="2494"/>
      <c r="H2" s="2494"/>
      <c r="I2" s="2494"/>
      <c r="J2" s="2494"/>
      <c r="K2" s="2494"/>
      <c r="L2" s="1448"/>
    </row>
    <row r="3" spans="1:12" ht="12.75" customHeight="1" x14ac:dyDescent="0.2">
      <c r="B3" s="2486" t="s">
        <v>1285</v>
      </c>
      <c r="C3" s="2486"/>
      <c r="D3" s="2486"/>
      <c r="E3" s="2486"/>
      <c r="F3" s="2486"/>
      <c r="G3" s="2486"/>
      <c r="H3" s="2486"/>
      <c r="I3" s="2486"/>
      <c r="J3" s="2486"/>
      <c r="K3" s="2486"/>
      <c r="L3" s="1372"/>
    </row>
    <row r="4" spans="1:12" ht="12.75" customHeight="1" x14ac:dyDescent="0.2">
      <c r="B4" s="2486" t="str">
        <f>'Single Audit Cover'!A4</f>
        <v>Year Ending June 30, 2019</v>
      </c>
      <c r="C4" s="2486"/>
      <c r="D4" s="2486"/>
      <c r="E4" s="2486"/>
      <c r="F4" s="2486"/>
      <c r="G4" s="2486"/>
      <c r="H4" s="2486"/>
      <c r="I4" s="2486"/>
      <c r="J4" s="2486"/>
      <c r="K4" s="2486"/>
      <c r="L4" s="1372"/>
    </row>
    <row r="5" spans="1:12" ht="5.25" customHeight="1" x14ac:dyDescent="0.2">
      <c r="B5" s="1255" t="s">
        <v>1169</v>
      </c>
      <c r="C5" s="1255"/>
      <c r="L5" s="322"/>
    </row>
    <row r="6" spans="1:12" ht="30.75" customHeight="1" x14ac:dyDescent="0.2">
      <c r="A6" s="322"/>
      <c r="B6" s="2495" t="s">
        <v>1308</v>
      </c>
      <c r="C6" s="2495"/>
      <c r="D6" s="2495"/>
      <c r="E6" s="2495"/>
      <c r="F6" s="2495"/>
      <c r="G6" s="2495"/>
      <c r="H6" s="2495"/>
      <c r="I6" s="2495"/>
      <c r="J6" s="2495"/>
      <c r="K6" s="2495"/>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77"/>
      <c r="G12" s="2477"/>
      <c r="H12" s="2477"/>
      <c r="I12" s="2477"/>
      <c r="J12" s="2477"/>
      <c r="K12" s="2477"/>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0"/>
      <c r="E14" s="2490"/>
      <c r="F14" s="2490"/>
      <c r="H14" s="1457" t="s">
        <v>1303</v>
      </c>
      <c r="I14" s="2491"/>
      <c r="J14" s="2491"/>
      <c r="K14" s="2491"/>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1"/>
      <c r="E16" s="2491"/>
      <c r="F16" s="2491"/>
      <c r="G16" s="2491"/>
      <c r="H16" s="2491"/>
      <c r="I16" s="2491"/>
      <c r="J16" s="2491"/>
      <c r="K16" s="2491"/>
      <c r="L16" s="322"/>
    </row>
    <row r="17" spans="2:12" ht="13.5" customHeight="1" x14ac:dyDescent="0.2">
      <c r="B17" s="1382" t="s">
        <v>1301</v>
      </c>
      <c r="C17" s="1382"/>
      <c r="D17" s="2492"/>
      <c r="E17" s="2492"/>
      <c r="F17" s="2492"/>
      <c r="G17" s="2492"/>
      <c r="H17" s="2492"/>
      <c r="I17" s="2492"/>
      <c r="J17" s="2492"/>
      <c r="K17" s="2492"/>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5"/>
      <c r="C20" s="2485"/>
      <c r="D20" s="2485"/>
      <c r="E20" s="2485"/>
      <c r="F20" s="2485"/>
      <c r="G20" s="2485"/>
      <c r="H20" s="2485"/>
      <c r="I20" s="2485"/>
      <c r="J20" s="2485"/>
      <c r="K20" s="2485"/>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70" t="str">
        <f>'Single Audit Cover'!A7</f>
        <v>LEXINGTON CUSD 7</v>
      </c>
      <c r="C1" s="2470"/>
      <c r="D1" s="2470"/>
      <c r="E1" s="1467"/>
    </row>
    <row r="2" spans="2:5" s="1277" customFormat="1" ht="12.75" customHeight="1" x14ac:dyDescent="0.2">
      <c r="B2" s="2472">
        <f>'Single Audit Cover'!E7</f>
        <v>17064007026</v>
      </c>
      <c r="C2" s="2472"/>
      <c r="D2" s="2472"/>
      <c r="E2" s="1468"/>
    </row>
    <row r="3" spans="2:5" ht="12.75" customHeight="1" x14ac:dyDescent="0.2">
      <c r="B3" s="2486" t="s">
        <v>1766</v>
      </c>
      <c r="C3" s="2486"/>
      <c r="D3" s="2486"/>
      <c r="E3" s="1269"/>
    </row>
    <row r="4" spans="2:5" s="1277" customFormat="1" ht="12.75" customHeight="1" x14ac:dyDescent="0.2">
      <c r="B4" s="2496" t="str">
        <f>'Single Audit Cover'!A4</f>
        <v>Year Ending June 30, 2019</v>
      </c>
      <c r="C4" s="2496"/>
      <c r="D4" s="2496"/>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openxmlformats.org/package/2006/metadata/core-properties"/>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d21dc803-237d-4c68-8692-8d731fd29118"/>
    <ds:schemaRef ds:uri="http://purl.org/dc/dcmitype/"/>
    <ds:schemaRef ds:uri="http://purl.org/dc/terms/"/>
    <ds:schemaRef ds:uri="4d435f69-8686-490b-bd6d-b153bf22ab50"/>
    <ds:schemaRef ds:uri="6ce3111e-7420-4802-b50a-75d4e9a0b980"/>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Sheet2</vt:lpstr>
      <vt:lpstr>Sheet1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2019-10-16T13:19:40Z</cp:lastPrinted>
  <dcterms:created xsi:type="dcterms:W3CDTF">2003-10-29T19:06:34Z</dcterms:created>
  <dcterms:modified xsi:type="dcterms:W3CDTF">2019-11-21T19:39:44Z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