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3076A12-C125-4694-B8EE-390DC775495C}"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G39" i="181"/>
  <c r="E39" i="181"/>
  <c r="F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22" i="37"/>
  <c r="L22" i="37"/>
  <c r="D24" i="37"/>
  <c r="B4270" i="106" s="1"/>
  <c r="D4270" i="106" s="1"/>
  <c r="L5" i="11"/>
  <c r="B2056" i="106" s="1"/>
  <c r="D2056" i="106" s="1"/>
  <c r="B5752" i="106"/>
  <c r="D5752" i="106" s="1"/>
  <c r="L13" i="11" l="1"/>
  <c r="B2060" i="106" s="1"/>
  <c r="D2060" i="106" s="1"/>
  <c r="H33" i="118"/>
  <c r="G210" i="29"/>
  <c r="G30" i="108"/>
  <c r="L367" i="29"/>
  <c r="J41" i="3"/>
  <c r="B6216" i="106" s="1"/>
  <c r="D6216" i="106" s="1"/>
  <c r="C352" i="29"/>
  <c r="K76" i="4"/>
  <c r="B3586" i="106" s="1"/>
  <c r="D3586" i="106" s="1"/>
  <c r="D7245" i="106"/>
  <c r="J210" i="29"/>
  <c r="B7072" i="106" s="1"/>
  <c r="D7072" i="106" s="1"/>
  <c r="G15" i="145"/>
  <c r="I210" i="29"/>
  <c r="B7071" i="106" s="1"/>
  <c r="D7071" i="106" s="1"/>
  <c r="I129" i="29"/>
  <c r="B7037" i="106" s="1"/>
  <c r="D7037" i="106" s="1"/>
  <c r="K184" i="29"/>
  <c r="F13" i="4" s="1"/>
  <c r="B2596" i="106" s="1"/>
  <c r="D2596" i="106" s="1"/>
  <c r="F36" i="34"/>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6" i="11" l="1"/>
  <c r="B2061" i="106" s="1"/>
  <c r="D2061" i="106" s="1"/>
  <c r="N23" i="3"/>
  <c r="B284" i="106" s="1"/>
  <c r="D284" i="106" s="1"/>
  <c r="B1381" i="106"/>
  <c r="D1381" i="106" s="1"/>
  <c r="B1365" i="106"/>
  <c r="D1365" i="106" s="1"/>
  <c r="F65" i="34"/>
  <c r="C114" i="29"/>
  <c r="B757" i="106" s="1"/>
  <c r="D757" i="106" s="1"/>
  <c r="D51" i="36"/>
  <c r="D44" i="36"/>
  <c r="L114" i="29"/>
  <c r="B5778" i="106"/>
  <c r="D5778" i="106" s="1"/>
  <c r="G6" i="4"/>
  <c r="B2604" i="106" s="1"/>
  <c r="D2604"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68" i="5" l="1"/>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10" i="4" l="1"/>
  <c r="B6225" i="106" s="1"/>
  <c r="D6225"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<sst xmlns="http://schemas.openxmlformats.org/spreadsheetml/2006/main" count="5059" uniqueCount="2089">
  <si>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</si>
  <si>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</si>
  <si>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</si>
  <si>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</si>
  <si>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</si>
  <si>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</si>
  <si>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</si>
  <si>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</si>
  <si>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</si>
  <si>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</si>
  <si>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</si>
  <si>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</si>
  <si>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</si>
  <si>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</si>
  <si>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</si>
  <si>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</si>
  <si>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</si>
  <si>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</si>
  <si>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</si>
  <si>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</si>
  <si>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</si>
  <si>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</si>
  <si>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</si>
  <si>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</si>
  <si>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</si>
  <si>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</si>
  <si>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</si>
  <si>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</si>
  <si>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</si>
  <si>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</si>
  <si>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</si>
  <si>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</si>
  <si>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</si>
  <si>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</si>
  <si>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</si>
  <si>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</si>
  <si>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</si>
  <si>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</si>
  <si>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</si>
  <si>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</si>
  <si>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</si>
  <si>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</si>
  <si>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</si>
  <si>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</si>
  <si>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</si>
  <si>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</si>
  <si>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</si>
  <si>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</si>
  <si>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</si>
  <si>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</si>
  <si>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</si>
  <si>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</si>
  <si>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</si>
  <si>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</si>
  <si>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</si>
  <si>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</si>
  <si>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</si>
  <si>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</si>
  <si>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</si>
  <si>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</si>
  <si>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</si>
  <si>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</si>
  <si>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</si>
  <si>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</si>
  <si>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</si>
  <si>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</si>
  <si>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</si>
  <si>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</si>
  <si>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</si>
  <si>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</si>
  <si>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</si>
  <si>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</si>
  <si>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</si>
  <si>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</si>
  <si>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</si>
  <si>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</si>
  <si>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</si>
  <si>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</si>
  <si>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</si>
  <si>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</si>
  <si>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</si>
  <si>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</si>
  <si>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</si>
  <si>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</si>
  <si>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</si>
  <si>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</si>
  <si>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</si>
  <si>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</si>
  <si>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</si>
  <si>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</si>
  <si>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</si>
  <si>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</si>
  <si>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</si>
  <si>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</si>
  <si>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</si>
  <si>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</si>
  <si>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</si>
  <si>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</si>
  <si>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</si>
  <si>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</si>
  <si>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</si>
  <si>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</si>
  <si>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</si>
  <si>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</si>
  <si>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</si>
  <si>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</si>
  <si>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</si>
  <si>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</si>
  <si>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</si>
  <si>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</si>
  <si>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</si>
  <si>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</si>
  <si>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</si>
  <si>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</si>
  <si>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</si>
  <si>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</si>
  <si>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</si>
  <si>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</si>
  <si>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</si>
  <si>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</si>
  <si>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</si>
  <si>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</si>
  <si>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</si>
  <si>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</si>
  <si>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</si>
  <si>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</si>
  <si>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</si>
  <si>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</si>
  <si>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</si>
  <si>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</si>
  <si>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</si>
  <si>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</si>
  <si>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</si>
  <si>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</si>
  <si>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</si>
  <si>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</si>
  <si>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</si>
  <si>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</si>
  <si>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</si>
  <si>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</si>
  <si>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</si>
  <si>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</si>
  <si>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</si>
  <si>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</si>
  <si>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</si>
  <si>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</si>
  <si>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</si>
  <si>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</si>
  <si>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</si>
  <si>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</si>
  <si>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</si>
  <si>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</si>
  <si>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</si>
  <si>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</si>
  <si>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</si>
  <si>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</si>
  <si>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</si>
  <si>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</si>
  <si>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</si>
  <si>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</si>
  <si>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</si>
  <si>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</si>
  <si>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</si>
  <si>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</si>
  <si>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</si>
  <si>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</si>
  <si>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</si>
  <si>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</si>
  <si>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</si>
  <si>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</si>
  <si>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</si>
  <si>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</si>
  <si>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</si>
  <si>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</si>
  <si>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</si>
  <si>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</si>
  <si>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</si>
  <si>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</si>
  <si>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</si>
  <si>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</si>
  <si>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</si>
  <si>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</si>
  <si>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</si>
  <si>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</si>
  <si>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</si>
  <si>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</si>
  <si>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</si>
  <si>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</si>
  <si>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</si>
  <si>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</si>
  <si>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</si>
  <si>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</si>
  <si>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</si>
  <si>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</si>
  <si>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</si>
  <si>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</si>
  <si>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</si>
  <si>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</si>
  <si>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</si>
  <si>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</si>
  <si>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</si>
  <si>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</si>
  <si>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</si>
  <si>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</si>
  <si>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</si>
  <si>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</si>
  <si>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</si>
  <si>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</si>
  <si>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</si>
  <si>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</si>
  <si>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</si>
  <si>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</si>
  <si>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</si>
  <si>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</si>
  <si>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</si>
  <si>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</si>
  <si>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</si>
  <si>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</si>
  <si>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</si>
  <si>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</si>
  <si>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</si>
  <si>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</si>
  <si>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</si>
  <si>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</si>
  <si>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</si>
  <si>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</si>
  <si>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</si>
  <si>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</si>
  <si>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</si>
  <si>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</si>
  <si>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</si>
  <si>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</si>
  <si>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</si>
  <si>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</si>
  <si>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</si>
  <si>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</si>
  <si>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</si>
  <si>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</si>
  <si>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</si>
  <si>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</si>
  <si>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</si>
  <si>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</si>
  <si>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</si>
  <si>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</si>
  <si>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</si>
  <si>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</si>
  <si>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</si>
  <si>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</si>
  <si>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</si>
  <si>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</si>
  <si>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</si>
  <si>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</si>
  <si>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</si>
  <si>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</si>
  <si>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</si>
  <si>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</si>
  <si>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</si>
  <si>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</si>
  <si>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</si>
  <si>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</si>
  <si>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</si>
  <si>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</si>
  <si>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</si>
  <si>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</si>
  <si>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</si>
  <si>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</si>
  <si>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</si>
  <si>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</si>
  <si>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</si>
  <si>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</si>
  <si>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</si>
  <si>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</si>
  <si>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</si>
  <si>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</si>
  <si>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</si>
  <si>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</si>
  <si>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</si>
  <si>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</si>
  <si>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</si>
  <si>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</si>
  <si>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</si>
  <si>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</si>
  <si>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</si>
  <si>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</si>
  <si>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</si>
  <si>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</si>
  <si>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</si>
  <si>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</si>
  <si>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</si>
  <si>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</si>
  <si>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</si>
  <si>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</si>
  <si>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</si>
  <si>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</si>
  <si>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</si>
  <si>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</si>
  <si>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</si>
  <si>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</si>
  <si>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</si>
  <si>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</si>
  <si>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</si>
  <si>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</si>
  <si>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</si>
  <si>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</si>
  <si>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</si>
  <si>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</si>
  <si>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</si>
  <si>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</si>
  <si>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</si>
  <si>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</si>
  <si>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</si>
  <si>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</si>
  <si>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</si>
  <si>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</si>
  <si>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</si>
  <si>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</si>
  <si>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</si>
  <si>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</si>
  <si>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</si>
  <si>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</si>
  <si>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</si>
  <si>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</si>
  <si>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</si>
  <si>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</si>
  <si>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</si>
  <si>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</si>
  <si>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</si>
  <si>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</si>
  <si>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</si>
  <si>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</si>
  <si>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</si>
  <si>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</si>
  <si>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</si>
  <si>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</si>
  <si>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</si>
  <si>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</si>
  <si>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</si>
  <si>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</si>
  <si>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</si>
  <si>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</si>
  <si>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</si>
  <si>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</si>
  <si>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</si>
  <si>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</si>
  <si>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</si>
  <si>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</si>
  <si>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</si>
  <si>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</si>
  <si>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</si>
  <si>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</si>
  <si>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</si>
  <si>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</si>
  <si>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</si>
  <si>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</si>
  <si>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</si>
  <si>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</si>
  <si>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</si>
  <si>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</si>
  <si>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</si>
  <si>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</si>
  <si>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</si>
  <si>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</si>
  <si>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</si>
  <si>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</si>
  <si>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</si>
  <si>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</si>
  <si>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</si>
  <si>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</si>
  <si>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</si>
  <si>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</si>
  <si>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</si>
  <si>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</si>
  <si>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</si>
  <si>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</si>
  <si>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</si>
  <si>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</si>
  <si>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</si>
  <si>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</si>
  <si>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</si>
  <si>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</si>
  <si>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</si>
  <si>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</si>
  <si>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</si>
  <si>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</si>
  <si>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</si>
  <si>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</si>
  <si>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</si>
  <si>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</si>
  <si>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</si>
  <si>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</si>
  <si>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</si>
  <si>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</si>
  <si>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</si>
  <si>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</si>
  <si>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</si>
  <si>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</si>
  <si>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</si>
  <si>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</si>
  <si>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</si>
  <si>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</si>
  <si>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</si>
  <si>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</si>
  <si>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</si>
  <si>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</si>
  <si>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</si>
  <si>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</si>
  <si>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</si>
  <si>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</si>
  <si>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</si>
  <si>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</si>
  <si>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</si>
  <si>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</si>
  <si>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</si>
  <si>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</si>
  <si>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</si>
  <si>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</si>
  <si>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</si>
  <si>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</si>
  <si>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</si>
  <si>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</si>
  <si>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</si>
  <si>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</si>
  <si>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</si>
  <si>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</si>
  <si>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</si>
  <si>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</si>
  <si>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</si>
  <si>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</si>
  <si>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</si>
  <si>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</si>
  <si>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</si>
  <si>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</si>
  <si>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</si>
  <si>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</si>
  <si>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</si>
  <si>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</si>
  <si>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</si>
  <si>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</si>
  <si>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</si>
  <si>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</si>
  <si>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</si>
  <si>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</si>
  <si>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</si>
  <si>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</si>
  <si>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</si>
  <si>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</si>
  <si>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</si>
  <si>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</si>
  <si>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</si>
  <si>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</si>
  <si>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</si>
  <si>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</si>
  <si>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</si>
  <si>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</si>
  <si>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</si>
  <si>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</si>
  <si>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</si>
  <si>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</si>
  <si>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</si>
  <si>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</si>
  <si>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</si>
  <si>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</si>
  <si>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</si>
  <si>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</si>
  <si>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</si>
  <si>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</si>
  <si>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</si>
  <si>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</si>
  <si>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</si>
  <si>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</si>
  <si>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</si>
  <si>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</si>
  <si>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</si>
  <si>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</si>
  <si>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</si>
  <si>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</si>
  <si>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</si>
  <si>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</si>
  <si>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</si>
  <si>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</si>
  <si>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</si>
  <si>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</si>
  <si>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</si>
  <si>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</si>
  <si>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</si>
  <si>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</si>
  <si>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</si>
  <si>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</si>
  <si>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</si>
  <si>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</si>
  <si>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</si>
  <si>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</si>
  <si>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</si>
  <si>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</si>
  <si>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</si>
  <si>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</si>
  <si>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</si>
  <si>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</si>
  <si>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</si>
  <si>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</si>
  <si>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</si>
  <si>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</si>
  <si>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</si>
  <si>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</si>
  <si>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</si>
  <si>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</si>
  <si>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</si>
  <si>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</si>
  <si>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</si>
  <si>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</si>
  <si>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</si>
  <si>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</si>
  <si>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</si>
  <si>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</si>
  <si>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</si>
  <si>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</si>
  <si>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</si>
  <si>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</si>
  <si>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</si>
  <si>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</si>
  <si>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</si>
  <si>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</si>
  <si>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</si>
  <si>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</si>
  <si>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</si>
  <si>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</si>
  <si>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</si>
  <si>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</si>
  <si>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</si>
  <si>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</si>
  <si>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</si>
  <si>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</si>
  <si>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</si>
  <si>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</si>
  <si>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</si>
  <si>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</si>
  <si>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</si>
  <si>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</si>
  <si>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</si>
  <si>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</si>
  <si>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</si>
  <si>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</si>
  <si>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</si>
  <si>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</si>
  <si>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</si>
  <si>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</si>
  <si>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</si>
  <si>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</si>
  <si>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</si>
  <si>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</si>
  <si>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</si>
  <si>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</si>
  <si>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</si>
  <si>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</si>
  <si>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</si>
  <si>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</si>
  <si>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</si>
  <si>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</si>
  <si>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</si>
  <si>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</si>
  <si>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</si>
  <si>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</si>
  <si>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</si>
  <si>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</si>
  <si>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</si>
  <si>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</si>
  <si>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</si>
  <si>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</si>
  <si>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</si>
  <si>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</si>
  <si>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</si>
  <si>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</si>
  <si>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</si>
  <si>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</si>
  <si>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</si>
  <si>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</si>
  <si>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</si>
  <si>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</si>
  <si>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</si>
  <si>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</si>
  <si>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</si>
  <si>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</si>
  <si>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</si>
  <si>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</si>
  <si>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</si>
  <si>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</si>
  <si>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</si>
  <si>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</si>
  <si>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</si>
  <si>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</si>
  <si>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</si>
  <si>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</si>
  <si>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</si>
  <si>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</si>
  <si>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</si>
  <si>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</si>
  <si>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</si>
  <si>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</si>
  <si>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</si>
  <si>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</si>
  <si>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</si>
  <si>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</si>
  <si>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</si>
  <si>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</si>
  <si>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</si>
  <si>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</si>
  <si>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</si>
  <si>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</si>
  <si>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</si>
  <si>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</si>
  <si>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</si>
  <si>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</si>
  <si>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</si>
  <si>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</si>
  <si>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</si>
  <si>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</si>
  <si>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</si>
  <si>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</si>
  <si>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</si>
  <si>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</si>
  <si>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</si>
  <si>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</si>
  <si>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</si>
  <si>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</si>
  <si>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</si>
  <si>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</si>
  <si>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</si>
  <si>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</si>
  <si>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</si>
  <si>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</si>
  <si>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</si>
  <si>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</si>
  <si>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</si>
  <si>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</si>
  <si>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</si>
  <si>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</si>
  <si>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</si>
  <si>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</si>
  <si>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</si>
  <si>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</si>
  <si>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</si>
  <si>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</si>
  <si>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</si>
  <si>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</si>
  <si>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</si>
  <si>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</si>
  <si>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</si>
  <si>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</si>
  <si>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</si>
  <si>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</si>
  <si>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</si>
  <si>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</si>
  <si>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</si>
  <si>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</si>
  <si>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</si>
  <si>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</si>
  <si>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</si>
  <si>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</si>
  <si>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</si>
  <si>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</si>
  <si>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</si>
  <si>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</si>
  <si>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</si>
  <si>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</si>
  <si>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</si>
  <si>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</si>
  <si>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</si>
  <si>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</si>
  <si>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</si>
  <si>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</si>
  <si>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</si>
  <si>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</si>
  <si>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</si>
  <si>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</si>
  <si>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</si>
  <si>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</si>
  <si>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</si>
  <si>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</si>
  <si>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</si>
  <si>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</si>
  <si>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</si>
  <si>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</si>
  <si>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</si>
  <si>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</si>
  <si>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</si>
  <si>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</si>
  <si>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</si>
  <si>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</si>
  <si>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</si>
  <si>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</si>
  <si>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</si>
  <si>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</si>
  <si>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</si>
  <si>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</si>
  <si>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</si>
  <si>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</si>
  <si>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</si>
  <si>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</si>
  <si>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</si>
  <si>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</si>
  <si>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</si>
  <si>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</si>
  <si>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</si>
  <si>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</si>
  <si>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</si>
  <si>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</si>
  <si>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</si>
  <si>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</si>
  <si>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</si>
  <si>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</si>
  <si>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</si>
  <si>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</si>
  <si>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</si>
  <si>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</si>
  <si>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</si>
  <si>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</si>
  <si>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</si>
  <si>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</si>
  <si>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</si>
  <si>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</si>
  <si>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</si>
  <si>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</si>
  <si>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</si>
  <si>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</si>
  <si>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</si>
  <si>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</si>
  <si>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</si>
  <si>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</si>
  <si>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</si>
  <si>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</si>
  <si>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</si>
  <si>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</si>
  <si>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</si>
  <si>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</si>
  <si>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</si>
  <si>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</si>
  <si>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</si>
  <si>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</si>
  <si>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</si>
  <si>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</si>
  <si>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</si>
  <si>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</si>
  <si>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</si>
  <si>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</si>
  <si>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</si>
  <si>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</si>
  <si>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</si>
  <si>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</si>
  <si>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</si>
  <si>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</si>
  <si>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</si>
  <si>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</si>
  <si>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</si>
  <si>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</si>
  <si>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</si>
  <si>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</si>
  <si>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</si>
  <si>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</si>
  <si>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</si>
  <si>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</si>
  <si>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</si>
  <si>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</si>
  <si>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</si>
  <si>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</si>
  <si>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</si>
  <si>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</si>
  <si>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</si>
  <si>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</si>
  <si>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</si>
  <si>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</si>
  <si>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</si>
  <si>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</si>
  <si>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</si>
  <si>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</si>
  <si>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</si>
  <si>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</si>
  <si>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</si>
  <si>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</si>
  <si>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</si>
  <si>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</si>
  <si>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</si>
  <si>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</si>
  <si>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</si>
  <si>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</si>
  <si>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</si>
  <si>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</si>
  <si>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</si>
  <si>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</si>
  <si>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</si>
  <si>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</si>
  <si>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</si>
  <si>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</si>
  <si>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</si>
  <si>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</si>
  <si>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</si>
  <si>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</si>
  <si>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</si>
  <si>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</si>
  <si>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</si>
  <si>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</si>
  <si>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</si>
  <si>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</si>
  <si>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</si>
  <si>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</si>
  <si>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</si>
  <si>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</si>
  <si>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</si>
  <si>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</si>
  <si>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</si>
  <si>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</si>
  <si>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</si>
  <si>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</si>
  <si>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</si>
  <si>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</si>
  <si>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</si>
  <si>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</si>
  <si>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</si>
  <si>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</si>
  <si>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</si>
  <si>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</si>
  <si>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</si>
  <si>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</si>
  <si>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</si>
  <si>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</si>
  <si>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</si>
  <si>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</si>
  <si>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</si>
  <si>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</si>
  <si>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</si>
  <si>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</si>
  <si>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</si>
  <si>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</si>
  <si>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</si>
  <si>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</si>
  <si>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</si>
  <si>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</si>
  <si>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</si>
  <si>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</si>
  <si>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</si>
  <si>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</si>
  <si>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</si>
  <si>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</si>
  <si>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</si>
  <si>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</si>
  <si>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</si>
  <si>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</si>
  <si>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</si>
  <si>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</si>
  <si>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</si>
  <si>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</si>
  <si>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</si>
  <si>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</si>
  <si>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</si>
  <si>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</si>
  <si>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</si>
  <si>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</si>
  <si>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</si>
  <si>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</si>
  <si>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</si>
  <si>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</si>
  <si>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</si>
  <si>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</si>
  <si>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</si>
  <si>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</si>
  <si>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</si>
  <si>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</si>
  <si>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</si>
  <si>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</si>
  <si>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</si>
  <si>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</si>
  <si>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</si>
  <si>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</si>
  <si>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</si>
  <si>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</si>
  <si>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</si>
  <si>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</si>
  <si>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</si>
  <si>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</si>
  <si>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</si>
  <si>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</si>
  <si>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</si>
  <si>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</si>
  <si>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</si>
  <si>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</si>
  <si>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</si>
  <si>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</si>
  <si>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</si>
  <si>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</si>
  <si>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</si>
  <si>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</si>
  <si>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</si>
  <si>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</si>
  <si>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</si>
  <si>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</si>
  <si>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</si>
  <si>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</si>
  <si>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</si>
  <si>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</si>
  <si>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</si>
  <si>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</si>
  <si>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</si>
  <si>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</si>
  <si>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</si>
  <si>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</si>
  <si>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</si>
  <si>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</si>
  <si>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</si>
  <si>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</si>
  <si>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</si>
  <si>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</si>
  <si>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</si>
  <si>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</si>
  <si>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</si>
  <si>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</si>
  <si>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</si>
  <si>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</si>
  <si>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</si>
  <si>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</si>
  <si>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</si>
  <si>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</si>
  <si>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</si>
  <si>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</si>
  <si>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</si>
  <si>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</si>
  <si>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</si>
  <si>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</si>
  <si>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</si>
  <si>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</si>
  <si>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</si>
  <si>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</si>
  <si>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</si>
  <si>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</si>
  <si>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</si>
  <si>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</si>
  <si>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</si>
  <si>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</si>
  <si>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</si>
  <si>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</si>
  <si>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</si>
  <si>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</si>
  <si>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</si>
  <si>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</si>
  <si>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</si>
  <si>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</si>
  <si>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</si>
  <si>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</si>
  <si>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</si>
  <si>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</si>
  <si>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</si>
  <si>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</si>
  <si>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</si>
  <si>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</si>
  <si>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</si>
  <si>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</si>
  <si>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</si>
  <si>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</si>
  <si>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</si>
  <si>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</si>
  <si>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</si>
  <si>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</si>
  <si>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</si>
  <si>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</si>
  <si>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</si>
  <si>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</si>
  <si>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</si>
  <si>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</si>
  <si>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</si>
  <si>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</si>
  <si>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</si>
  <si>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</si>
  <si>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</si>
  <si>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</si>
  <si>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</si>
  <si>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</si>
  <si>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</si>
  <si>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</si>
  <si>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</si>
  <si>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</si>
  <si>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</si>
  <si>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</si>
  <si>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</si>
  <si>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</si>
  <si>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</si>
  <si>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</si>
  <si>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</si>
  <si>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</si>
  <si>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</si>
  <si>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</si>
  <si>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</si>
  <si>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</si>
  <si>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</si>
  <si>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</si>
  <si>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</si>
  <si>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</si>
  <si>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</si>
  <si>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</si>
  <si>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</si>
  <si>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</si>
  <si>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</si>
  <si>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</si>
  <si>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</si>
  <si>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</si>
  <si>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</si>
  <si>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</si>
  <si>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</si>
  <si>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</si>
  <si>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</si>
  <si>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</si>
  <si>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</si>
  <si>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</si>
  <si>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</si>
  <si>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</si>
  <si>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</si>
  <si>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</si>
  <si>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</si>
  <si>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</si>
  <si>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</si>
  <si>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</si>
  <si>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</si>
  <si>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</si>
  <si>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</si>
  <si>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</si>
  <si>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</si>
  <si>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</si>
  <si>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</si>
  <si>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</si>
  <si>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</si>
  <si>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</si>
  <si>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</si>
  <si>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</si>
  <si>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</si>
  <si>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</si>
  <si>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</si>
  <si>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</si>
  <si>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</si>
  <si>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</si>
  <si>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</si>
  <si>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</si>
  <si>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</si>
  <si>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</si>
  <si>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</si>
  <si>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</si>
  <si>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</si>
  <si>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</si>
  <si>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</si>
  <si>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</si>
  <si>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</si>
  <si>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</si>
  <si>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</si>
  <si>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</si>
  <si>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</si>
  <si>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</si>
  <si>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</si>
  <si>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</si>
  <si>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</si>
  <si>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</si>
  <si>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</si>
  <si>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</si>
  <si>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</si>
  <si>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</si>
  <si>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</si>
  <si>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</si>
  <si>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</si>
  <si>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</si>
  <si>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</si>
  <si>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</si>
  <si>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</si>
  <si>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</si>
  <si>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</si>
  <si>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</si>
  <si>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</si>
  <si>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</si>
  <si>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</si>
  <si>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</si>
  <si>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</si>
  <si>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</si>
  <si>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</si>
  <si>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</si>
  <si>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</si>
  <si>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</si>
  <si>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</si>
  <si>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</si>
  <si>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</si>
  <si>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</si>
  <si>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</si>
  <si>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</si>
  <si>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</si>
  <si>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</si>
  <si>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</si>
  <si>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</si>
  <si>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</si>
  <si>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</si>
  <si>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</si>
  <si>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</si>
  <si>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</si>
  <si>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</si>
  <si>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</si>
  <si>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</si>
  <si>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</si>
  <si>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</si>
  <si>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</si>
  <si>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</si>
  <si>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</si>
  <si>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</si>
  <si>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</si>
  <si>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</si>
  <si>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</si>
  <si>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</si>
  <si>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</si>
  <si>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</si>
  <si>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</si>
  <si>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</si>
  <si>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</si>
  <si>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</si>
  <si>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</si>
  <si>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</si>
  <si>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</si>
  <si>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</si>
  <si>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</si>
  <si>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</si>
  <si>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</si>
  <si>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</si>
  <si>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</si>
  <si>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</si>
  <si>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</si>
  <si>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</si>
  <si>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</si>
  <si>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</si>
  <si>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</si>
  <si>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</si>
  <si>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</si>
  <si>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</si>
  <si>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</si>
  <si>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</si>
  <si>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</si>
  <si>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</si>
  <si>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</si>
  <si>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</si>
  <si>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</si>
  <si>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</si>
  <si>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</si>
  <si>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</si>
  <si>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</si>
  <si>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</si>
  <si>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</si>
  <si>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</si>
  <si>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</si>
  <si>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</si>
  <si>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</si>
  <si>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</si>
  <si>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</si>
  <si>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</si>
  <si>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</si>
  <si>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</si>
  <si>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</si>
  <si>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</si>
  <si>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</si>
  <si>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</si>
  <si>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</si>
  <si>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</si>
  <si>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</si>
  <si>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</si>
  <si>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</si>
  <si>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</si>
  <si>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</si>
  <si>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</si>
  <si>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</si>
  <si>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</si>
  <si>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</si>
  <si>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</si>
  <si>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</si>
  <si>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</si>
  <si>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</si>
  <si>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</si>
  <si>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</si>
  <si>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</si>
  <si>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</si>
  <si>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</si>
  <si>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</si>
  <si>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</si>
  <si>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</si>
  <si>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</si>
  <si>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</si>
  <si>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</si>
  <si>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</si>
  <si>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</si>
  <si>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</si>
  <si>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</si>
  <si>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</si>
  <si>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</si>
  <si>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</si>
  <si>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</si>
  <si>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</si>
  <si>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</si>
  <si>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</si>
  <si>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</si>
  <si>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</si>
  <si>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</si>
  <si>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</si>
  <si>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</si>
  <si>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</si>
  <si>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</si>
  <si>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</si>
  <si>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</si>
  <si>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</si>
  <si>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</si>
  <si>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</si>
  <si>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</si>
  <si>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</si>
  <si>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</si>
  <si>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</si>
  <si>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</si>
  <si>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</si>
  <si>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</si>
  <si>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</si>
  <si>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</si>
  <si>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</si>
  <si>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</si>
  <si>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</si>
  <si>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</si>
  <si>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</si>
  <si>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</si>
  <si>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</si>
  <si>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</si>
  <si>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</si>
  <si>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</si>
  <si>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</si>
  <si>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</si>
  <si>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</si>
  <si>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</si>
  <si>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</si>
  <si>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</si>
  <si>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</si>
  <si>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</si>
  <si>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</si>
  <si>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</si>
  <si>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</si>
  <si>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</si>
  <si>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</si>
  <si>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</si>
  <si>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</si>
  <si>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</si>
  <si>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</si>
  <si>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</si>
  <si>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</si>
  <si>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</si>
  <si>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</si>
  <si>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</si>
  <si>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</si>
  <si>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</si>
  <si>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</si>
  <si>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</si>
  <si>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</si>
  <si>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</si>
  <si>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</si>
  <si>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</si>
  <si>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</si>
  <si>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</si>
  <si>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</si>
  <si>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</si>
  <si>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</si>
  <si>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</si>
  <si>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</si>
  <si>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</si>
  <si>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</si>
  <si>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</si>
  <si>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</si>
  <si>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</si>
  <si>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</si>
  <si>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</si>
  <si>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</si>
  <si>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</si>
  <si>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</si>
  <si>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</si>
  <si>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</si>
  <si>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</si>
  <si>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</si>
  <si>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</si>
  <si>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</si>
  <si>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</si>
  <si>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</si>
  <si>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</si>
  <si>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</si>
  <si>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</si>
  <si>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</si>
  <si>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</si>
  <si>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</si>
  <si>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</si>
  <si>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</si>
  <si>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</si>
  <si>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</si>
  <si>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</si>
  <si>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</si>
  <si>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</si>
  <si>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</si>
  <si>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</si>
  <si>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</si>
  <si>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</si>
  <si>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</si>
  <si>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</si>
  <si>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</si>
  <si>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</si>
  <si>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</si>
  <si>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</si>
  <si>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</si>
  <si>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</si>
  <si>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</si>
  <si>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</si>
  <si>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</si>
  <si>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</si>
  <si>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</si>
  <si>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</si>
  <si>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</si>
  <si>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</si>
  <si>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</si>
  <si>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</si>
  <si>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</si>
  <si>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</si>
  <si>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</si>
  <si>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</si>
  <si>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</si>
  <si>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</si>
  <si>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</si>
  <si>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</si>
  <si>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</si>
  <si>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</si>
  <si>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</si>
  <si>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</si>
  <si>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</si>
  <si>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</si>
  <si>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</si>
  <si>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</si>
  <si>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</si>
  <si>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</si>
  <si>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</si>
  <si>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</si>
  <si>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</si>
  <si>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</si>
  <si>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</si>
  <si>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</si>
  <si>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</si>
  <si>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</si>
  <si>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</si>
  <si>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</si>
  <si>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</si>
  <si>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</si>
  <si>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</si>
  <si>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</si>
  <si>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</si>
  <si>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</si>
  <si>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</si>
  <si>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</si>
  <si>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</si>
  <si>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</si>
  <si>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</si>
  <si>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</si>
  <si>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</si>
  <si>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</si>
  <si>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</si>
  <si>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</si>
  <si>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</si>
  <si>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</si>
  <si>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</si>
  <si>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</si>
  <si>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</si>
  <si>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</si>
  <si>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</si>
  <si>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</si>
  <si>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</si>
  <si>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</si>
  <si>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</si>
  <si>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</si>
  <si>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</si>
  <si>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</si>
  <si>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</si>
  <si>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</si>
  <si>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</si>
  <si>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</si>
  <si>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</si>
  <si>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</si>
  <si>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</si>
  <si>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</si>
  <si>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</si>
  <si>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</si>
  <si>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</si>
  <si>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</si>
  <si>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</si>
  <si>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</si>
  <si>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</si>
  <si>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</si>
  <si>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</si>
  <si>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</si>
  <si>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</si>
  <si>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</si>
  <si>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</si>
  <si>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</si>
  <si>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</si>
  <si>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</si>
  <si>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</si>
  <si>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</si>
  <si>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</si>
  <si>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</si>
  <si>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</si>
  <si>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</si>
  <si>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</si>
  <si>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</si>
  <si>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</si>
  <si>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</si>
  <si>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</si>
  <si>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</si>
  <si>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</si>
  <si>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</si>
  <si>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</si>
  <si>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</si>
  <si>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</si>
  <si>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</si>
  <si>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</si>
  <si>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</si>
  <si>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</si>
  <si>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</si>
  <si>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</si>
  <si>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</si>
  <si>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</si>
  <si>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</si>
  <si>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</si>
  <si>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</si>
  <si>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</si>
  <si>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</si>
  <si>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</si>
  <si>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</si>
  <si>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</si>
  <si>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</si>
  <si>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</si>
  <si>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</si>
  <si>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</si>
  <si>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</si>
  <si>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</si>
  <si>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</si>
  <si>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</si>
  <si>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</si>
  <si>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</si>
  <si>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</si>
  <si>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</si>
  <si>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</si>
  <si>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</si>
  <si>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</si>
  <si>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</si>
  <si>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</si>
  <si>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</si>
  <si>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</si>
  <si>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</si>
  <si>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</si>
  <si>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</si>
  <si>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</si>
  <si>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</si>
  <si>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</si>
  <si>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</si>
  <si>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</si>
  <si>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</si>
  <si>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</si>
  <si>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</si>
  <si>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</si>
  <si>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</si>
  <si>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</si>
  <si>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</si>
  <si>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</si>
  <si>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</si>
  <si>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</si>
  <si>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</si>
  <si>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</si>
  <si>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</si>
  <si>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</si>
  <si>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</si>
  <si>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</si>
  <si>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</si>
  <si>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</si>
  <si>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</si>
  <si>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</si>
  <si>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</si>
  <si>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</si>
  <si>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</si>
  <si>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</si>
  <si>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</si>
  <si>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</si>
  <si>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</si>
  <si>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</si>
  <si>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</si>
  <si>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</si>
  <si>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</si>
  <si>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</si>
  <si>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</si>
  <si>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</si>
  <si>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</si>
  <si>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</si>
  <si>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</si>
  <si>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</si>
  <si>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</si>
  <si>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</si>
  <si>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</si>
  <si>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</si>
  <si>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</si>
  <si>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</si>
  <si>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</si>
  <si>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</si>
  <si>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</si>
  <si>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</si>
  <si>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</si>
  <si>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</si>
  <si>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</si>
  <si>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</si>
  <si>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</si>
  <si>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</si>
  <si>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</si>
  <si>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</si>
  <si>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</si>
  <si>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</si>
  <si>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</si>
  <si>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</si>
  <si>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</si>
  <si>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</si>
  <si>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</si>
  <si>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</si>
  <si>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</si>
  <si>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</si>
  <si>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</si>
  <si>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</si>
  <si>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</si>
  <si>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</si>
  <si>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</si>
  <si>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</si>
  <si>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</si>
  <si>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</si>
  <si>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</si>
  <si>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</si>
  <si>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</si>
  <si>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</si>
  <si>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</si>
  <si>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</si>
  <si>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</si>
  <si>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</si>
  <si>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</si>
  <si>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</si>
  <si>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</si>
  <si>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</si>
  <si>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</si>
  <si>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</si>
  <si>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</si>
  <si>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</si>
  <si>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</si>
  <si>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</si>
  <si>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</si>
  <si>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</si>
  <si>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</si>
  <si>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</si>
  <si>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</si>
  <si>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</si>
  <si>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</si>
  <si>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</si>
  <si>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</si>
  <si>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</si>
  <si>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</si>
  <si>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</si>
  <si>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</si>
  <si>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</si>
  <si>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</si>
  <si>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</si>
  <si>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</si>
  <si>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</si>
  <si>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</si>
  <si>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</si>
  <si>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</si>
  <si>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</si>
  <si>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</si>
  <si>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</si>
  <si>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</si>
  <si>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</si>
  <si>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</si>
  <si>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</si>
  <si>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</si>
  <si>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</si>
  <si>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</si>
  <si>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</si>
  <si>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</si>
  <si>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</si>
  <si>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</si>
  <si>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</si>
  <si>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</si>
  <si>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</si>
  <si>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</si>
  <si>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</si>
  <si>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</si>
  <si>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</si>
  <si>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</si>
  <si>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</si>
  <si>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</si>
  <si>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</si>
  <si>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</si>
  <si>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</si>
  <si>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</si>
  <si>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</si>
  <si>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</si>
  <si>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</si>
  <si>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</si>
  <si>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</si>
  <si>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</si>
  <si>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</si>
  <si>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</si>
  <si>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</si>
  <si>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</si>
  <si>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</si>
  <si>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</si>
  <si>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</si>
  <si>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</si>
  <si>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</si>
  <si>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</si>
  <si>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</si>
  <si>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</si>
  <si>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</si>
  <si>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</si>
  <si>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</si>
  <si>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</si>
  <si>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</si>
  <si>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</si>
  <si>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</si>
  <si>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</si>
  <si>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</si>
  <si>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</si>
  <si>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</si>
  <si>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</si>
  <si>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</si>
  <si>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</si>
  <si>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</si>
  <si>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</si>
  <si>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</si>
  <si>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</si>
  <si>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</si>
  <si>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</si>
  <si>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</si>
  <si>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</si>
  <si>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</si>
  <si>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</si>
  <si>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</si>
  <si>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</si>
  <si>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</si>
  <si>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</si>
  <si>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</si>
  <si>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</si>
  <si>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</si>
  <si>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</si>
  <si>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</si>
  <si>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</si>
  <si>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</si>
  <si>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</si>
  <si>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</si>
  <si>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</si>
  <si>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</si>
  <si>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</si>
  <si>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</si>
  <si>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</si>
  <si>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</si>
  <si>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</si>
  <si>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</si>
  <si>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</si>
  <si>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</si>
  <si>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</si>
  <si>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</si>
  <si>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</si>
  <si>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</si>
  <si>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</si>
  <si>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</si>
  <si>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</si>
  <si>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</si>
  <si>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</si>
  <si>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</si>
  <si>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</si>
  <si>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</si>
  <si>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</si>
  <si>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</si>
  <si>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</si>
  <si>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</si>
  <si>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</si>
  <si>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</si>
  <si>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</si>
  <si>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</si>
  <si>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</si>
  <si>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</si>
  <si>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</si>
  <si>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</si>
  <si>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</si>
  <si>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</si>
  <si>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</si>
  <si>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</si>
  <si>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</si>
  <si>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</si>
  <si>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</si>
  <si>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</si>
  <si>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</si>
  <si>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</si>
  <si>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</si>
  <si>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</si>
  <si>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</si>
  <si>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</si>
  <si>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</si>
  <si>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</si>
  <si>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</si>
  <si>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</si>
  <si>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</si>
  <si>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</si>
  <si>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</si>
  <si>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</si>
  <si>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</si>
  <si>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</si>
  <si>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</si>
  <si>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</si>
  <si>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</si>
  <si>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</si>
  <si>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</si>
  <si>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</si>
  <si>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</si>
  <si>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</si>
  <si>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</si>
  <si>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</si>
  <si>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</si>
  <si>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</si>
  <si>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</si>
  <si>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</si>
  <si>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</si>
  <si>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</si>
  <si>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</si>
  <si>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</si>
  <si>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</si>
  <si>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</si>
  <si>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</si>
  <si>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</si>
  <si>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</si>
  <si>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</si>
  <si>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</si>
  <si>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</si>
  <si>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</si>
  <si>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</si>
  <si>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</si>
  <si>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</si>
  <si>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</si>
  <si>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</si>
  <si>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</si>
  <si>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</si>
  <si>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</si>
  <si>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</si>
  <si>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</si>
  <si>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</si>
  <si>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</si>
  <si>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</si>
  <si>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</si>
  <si>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</si>
  <si>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</si>
  <si>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</si>
  <si>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</si>
  <si>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</si>
  <si>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</si>
  <si>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</si>
  <si>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</si>
  <si>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</si>
  <si>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</si>
  <si>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</si>
  <si>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</si>
  <si>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</si>
  <si>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</si>
  <si>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</si>
  <si>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</si>
  <si>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</si>
  <si>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</si>
  <si>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</si>
  <si>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</si>
  <si>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</si>
  <si>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</si>
  <si>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</si>
  <si>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</si>
  <si>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</si>
  <si>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</si>
  <si>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</si>
  <si>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</si>
  <si>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</si>
  <si>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</si>
  <si>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</si>
  <si>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</si>
  <si>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</si>
  <si>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</si>
  <si>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</si>
  <si>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</si>
  <si>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</si>
  <si>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</si>
  <si>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</si>
  <si>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</si>
  <si>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</si>
  <si>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</si>
  <si>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</si>
  <si>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</si>
  <si>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</si>
  <si>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</si>
  <si>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</si>
  <si>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</si>
  <si>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</si>
  <si>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</si>
  <si>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</si>
  <si>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</si>
  <si>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</si>
  <si>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</si>
  <si>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</si>
  <si>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</si>
  <si>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</si>
  <si>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</si>
  <si>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</si>
  <si>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</si>
  <si>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</si>
  <si>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</si>
  <si>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</si>
  <si>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</si>
  <si>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</si>
  <si>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</si>
  <si>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</si>
  <si>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</si>
  <si>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</si>
  <si>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</si>
  <si>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</si>
  <si>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</si>
  <si>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</si>
  <si>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</si>
  <si>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</si>
  <si>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</si>
  <si>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</si>
  <si>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</si>
  <si>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</si>
  <si>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</si>
  <si>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</si>
  <si>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</si>
  <si>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</si>
  <si>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</si>
  <si>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</si>
  <si>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</si>
  <si>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</si>
  <si>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</si>
  <si>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</si>
  <si>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</si>
  <si>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</si>
  <si>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</si>
  <si>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</si>
  <si>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</si>
  <si>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</si>
  <si>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</si>
  <si>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</si>
  <si>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</si>
  <si>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</si>
  <si>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</si>
  <si>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</si>
  <si>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</si>
  <si>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</si>
  <si>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</si>
  <si>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</si>
  <si>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</si>
  <si>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</si>
  <si>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</si>
  <si>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</si>
  <si>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</si>
  <si>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</si>
  <si>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</si>
  <si>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</si>
  <si>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</si>
  <si>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</si>
  <si>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</si>
  <si>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</si>
  <si>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</si>
  <si>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</si>
  <si>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</si>
  <si>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</si>
  <si>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</si>
  <si>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</si>
  <si>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</si>
  <si>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</si>
  <si>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</si>
  <si>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</si>
  <si>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</si>
  <si>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</si>
  <si>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</si>
  <si>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</si>
  <si>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</si>
  <si>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</si>
  <si>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</si>
  <si>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</si>
  <si>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</si>
  <si>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</si>
  <si>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</si>
  <si>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</si>
  <si>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</si>
  <si>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</si>
  <si>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</si>
  <si>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</si>
  <si>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</si>
  <si>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</si>
  <si>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</si>
  <si>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</si>
  <si>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</si>
  <si>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</si>
  <si>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</si>
  <si>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</si>
  <si>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</si>
  <si>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</si>
  <si>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</si>
  <si>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</si>
  <si>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</si>
  <si>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</si>
  <si>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</si>
  <si>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</si>
  <si>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</si>
  <si>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</si>
  <si>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</si>
  <si>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</si>
  <si>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</si>
  <si>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</si>
  <si>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</si>
  <si>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</si>
  <si>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</si>
  <si>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</si>
  <si>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</si>
  <si>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</si>
  <si>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</si>
  <si>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</si>
  <si>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</si>
  <si>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</si>
  <si>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</si>
  <si>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</si>
  <si>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</si>
  <si>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</si>
  <si>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</si>
  <si>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</si>
  <si>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</si>
  <si>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</si>
  <si>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</si>
  <si>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</si>
  <si>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</si>
  <si>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</si>
  <si>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</si>
  <si>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</si>
  <si>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</si>
  <si>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</si>
  <si>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</si>
  <si>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</si>
  <si>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</si>
  <si>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</si>
  <si>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</si>
  <si>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</si>
  <si>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</si>
  <si>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</si>
  <si>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</si>
  <si>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</si>
  <si>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</si>
  <si>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</si>
  <si>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</si>
  <si>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</si>
  <si>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</si>
  <si>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</si>
  <si>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</si>
  <si>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</si>
  <si>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</si>
  <si>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</si>
  <si>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</si>
  <si>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</si>
  <si>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</si>
  <si>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</si>
  <si>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</si>
  <si>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</si>
  <si>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</si>
  <si>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</si>
  <si>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</si>
  <si>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</si>
  <si>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</si>
  <si>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</si>
  <si>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</si>
  <si>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</si>
  <si>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</si>
  <si>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</si>
  <si>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</si>
  <si>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</si>
  <si>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</si>
  <si>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</si>
  <si>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</si>
  <si>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</si>
  <si>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</si>
  <si>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</si>
  <si>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</si>
  <si>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</si>
  <si>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</si>
  <si>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</si>
  <si>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</si>
  <si>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</si>
  <si>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</si>
  <si>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</si>
  <si>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</si>
  <si>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</si>
  <si>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</si>
  <si>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</si>
  <si>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</si>
  <si>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</si>
  <si>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</si>
  <si>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</si>
  <si>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</si>
  <si>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</si>
  <si>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</si>
  <si>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</si>
  <si>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</si>
  <si>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</si>
  <si>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</si>
  <si>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</si>
  <si>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</si>
  <si>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</si>
  <si>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</si>
  <si>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</si>
  <si>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</si>
  <si>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</si>
  <si>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</si>
  <si>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</si>
  <si>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</si>
  <si>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</si>
  <si>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</si>
  <si>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</si>
  <si>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</si>
  <si>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</si>
  <si>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</si>
  <si>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</si>
  <si>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</si>
  <si>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</si>
  <si>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</si>
  <si>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</si>
  <si>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</si>
  <si>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</si>
  <si>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</si>
  <si>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</si>
  <si>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</si>
  <si>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</si>
  <si>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</si>
  <si>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</si>
  <si>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</si>
  <si>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</si>
  <si>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</si>
  <si>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</si>
  <si>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</si>
  <si>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</si>
  <si>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</si>
  <si>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</si>
  <si>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</si>
  <si>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</si>
  <si>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</si>
  <si>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</si>
  <si>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</si>
  <si>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</si>
  <si>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</si>
  <si>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</si>
  <si>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</si>
  <si>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</si>
  <si>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</si>
  <si>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</si>
  <si>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</si>
  <si>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</si>
  <si>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</si>
  <si>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</si>
  <si>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Logan</t>
  </si>
  <si>
    <t>2695 Woodlawn Road</t>
  </si>
  <si>
    <t>Lincoln</t>
  </si>
  <si>
    <t>Pamela J. Simpson</t>
  </si>
  <si>
    <t>Pamela J. Simpson, CPA</t>
  </si>
  <si>
    <t>920 West Pershing Road</t>
  </si>
  <si>
    <t>Decatur</t>
  </si>
  <si>
    <t>IL</t>
  </si>
  <si>
    <t>065-015457</t>
  </si>
  <si>
    <t>pjscpa31a@aol.com</t>
  </si>
  <si>
    <t>X</t>
  </si>
  <si>
    <t>Heather Baker, Superintendent/Principal</t>
  </si>
  <si>
    <t>hbaker@wlb92.org</t>
  </si>
  <si>
    <t>2016 Taxable WCF Bonds</t>
  </si>
  <si>
    <t>2016 General Obligation Limited Refunding School Bonds</t>
  </si>
  <si>
    <t>10-1999    Jury duty reimbursement    $31</t>
  </si>
  <si>
    <t>10-1999    Graduation robes   $8</t>
  </si>
  <si>
    <t>10-1999    Creative reading   $50</t>
  </si>
  <si>
    <t>(217) 732-2630</t>
  </si>
  <si>
    <t>(217) 732-3623</t>
  </si>
  <si>
    <t>ED-Support Services-Food Service</t>
  </si>
  <si>
    <t>10-2560-300</t>
  </si>
  <si>
    <t>Lincoln Community High School</t>
  </si>
  <si>
    <t>Deatiled record of District capital assets are not maintained.</t>
  </si>
  <si>
    <t>West Lincoln-Broadwell ESD 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</si>
</sst>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164523</xdr:colOff>
          <xdr:row>3</xdr:row>
          <xdr:rowOff>1</xdr:rowOff>
        </xdr:from>
        <xdr:to>
          <xdr:col>1</xdr:col>
          <xdr:colOff>1078923</xdr:colOff>
          <xdr:row>7</xdr:row>
          <xdr:rowOff>123825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6ECBD86C-DA4E-4765-A6A7-66D740D3AA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5" t="s">
        <v>405</v>
      </c>
      <c r="J1" s="2016"/>
      <c r="K1" s="2016"/>
      <c r="L1" s="2016"/>
      <c r="M1" s="2016"/>
      <c r="N1" s="2016"/>
      <c r="O1" s="2016"/>
      <c r="P1" s="2016"/>
      <c r="Q1" s="2016"/>
      <c r="R1" s="2016"/>
      <c r="S1" s="2016"/>
    </row>
    <row r="2" spans="1:28" ht="12" customHeight="1" x14ac:dyDescent="0.2">
      <c r="A2" s="47" t="s">
        <v>1992</v>
      </c>
      <c r="D2" s="48"/>
      <c r="I2" s="2017" t="s">
        <v>979</v>
      </c>
      <c r="J2" s="2016"/>
      <c r="K2" s="2016"/>
      <c r="L2" s="2016"/>
      <c r="M2" s="2016"/>
      <c r="N2" s="2016"/>
      <c r="O2" s="2016"/>
      <c r="P2" s="2016"/>
      <c r="Q2" s="2016"/>
      <c r="R2" s="2016"/>
      <c r="S2" s="2016"/>
    </row>
    <row r="3" spans="1:28" ht="12" customHeight="1" x14ac:dyDescent="0.2">
      <c r="A3" s="155" t="s">
        <v>1944</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t="s">
        <v>2074</v>
      </c>
      <c r="C5" s="26" t="s">
        <v>910</v>
      </c>
      <c r="D5" s="84"/>
      <c r="E5" s="84"/>
      <c r="H5" s="38"/>
      <c r="I5" s="2024" t="s">
        <v>680</v>
      </c>
      <c r="J5" s="1969"/>
      <c r="K5" s="1969"/>
      <c r="L5" s="1969"/>
      <c r="M5" s="1969"/>
      <c r="N5" s="1969"/>
      <c r="O5" s="1969"/>
      <c r="P5" s="1969"/>
      <c r="Q5" s="1969"/>
      <c r="R5" s="1969"/>
      <c r="S5" s="1969"/>
    </row>
    <row r="6" spans="1:28" ht="14.1" customHeight="1" x14ac:dyDescent="0.2">
      <c r="B6" s="104"/>
      <c r="C6" s="26" t="s">
        <v>911</v>
      </c>
      <c r="D6" s="84"/>
      <c r="E6" s="84"/>
      <c r="I6" s="2023" t="s">
        <v>883</v>
      </c>
      <c r="J6" s="1969"/>
      <c r="K6" s="1969"/>
      <c r="L6" s="1969"/>
      <c r="M6" s="1969"/>
      <c r="N6" s="1969"/>
      <c r="O6" s="1969"/>
      <c r="P6" s="1969"/>
      <c r="Q6" s="1969"/>
      <c r="R6" s="1969"/>
      <c r="S6" s="1969"/>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1965" t="s">
        <v>533</v>
      </c>
      <c r="U9" s="1966"/>
      <c r="V9" s="1966"/>
      <c r="W9" s="1966"/>
      <c r="X9" s="1966"/>
      <c r="Y9" s="1966"/>
      <c r="Z9" s="1966"/>
      <c r="AA9" s="1967"/>
    </row>
    <row r="10" spans="1:28" ht="13.5" customHeight="1" x14ac:dyDescent="0.2">
      <c r="A10" s="1974" t="s">
        <v>675</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955</v>
      </c>
      <c r="B11" s="1978"/>
      <c r="C11" s="1978"/>
      <c r="D11" s="1978"/>
      <c r="E11" s="1978"/>
      <c r="F11" s="1978"/>
      <c r="G11" s="1978"/>
      <c r="H11" s="1979"/>
      <c r="I11" s="27"/>
      <c r="J11" s="74"/>
      <c r="K11" s="27"/>
      <c r="O11" s="148" t="s">
        <v>2074</v>
      </c>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5">
        <v>17054092004</v>
      </c>
      <c r="B13" s="1986"/>
      <c r="C13" s="1986"/>
      <c r="D13" s="1986"/>
      <c r="E13" s="1986"/>
      <c r="F13" s="1986"/>
      <c r="G13" s="1986"/>
      <c r="H13" s="1987"/>
      <c r="I13" s="31"/>
      <c r="J13" s="30"/>
      <c r="K13" s="28"/>
      <c r="L13" s="30"/>
      <c r="M13" s="30"/>
      <c r="N13" s="30"/>
      <c r="O13" s="30"/>
      <c r="P13" s="30"/>
      <c r="Q13" s="30"/>
      <c r="R13" s="30"/>
      <c r="S13" s="30"/>
      <c r="T13" s="1990" t="s">
        <v>2068</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3" t="s">
        <v>2064</v>
      </c>
      <c r="B15" s="1988"/>
      <c r="C15" s="1988"/>
      <c r="D15" s="1988"/>
      <c r="E15" s="1988"/>
      <c r="F15" s="1988"/>
      <c r="G15" s="1988"/>
      <c r="H15" s="1989"/>
      <c r="T15" s="1951" t="s">
        <v>2067</v>
      </c>
      <c r="U15" s="1952"/>
      <c r="V15" s="1952"/>
      <c r="W15" s="1952"/>
      <c r="X15" s="1952"/>
      <c r="Y15" s="1994"/>
      <c r="Z15" s="1994"/>
      <c r="AA15" s="19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3" t="s">
        <v>2088</v>
      </c>
      <c r="B17" s="2013"/>
      <c r="C17" s="2013"/>
      <c r="D17" s="2013"/>
      <c r="E17" s="2013"/>
      <c r="F17" s="2013"/>
      <c r="G17" s="2013"/>
      <c r="H17" s="2014"/>
      <c r="T17" s="2000" t="s">
        <v>2069</v>
      </c>
      <c r="U17" s="2001"/>
      <c r="V17" s="2001"/>
      <c r="W17" s="2001"/>
      <c r="X17" s="2001"/>
      <c r="Y17" s="2001"/>
      <c r="Z17" s="2001"/>
      <c r="AA17" s="2002"/>
    </row>
    <row r="18" spans="1:27" ht="13.5" customHeight="1" x14ac:dyDescent="0.2">
      <c r="A18" s="85" t="s">
        <v>530</v>
      </c>
      <c r="B18" s="76"/>
      <c r="C18" s="72"/>
      <c r="D18" s="76"/>
      <c r="E18" s="76"/>
      <c r="F18" s="76"/>
      <c r="G18" s="76"/>
      <c r="H18" s="56"/>
      <c r="I18" s="2010" t="s">
        <v>676</v>
      </c>
      <c r="J18" s="2011"/>
      <c r="K18" s="2011"/>
      <c r="L18" s="2011"/>
      <c r="M18" s="2011"/>
      <c r="N18" s="2011"/>
      <c r="O18" s="2011"/>
      <c r="P18" s="2011"/>
      <c r="Q18" s="2011"/>
      <c r="R18" s="2011"/>
      <c r="S18" s="2012"/>
      <c r="T18" s="85" t="s">
        <v>711</v>
      </c>
      <c r="U18" s="51"/>
      <c r="V18" s="72"/>
      <c r="W18" s="50"/>
      <c r="X18" s="85" t="s">
        <v>266</v>
      </c>
      <c r="Y18" s="81"/>
      <c r="Z18" s="159" t="s">
        <v>677</v>
      </c>
      <c r="AA18" s="46"/>
    </row>
    <row r="19" spans="1:27" ht="13.5" customHeight="1" x14ac:dyDescent="0.2">
      <c r="A19" s="1983" t="s">
        <v>2065</v>
      </c>
      <c r="B19" s="1984"/>
      <c r="C19" s="1984"/>
      <c r="D19" s="1984"/>
      <c r="E19" s="1984"/>
      <c r="F19" s="1984"/>
      <c r="G19" s="1984"/>
      <c r="H19" s="1982"/>
      <c r="I19" s="30"/>
      <c r="J19" s="99"/>
      <c r="K19" s="40"/>
      <c r="L19" s="38"/>
      <c r="M19" s="112" t="s">
        <v>315</v>
      </c>
      <c r="P19" s="27"/>
      <c r="Q19" s="27"/>
      <c r="R19" s="27"/>
      <c r="S19" s="31"/>
      <c r="T19" s="1983" t="s">
        <v>2070</v>
      </c>
      <c r="U19" s="1981"/>
      <c r="V19" s="1981"/>
      <c r="W19" s="1982"/>
      <c r="X19" s="1998" t="s">
        <v>2071</v>
      </c>
      <c r="Y19" s="1999"/>
      <c r="Z19" s="1996">
        <v>62526</v>
      </c>
      <c r="AA19" s="199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0" t="s">
        <v>2066</v>
      </c>
      <c r="B21" s="1981"/>
      <c r="C21" s="1981"/>
      <c r="D21" s="1981"/>
      <c r="E21" s="1981"/>
      <c r="F21" s="1981"/>
      <c r="G21" s="1981"/>
      <c r="H21" s="1982"/>
      <c r="I21" s="2006" t="s">
        <v>678</v>
      </c>
      <c r="J21" s="1969"/>
      <c r="K21" s="1969"/>
      <c r="L21" s="1969"/>
      <c r="M21" s="1969"/>
      <c r="N21" s="1969"/>
      <c r="O21" s="1969"/>
      <c r="P21" s="1969"/>
      <c r="Q21" s="1969"/>
      <c r="R21" s="1969"/>
      <c r="S21" s="1970"/>
      <c r="T21" s="1948">
        <v>2178721908</v>
      </c>
      <c r="U21" s="1949"/>
      <c r="V21" s="1949"/>
      <c r="W21" s="1949"/>
      <c r="X21" s="1962">
        <v>2178721911</v>
      </c>
      <c r="Y21" s="1963"/>
      <c r="Z21" s="1963"/>
      <c r="AA21" s="1964"/>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3"/>
      <c r="B23" s="2004"/>
      <c r="C23" s="2004"/>
      <c r="D23" s="2004"/>
      <c r="E23" s="2004"/>
      <c r="F23" s="2004"/>
      <c r="G23" s="2004"/>
      <c r="H23" s="2005"/>
      <c r="T23" s="1943" t="s">
        <v>2072</v>
      </c>
      <c r="U23" s="1944"/>
      <c r="V23" s="1944"/>
      <c r="W23" s="1944"/>
      <c r="X23" s="1959">
        <v>44469</v>
      </c>
      <c r="Y23" s="1960"/>
      <c r="Z23" s="1960"/>
      <c r="AA23" s="1961"/>
    </row>
    <row r="24" spans="1:27" ht="14.1" customHeight="1" x14ac:dyDescent="0.2">
      <c r="A24" s="88" t="s">
        <v>677</v>
      </c>
      <c r="B24" s="49"/>
      <c r="C24" s="49"/>
      <c r="D24" s="49"/>
      <c r="E24" s="49"/>
      <c r="F24" s="49"/>
      <c r="G24" s="49"/>
      <c r="H24" s="61"/>
      <c r="J24" s="2045">
        <f>IF(B5="x",IF(AUDITCHECK!D29="AFR form Incomplete.","",IF(AUDITCHECK!D29="Deficit reduction plan is required.","School District must complete a deficit reduction plan in the 2019-2020 Budget",)),"")</f>
        <v>0</v>
      </c>
      <c r="K24" s="2045"/>
      <c r="L24" s="2045"/>
      <c r="M24" s="2045"/>
      <c r="N24" s="2045"/>
      <c r="O24" s="2045"/>
      <c r="P24" s="2045"/>
      <c r="Q24" s="2045"/>
      <c r="R24" s="2045"/>
      <c r="S24" s="2046"/>
      <c r="T24" s="105" t="s">
        <v>531</v>
      </c>
      <c r="U24" s="106"/>
      <c r="V24" s="106"/>
      <c r="W24" s="106"/>
      <c r="X24" s="107"/>
      <c r="Y24" s="107"/>
      <c r="Z24" s="107"/>
      <c r="AA24" s="108"/>
    </row>
    <row r="25" spans="1:27" ht="14.1" customHeight="1" x14ac:dyDescent="0.2">
      <c r="A25" s="1980">
        <v>62656</v>
      </c>
      <c r="B25" s="1981"/>
      <c r="C25" s="1981"/>
      <c r="D25" s="1981"/>
      <c r="E25" s="1981"/>
      <c r="F25" s="1981"/>
      <c r="G25" s="1981"/>
      <c r="H25" s="1982"/>
      <c r="I25" s="113"/>
      <c r="J25" s="2047"/>
      <c r="K25" s="2047"/>
      <c r="L25" s="2047"/>
      <c r="M25" s="2047"/>
      <c r="N25" s="2047"/>
      <c r="O25" s="2047"/>
      <c r="P25" s="2047"/>
      <c r="Q25" s="2047"/>
      <c r="R25" s="2047"/>
      <c r="S25" s="2048"/>
      <c r="T25" s="1940" t="s">
        <v>2073</v>
      </c>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8" t="s">
        <v>1511</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2074</v>
      </c>
      <c r="M29" s="40" t="s">
        <v>99</v>
      </c>
      <c r="N29" s="32" t="s">
        <v>1523</v>
      </c>
      <c r="O29" s="32"/>
      <c r="P29" s="32"/>
      <c r="Q29" s="32"/>
      <c r="R29" s="32"/>
      <c r="S29" s="123"/>
      <c r="T29" s="6"/>
      <c r="U29" s="6"/>
      <c r="V29" s="6"/>
      <c r="W29" s="6"/>
      <c r="X29" s="6"/>
      <c r="Y29" s="6"/>
      <c r="Z29" s="6"/>
      <c r="AA29" s="132"/>
    </row>
    <row r="30" spans="1:27" ht="13.5" customHeight="1" x14ac:dyDescent="0.2">
      <c r="A30" s="153"/>
      <c r="B30" s="136" t="s">
        <v>2074</v>
      </c>
      <c r="C30" s="124" t="s">
        <v>1164</v>
      </c>
      <c r="D30" s="28"/>
      <c r="E30" s="28"/>
      <c r="F30" s="140"/>
      <c r="G30" s="114"/>
      <c r="H30" s="114"/>
      <c r="I30" s="54"/>
      <c r="J30" s="102"/>
      <c r="K30" s="28" t="s">
        <v>576</v>
      </c>
      <c r="L30" s="148" t="s">
        <v>2074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3" t="s">
        <v>2075</v>
      </c>
      <c r="B38" s="2013"/>
      <c r="C38" s="2013"/>
      <c r="D38" s="2013"/>
      <c r="E38" s="2013"/>
      <c r="F38" s="1981"/>
      <c r="G38" s="1981"/>
      <c r="H38" s="1982"/>
      <c r="I38" s="2032"/>
      <c r="J38" s="1952"/>
      <c r="K38" s="1952"/>
      <c r="L38" s="1952"/>
      <c r="M38" s="1952"/>
      <c r="N38" s="1952"/>
      <c r="O38" s="1952"/>
      <c r="P38" s="1953"/>
      <c r="Q38" s="1953"/>
      <c r="R38" s="1953"/>
      <c r="S38" s="1954"/>
      <c r="T38" s="1951"/>
      <c r="U38" s="1952"/>
      <c r="V38" s="1952"/>
      <c r="W38" s="1952"/>
      <c r="X38" s="1953"/>
      <c r="Y38" s="1953"/>
      <c r="Z38" s="1953"/>
      <c r="AA38" s="1954"/>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39" t="s">
        <v>2076</v>
      </c>
      <c r="B40" s="2040"/>
      <c r="C40" s="2041"/>
      <c r="D40" s="2041"/>
      <c r="E40" s="2041"/>
      <c r="F40" s="2042"/>
      <c r="G40" s="2042"/>
      <c r="H40" s="2043"/>
      <c r="I40" s="1955"/>
      <c r="J40" s="1957"/>
      <c r="K40" s="1957"/>
      <c r="L40" s="1957"/>
      <c r="M40" s="1957"/>
      <c r="N40" s="1957"/>
      <c r="O40" s="1957"/>
      <c r="P40" s="1957"/>
      <c r="Q40" s="1957"/>
      <c r="R40" s="1957"/>
      <c r="S40" s="1958"/>
      <c r="T40" s="1955"/>
      <c r="U40" s="1956"/>
      <c r="V40" s="1957"/>
      <c r="W40" s="1957"/>
      <c r="X40" s="1957"/>
      <c r="Y40" s="1957"/>
      <c r="Z40" s="1957"/>
      <c r="AA40" s="19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9" t="s">
        <v>2082</v>
      </c>
      <c r="B42" s="2030"/>
      <c r="C42" s="2031"/>
      <c r="D42" s="2044" t="s">
        <v>2083</v>
      </c>
      <c r="E42" s="2030"/>
      <c r="F42" s="2030"/>
      <c r="G42" s="2030"/>
      <c r="H42" s="2031"/>
      <c r="I42" s="1950"/>
      <c r="J42" s="1946"/>
      <c r="K42" s="1946"/>
      <c r="L42" s="1946"/>
      <c r="M42" s="1946"/>
      <c r="N42" s="1946"/>
      <c r="O42" s="1947"/>
      <c r="P42" s="1945"/>
      <c r="Q42" s="1946"/>
      <c r="R42" s="1946"/>
      <c r="S42" s="1947"/>
      <c r="T42" s="1950"/>
      <c r="U42" s="1946"/>
      <c r="V42" s="1946"/>
      <c r="W42" s="1947"/>
      <c r="X42" s="1945"/>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4" zoomScale="110" zoomScaleNormal="110" workbookViewId="0">
      <selection activeCell="G48" sqref="G4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9" colorId="8" zoomScale="110" zoomScaleNormal="110" workbookViewId="0">
      <selection activeCell="T13" sqref="T13:AA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2074</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t="s">
        <v>2087</v>
      </c>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2068</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T13" sqref="T13:AA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80848257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1.6844700000000001E-2</v>
      </c>
      <c r="E10" s="356" t="s">
        <v>1005</v>
      </c>
      <c r="F10" s="355">
        <v>1.3638000000000001E-3</v>
      </c>
      <c r="G10" s="356" t="s">
        <v>1005</v>
      </c>
      <c r="H10" s="355">
        <v>6.0889999999999998E-3</v>
      </c>
      <c r="I10" s="356" t="s">
        <v>1006</v>
      </c>
      <c r="J10" s="1732">
        <f>ROUND(D10+F10+H10,5)</f>
        <v>2.4299999999999999E-2</v>
      </c>
      <c r="K10" s="222"/>
      <c r="L10" s="355">
        <v>0</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2209803</v>
      </c>
      <c r="E16" s="356"/>
      <c r="F16" s="1733">
        <f>SUM('Acct Summary 7-8'!C17,'Acct Summary 7-8'!D17,'Acct Summary 7-8'!F17)</f>
        <v>2284850</v>
      </c>
      <c r="G16" s="356"/>
      <c r="H16" s="1733">
        <f>SUM(D16-F16)</f>
        <v>-75047</v>
      </c>
      <c r="I16" s="222"/>
      <c r="J16" s="1733">
        <f>SUM('Acct Summary 7-8'!C81,'Acct Summary 7-8'!D81,'Acct Summary 7-8'!F81,'Acct Summary 7-8'!I81)</f>
        <v>1104872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2074</v>
      </c>
      <c r="C31" s="367" t="s">
        <v>586</v>
      </c>
      <c r="D31" s="237" t="s">
        <v>1072</v>
      </c>
      <c r="E31" s="222"/>
      <c r="F31" s="222"/>
      <c r="G31" s="363"/>
      <c r="H31" s="1735">
        <f>IF(B31="X",(J7*0.069),IF(B32="X",(J7*0.138),"Enter x in a.or b."))</f>
        <v>5578529.733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1177000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13" sqref="T13:AA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West Lincoln-Broadwell ESD 92</v>
      </c>
      <c r="E7" s="391"/>
      <c r="G7" s="252"/>
      <c r="H7" s="387"/>
      <c r="I7" s="387"/>
      <c r="J7" s="387"/>
      <c r="K7" s="387"/>
      <c r="L7" s="329"/>
      <c r="M7" s="329"/>
      <c r="N7" s="329"/>
      <c r="O7" s="329"/>
      <c r="P7" s="329"/>
    </row>
    <row r="8" spans="1:18" ht="12.75" x14ac:dyDescent="0.2">
      <c r="A8" s="329"/>
      <c r="B8" s="329"/>
      <c r="C8" s="389" t="s">
        <v>1125</v>
      </c>
      <c r="D8" s="392">
        <f>COVER!A13</f>
        <v>17054092004</v>
      </c>
      <c r="E8" s="393"/>
      <c r="G8" s="329"/>
      <c r="H8" s="329"/>
      <c r="I8" s="329"/>
      <c r="J8" s="329"/>
      <c r="K8" s="329"/>
      <c r="L8" s="329"/>
      <c r="M8" s="329"/>
      <c r="N8" s="329"/>
      <c r="O8" s="329"/>
      <c r="P8" s="329"/>
    </row>
    <row r="9" spans="1:18" ht="12.75" x14ac:dyDescent="0.2">
      <c r="A9" s="329"/>
      <c r="B9" s="329"/>
      <c r="C9" s="389" t="s">
        <v>713</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1104872</v>
      </c>
      <c r="I12" s="404"/>
      <c r="J12" s="404"/>
      <c r="K12" s="405">
        <f>TRUNC((H12/H13*100000),5)/100000</f>
        <v>0.49998665029999995</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2209803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2284850</v>
      </c>
      <c r="I17" s="404"/>
      <c r="J17" s="416"/>
      <c r="K17" s="405">
        <f>TRUNC((H17/H18*100000),5)/100000</f>
        <v>1.0339609458000001</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2209803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11.777841800000001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1107937</v>
      </c>
      <c r="I24" s="422"/>
      <c r="J24" s="422"/>
      <c r="K24" s="423">
        <f>TRUNC(((H24/H25*100000)/100000),2)</f>
        <v>174.56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6346.8055599999998</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1669920.7483399999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1177000</v>
      </c>
      <c r="I32" s="420"/>
      <c r="J32" s="420"/>
      <c r="K32" s="423">
        <f>TRUNC(100-((((H32/H33*100))*100)/100),2)</f>
        <v>78.900000000000006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5578529.733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T13" sqref="T13:AA13"/>
      <selection pane="bottomLeft" activeCell="T13" sqref="T13:AA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417389</v>
      </c>
      <c r="D4" s="466">
        <v>23124</v>
      </c>
      <c r="E4" s="466">
        <v>21560</v>
      </c>
      <c r="F4" s="466">
        <v>121023</v>
      </c>
      <c r="G4" s="466">
        <v>16240</v>
      </c>
      <c r="H4" s="466">
        <v>202000</v>
      </c>
      <c r="I4" s="466">
        <v>546401</v>
      </c>
      <c r="J4" s="467">
        <v>7572</v>
      </c>
      <c r="K4" s="466">
        <v>9117</v>
      </c>
      <c r="L4" s="466">
        <v>11132</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417389</v>
      </c>
      <c r="D13" s="1737">
        <f t="shared" ref="D13:L13" si="0">SUM(D4:D12)</f>
        <v>23124</v>
      </c>
      <c r="E13" s="1737">
        <f t="shared" si="0"/>
        <v>21560</v>
      </c>
      <c r="F13" s="1737">
        <f t="shared" si="0"/>
        <v>121023</v>
      </c>
      <c r="G13" s="1737">
        <f t="shared" si="0"/>
        <v>16240</v>
      </c>
      <c r="H13" s="1737">
        <f t="shared" si="0"/>
        <v>202000</v>
      </c>
      <c r="I13" s="1737">
        <f t="shared" si="0"/>
        <v>546401</v>
      </c>
      <c r="J13" s="1737">
        <f t="shared" si="0"/>
        <v>7572</v>
      </c>
      <c r="K13" s="1737">
        <f t="shared" si="0"/>
        <v>9117</v>
      </c>
      <c r="L13" s="1737">
        <f t="shared" si="0"/>
        <v>11132</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15000</v>
      </c>
      <c r="N16" s="484"/>
    </row>
    <row r="17" spans="1:14" s="485" customFormat="1" ht="12.75" customHeight="1" x14ac:dyDescent="0.2">
      <c r="A17" s="482" t="s">
        <v>1403</v>
      </c>
      <c r="B17" s="483">
        <v>230</v>
      </c>
      <c r="C17" s="477"/>
      <c r="D17" s="477"/>
      <c r="E17" s="477"/>
      <c r="F17" s="477"/>
      <c r="G17" s="477"/>
      <c r="H17" s="477"/>
      <c r="I17" s="477"/>
      <c r="J17" s="477"/>
      <c r="K17" s="477"/>
      <c r="L17" s="477"/>
      <c r="M17" s="467">
        <v>3656529</v>
      </c>
      <c r="N17" s="484"/>
    </row>
    <row r="18" spans="1:14" s="485" customFormat="1" ht="12.75" customHeight="1" x14ac:dyDescent="0.2">
      <c r="A18" s="482" t="s">
        <v>1404</v>
      </c>
      <c r="B18" s="483">
        <v>240</v>
      </c>
      <c r="C18" s="477"/>
      <c r="D18" s="477"/>
      <c r="E18" s="477"/>
      <c r="F18" s="477"/>
      <c r="G18" s="477"/>
      <c r="H18" s="477"/>
      <c r="I18" s="477"/>
      <c r="J18" s="477"/>
      <c r="K18" s="477"/>
      <c r="L18" s="477"/>
      <c r="M18" s="467">
        <v>224871</v>
      </c>
      <c r="N18" s="484"/>
    </row>
    <row r="19" spans="1:14" s="485" customFormat="1" ht="12.75" customHeight="1" x14ac:dyDescent="0.2">
      <c r="A19" s="482" t="s">
        <v>1405</v>
      </c>
      <c r="B19" s="483">
        <v>250</v>
      </c>
      <c r="C19" s="477"/>
      <c r="D19" s="477"/>
      <c r="E19" s="477"/>
      <c r="F19" s="477"/>
      <c r="G19" s="477"/>
      <c r="H19" s="477"/>
      <c r="I19" s="477"/>
      <c r="J19" s="477"/>
      <c r="K19" s="477"/>
      <c r="L19" s="477"/>
      <c r="M19" s="467">
        <v>1225218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21560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1155440</v>
      </c>
    </row>
    <row r="23" spans="1:14" ht="13.5" customHeight="1" thickBot="1" x14ac:dyDescent="0.25">
      <c r="A23" s="1736" t="s">
        <v>643</v>
      </c>
      <c r="B23" s="1741"/>
      <c r="C23" s="468"/>
      <c r="D23" s="468"/>
      <c r="E23" s="468"/>
      <c r="F23" s="468"/>
      <c r="G23" s="468"/>
      <c r="H23" s="468"/>
      <c r="I23" s="468"/>
      <c r="J23" s="468"/>
      <c r="K23" s="468"/>
      <c r="L23" s="468"/>
      <c r="M23" s="1688">
        <f>SUM(M15:M22)</f>
        <v>5121618</v>
      </c>
      <c r="N23" s="1688">
        <f>SUM(N21:N22)</f>
        <v>1177000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3065</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11132</v>
      </c>
      <c r="M33" s="468"/>
      <c r="N33" s="469"/>
    </row>
    <row r="34" spans="1:14" ht="13.5" customHeight="1" thickBot="1" x14ac:dyDescent="0.25">
      <c r="A34" s="1738" t="s">
        <v>654</v>
      </c>
      <c r="B34" s="1739"/>
      <c r="C34" s="1740">
        <f>SUM(C25:C33)</f>
        <v>3065</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11132</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1177000</v>
      </c>
    </row>
    <row r="37" spans="1:14" ht="13.5" thickBot="1" x14ac:dyDescent="0.25">
      <c r="A37" s="1736" t="s">
        <v>653</v>
      </c>
      <c r="B37" s="1741"/>
      <c r="C37" s="477"/>
      <c r="D37" s="477"/>
      <c r="E37" s="477"/>
      <c r="F37" s="477"/>
      <c r="G37" s="477"/>
      <c r="H37" s="477"/>
      <c r="I37" s="477"/>
      <c r="J37" s="477"/>
      <c r="K37" s="477"/>
      <c r="L37" s="480"/>
      <c r="M37" s="468"/>
      <c r="N37" s="1688">
        <f>SUM(N36:N36)</f>
        <v>1177000</v>
      </c>
    </row>
    <row r="38" spans="1:14" s="329" customFormat="1" ht="13.5" customHeight="1" thickTop="1" x14ac:dyDescent="0.2">
      <c r="A38" s="496" t="s">
        <v>420</v>
      </c>
      <c r="B38" s="483">
        <v>714</v>
      </c>
      <c r="C38" s="466"/>
      <c r="D38" s="466"/>
      <c r="E38" s="466"/>
      <c r="F38" s="466"/>
      <c r="G38" s="466">
        <v>3127</v>
      </c>
      <c r="H38" s="466">
        <v>202000</v>
      </c>
      <c r="I38" s="466"/>
      <c r="J38" s="467">
        <v>7572</v>
      </c>
      <c r="K38" s="466">
        <v>9117</v>
      </c>
      <c r="L38" s="481"/>
      <c r="M38" s="497"/>
      <c r="N38" s="497"/>
    </row>
    <row r="39" spans="1:14" s="329" customFormat="1" ht="13.5" customHeight="1" x14ac:dyDescent="0.2">
      <c r="A39" s="496" t="s">
        <v>342</v>
      </c>
      <c r="B39" s="483">
        <v>730</v>
      </c>
      <c r="C39" s="466">
        <v>414324</v>
      </c>
      <c r="D39" s="466">
        <v>23124</v>
      </c>
      <c r="E39" s="466">
        <v>21560</v>
      </c>
      <c r="F39" s="466">
        <v>121023</v>
      </c>
      <c r="G39" s="466">
        <v>13113</v>
      </c>
      <c r="H39" s="466"/>
      <c r="I39" s="466">
        <v>546401</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5121618</v>
      </c>
      <c r="N40" s="497"/>
    </row>
    <row r="41" spans="1:14" ht="13.5" customHeight="1" thickBot="1" x14ac:dyDescent="0.25">
      <c r="A41" s="1736" t="s">
        <v>655</v>
      </c>
      <c r="B41" s="1706"/>
      <c r="C41" s="1688">
        <f>(SUM(C34,C37,C38,C39))</f>
        <v>417389</v>
      </c>
      <c r="D41" s="1688">
        <f t="shared" ref="D41:L41" si="2">SUM(D34,D37,D38:D39)</f>
        <v>23124</v>
      </c>
      <c r="E41" s="1688">
        <f t="shared" si="2"/>
        <v>21560</v>
      </c>
      <c r="F41" s="1688">
        <f t="shared" si="2"/>
        <v>121023</v>
      </c>
      <c r="G41" s="1688">
        <f t="shared" si="2"/>
        <v>16240</v>
      </c>
      <c r="H41" s="1688">
        <f t="shared" si="2"/>
        <v>202000</v>
      </c>
      <c r="I41" s="1688">
        <f t="shared" si="2"/>
        <v>546401</v>
      </c>
      <c r="J41" s="1688">
        <f t="shared" si="2"/>
        <v>7572</v>
      </c>
      <c r="K41" s="1688">
        <f t="shared" si="2"/>
        <v>9117</v>
      </c>
      <c r="L41" s="1688">
        <f t="shared" si="2"/>
        <v>11132</v>
      </c>
      <c r="M41" s="1688">
        <f>SUM(M40)</f>
        <v>5121618</v>
      </c>
      <c r="N41" s="1688">
        <f>SUM(N37)</f>
        <v>1177000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T13" sqref="T13:AA13"/>
      <selection pane="bottomLeft" activeCell="T13" sqref="T13:AA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8" t="s">
        <v>1499</v>
      </c>
      <c r="B4" s="1929">
        <v>1000</v>
      </c>
      <c r="C4" s="1742">
        <f>'Revenues 9-14'!C109</f>
        <v>1620672</v>
      </c>
      <c r="D4" s="1742">
        <f>'Revenues 9-14'!D109</f>
        <v>83229</v>
      </c>
      <c r="E4" s="1742">
        <f>'Revenues 9-14'!E109</f>
        <v>332350</v>
      </c>
      <c r="F4" s="1742">
        <f>'Revenues 9-14'!F109</f>
        <v>97754</v>
      </c>
      <c r="G4" s="1742">
        <f>'Revenues 9-14'!G109</f>
        <v>76214</v>
      </c>
      <c r="H4" s="1742">
        <f>'Revenues 9-14'!H109</f>
        <v>110762</v>
      </c>
      <c r="I4" s="1742">
        <f>'Revenues 9-14'!I109</f>
        <v>22</v>
      </c>
      <c r="J4" s="1742">
        <f>'Revenues 9-14'!J109</f>
        <v>37135</v>
      </c>
      <c r="K4" s="1742">
        <f>'Revenues 9-14'!K109</f>
        <v>22</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192570</v>
      </c>
      <c r="D6" s="1743">
        <f>'Revenues 9-14'!D170</f>
        <v>0</v>
      </c>
      <c r="E6" s="1743">
        <f>'Revenues 9-14'!E170</f>
        <v>0</v>
      </c>
      <c r="F6" s="1743">
        <f>'Revenues 9-14'!F170</f>
        <v>87790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127766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1941008</v>
      </c>
      <c r="D8" s="1688">
        <f t="shared" ref="D8:K8" si="0">SUM(D4:D7)</f>
        <v>83229</v>
      </c>
      <c r="E8" s="1688">
        <f t="shared" si="0"/>
        <v>332350</v>
      </c>
      <c r="F8" s="1688">
        <f t="shared" si="0"/>
        <v>185544</v>
      </c>
      <c r="G8" s="1688">
        <f t="shared" si="0"/>
        <v>76214</v>
      </c>
      <c r="H8" s="1688">
        <f t="shared" si="0"/>
        <v>110762</v>
      </c>
      <c r="I8" s="1688">
        <f t="shared" si="0"/>
        <v>22</v>
      </c>
      <c r="J8" s="1688">
        <f t="shared" si="0"/>
        <v>37135</v>
      </c>
      <c r="K8" s="1688">
        <f t="shared" si="0"/>
        <v>22</v>
      </c>
      <c r="L8" s="347"/>
    </row>
    <row r="9" spans="1:13" ht="15.75" thickTop="1" x14ac:dyDescent="0.2">
      <c r="A9" s="514" t="s">
        <v>1653</v>
      </c>
      <c r="B9" s="515">
        <v>3998</v>
      </c>
      <c r="C9" s="481">
        <v>961382</v>
      </c>
      <c r="D9" s="516"/>
      <c r="E9" s="481"/>
      <c r="F9" s="481"/>
      <c r="G9" s="517"/>
      <c r="H9" s="481"/>
      <c r="I9" s="509" t="s">
        <v>1169</v>
      </c>
      <c r="J9" s="478"/>
      <c r="K9" s="481"/>
      <c r="L9" s="347"/>
    </row>
    <row r="10" spans="1:13" s="519" customFormat="1" ht="13.5" thickBot="1" x14ac:dyDescent="0.25">
      <c r="A10" s="1736" t="s">
        <v>1173</v>
      </c>
      <c r="B10" s="1709"/>
      <c r="C10" s="1688">
        <f>SUM(C8:C9)</f>
        <v>2902390</v>
      </c>
      <c r="D10" s="1688">
        <f t="shared" ref="D10:K10" si="1">SUM(D8:D9)</f>
        <v>83229</v>
      </c>
      <c r="E10" s="1688">
        <f t="shared" si="1"/>
        <v>332350</v>
      </c>
      <c r="F10" s="1688">
        <f t="shared" si="1"/>
        <v>185544</v>
      </c>
      <c r="G10" s="1688">
        <f t="shared" si="1"/>
        <v>76214</v>
      </c>
      <c r="H10" s="1688">
        <f t="shared" si="1"/>
        <v>110762</v>
      </c>
      <c r="I10" s="1688">
        <f t="shared" si="1"/>
        <v>22</v>
      </c>
      <c r="J10" s="1688">
        <f t="shared" si="1"/>
        <v>37135</v>
      </c>
      <c r="K10" s="1688">
        <f t="shared" si="1"/>
        <v>22</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1475376</v>
      </c>
      <c r="D12" s="520" t="s">
        <v>1169</v>
      </c>
      <c r="E12" s="468" t="s">
        <v>1169</v>
      </c>
      <c r="F12" s="468" t="s">
        <v>1169</v>
      </c>
      <c r="G12" s="1742">
        <f>'Expenditures 15-22'!K229</f>
        <v>27144</v>
      </c>
      <c r="H12" s="521"/>
      <c r="I12" s="468" t="s">
        <v>1169</v>
      </c>
      <c r="J12" s="468" t="s">
        <v>1169</v>
      </c>
      <c r="K12" s="521" t="s">
        <v>1169</v>
      </c>
      <c r="L12" s="347"/>
    </row>
    <row r="13" spans="1:13" ht="15.75" customHeight="1" x14ac:dyDescent="0.2">
      <c r="A13" s="1576" t="s">
        <v>457</v>
      </c>
      <c r="B13" s="1578">
        <v>2000</v>
      </c>
      <c r="C13" s="1743">
        <f>'Expenditures 15-22'!K74</f>
        <v>391741</v>
      </c>
      <c r="D13" s="1743">
        <f>'Expenditures 15-22'!K129</f>
        <v>127703</v>
      </c>
      <c r="E13" s="469" t="s">
        <v>1169</v>
      </c>
      <c r="F13" s="1743">
        <f>'Expenditures 15-22'!K184</f>
        <v>160569</v>
      </c>
      <c r="G13" s="1743">
        <f>'Expenditures 15-22'!K279</f>
        <v>48954</v>
      </c>
      <c r="H13" s="1743">
        <f>'Expenditures 15-22'!K303</f>
        <v>27292</v>
      </c>
      <c r="I13" s="468" t="s">
        <v>1169</v>
      </c>
      <c r="J13" s="1743">
        <f>'Expenditures 15-22'!K330</f>
        <v>38302</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129461</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330567</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1996578</v>
      </c>
      <c r="D17" s="1688">
        <f t="shared" si="2"/>
        <v>127703</v>
      </c>
      <c r="E17" s="1688">
        <f t="shared" si="2"/>
        <v>330567</v>
      </c>
      <c r="F17" s="1688">
        <f t="shared" si="2"/>
        <v>160569</v>
      </c>
      <c r="G17" s="1688">
        <f t="shared" si="2"/>
        <v>76098</v>
      </c>
      <c r="H17" s="1688">
        <f t="shared" si="2"/>
        <v>27292</v>
      </c>
      <c r="I17" s="468"/>
      <c r="J17" s="1688">
        <f>SUM(J12:J16)</f>
        <v>38302</v>
      </c>
      <c r="K17" s="1688">
        <f>SUM(K12:K16)</f>
        <v>0</v>
      </c>
      <c r="L17" s="347"/>
    </row>
    <row r="18" spans="1:12" ht="15" customHeight="1" thickTop="1" x14ac:dyDescent="0.2">
      <c r="A18" s="1744" t="s">
        <v>1654</v>
      </c>
      <c r="B18" s="1745">
        <v>4180</v>
      </c>
      <c r="C18" s="1742">
        <f t="shared" ref="C18:H18" si="3">C9</f>
        <v>961382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2957960</v>
      </c>
      <c r="D19" s="1688">
        <f t="shared" si="4"/>
        <v>127703</v>
      </c>
      <c r="E19" s="1688">
        <f t="shared" si="4"/>
        <v>330567</v>
      </c>
      <c r="F19" s="1688">
        <f t="shared" si="4"/>
        <v>160569</v>
      </c>
      <c r="G19" s="1688">
        <f t="shared" si="4"/>
        <v>76098</v>
      </c>
      <c r="H19" s="1688">
        <f t="shared" si="4"/>
        <v>27292</v>
      </c>
      <c r="I19" s="468"/>
      <c r="J19" s="1688">
        <f>SUM(J17:J18)</f>
        <v>38302</v>
      </c>
      <c r="K19" s="1688">
        <f>SUM(K17:K18)</f>
        <v>0</v>
      </c>
      <c r="L19" s="347"/>
    </row>
    <row r="20" spans="1:12" ht="16.5" thickTop="1" thickBot="1" x14ac:dyDescent="0.25">
      <c r="A20" s="2125" t="s">
        <v>1655</v>
      </c>
      <c r="B20" s="2126"/>
      <c r="C20" s="1746">
        <f>C8-C17</f>
        <v>-55570</v>
      </c>
      <c r="D20" s="1746">
        <f t="shared" ref="D20:K20" si="5">D8-D17</f>
        <v>-44474</v>
      </c>
      <c r="E20" s="1746">
        <f t="shared" si="5"/>
        <v>1783</v>
      </c>
      <c r="F20" s="1746">
        <f t="shared" si="5"/>
        <v>24975</v>
      </c>
      <c r="G20" s="1746">
        <f t="shared" si="5"/>
        <v>116</v>
      </c>
      <c r="H20" s="1746">
        <f t="shared" si="5"/>
        <v>83470</v>
      </c>
      <c r="I20" s="1746">
        <f t="shared" si="5"/>
        <v>22</v>
      </c>
      <c r="J20" s="1746">
        <f t="shared" si="5"/>
        <v>-1167</v>
      </c>
      <c r="K20" s="1746">
        <f t="shared" si="5"/>
        <v>22</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7" t="s">
        <v>1177</v>
      </c>
      <c r="B77" s="2118"/>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1" t="s">
        <v>597</v>
      </c>
      <c r="B78" s="2122"/>
      <c r="C78" s="1702">
        <f t="shared" ref="C78:K78" si="9">C20+C77</f>
        <v>-55570</v>
      </c>
      <c r="D78" s="1702">
        <f t="shared" si="9"/>
        <v>-44474</v>
      </c>
      <c r="E78" s="1702">
        <f t="shared" si="9"/>
        <v>1783</v>
      </c>
      <c r="F78" s="1702">
        <f t="shared" si="9"/>
        <v>24975</v>
      </c>
      <c r="G78" s="1702">
        <f t="shared" si="9"/>
        <v>116</v>
      </c>
      <c r="H78" s="1702">
        <f t="shared" si="9"/>
        <v>83470</v>
      </c>
      <c r="I78" s="1702">
        <f t="shared" si="9"/>
        <v>22</v>
      </c>
      <c r="J78" s="1702">
        <f t="shared" si="9"/>
        <v>-1167</v>
      </c>
      <c r="K78" s="1702">
        <f t="shared" si="9"/>
        <v>22</v>
      </c>
      <c r="L78" s="533"/>
    </row>
    <row r="79" spans="1:12" ht="13.5" thickTop="1" x14ac:dyDescent="0.2">
      <c r="A79" s="1494" t="s">
        <v>1948</v>
      </c>
      <c r="B79" s="534"/>
      <c r="C79" s="478">
        <v>469894</v>
      </c>
      <c r="D79" s="535">
        <v>67598</v>
      </c>
      <c r="E79" s="535">
        <v>19777</v>
      </c>
      <c r="F79" s="535">
        <v>96048</v>
      </c>
      <c r="G79" s="535">
        <v>16124</v>
      </c>
      <c r="H79" s="535">
        <v>118530</v>
      </c>
      <c r="I79" s="535">
        <v>546379</v>
      </c>
      <c r="J79" s="535">
        <v>8739</v>
      </c>
      <c r="K79" s="535">
        <v>9095</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1949</v>
      </c>
      <c r="B81" s="2120"/>
      <c r="C81" s="1688">
        <f>(SUM(C78:C80))</f>
        <v>414324</v>
      </c>
      <c r="D81" s="1688">
        <f>SUM(D78:D80)</f>
        <v>23124</v>
      </c>
      <c r="E81" s="1688">
        <f t="shared" ref="E81:K81" si="10">SUM(E78:E80)</f>
        <v>21560</v>
      </c>
      <c r="F81" s="1688">
        <f t="shared" si="10"/>
        <v>121023</v>
      </c>
      <c r="G81" s="1688">
        <f t="shared" si="10"/>
        <v>16240</v>
      </c>
      <c r="H81" s="1688">
        <f t="shared" si="10"/>
        <v>202000</v>
      </c>
      <c r="I81" s="1688">
        <f t="shared" si="10"/>
        <v>546401</v>
      </c>
      <c r="J81" s="1688">
        <f t="shared" si="10"/>
        <v>7572</v>
      </c>
      <c r="K81" s="1688">
        <f t="shared" si="10"/>
        <v>9117</v>
      </c>
      <c r="L81" s="347"/>
    </row>
    <row r="82" spans="1:12" ht="0.75" customHeight="1" thickTop="1" thickBot="1" x14ac:dyDescent="0.25">
      <c r="A82" s="536" t="s">
        <v>343</v>
      </c>
      <c r="B82" s="537"/>
      <c r="C82" s="538">
        <f>(C81-C79)</f>
        <v>-55570</v>
      </c>
      <c r="D82" s="538">
        <f t="shared" ref="D82:K82" si="11">(D81-D79)</f>
        <v>-44474</v>
      </c>
      <c r="E82" s="538">
        <f t="shared" si="11"/>
        <v>1783</v>
      </c>
      <c r="F82" s="538">
        <f t="shared" si="11"/>
        <v>24975</v>
      </c>
      <c r="G82" s="538">
        <f t="shared" si="11"/>
        <v>116</v>
      </c>
      <c r="H82" s="538">
        <f t="shared" si="11"/>
        <v>83470</v>
      </c>
      <c r="I82" s="538">
        <f t="shared" si="11"/>
        <v>22</v>
      </c>
      <c r="J82" s="538">
        <f t="shared" si="11"/>
        <v>-1167</v>
      </c>
      <c r="K82" s="538">
        <f t="shared" si="11"/>
        <v>22</v>
      </c>
    </row>
    <row r="83" spans="1:12" ht="14.25" hidden="1" thickTop="1" thickBot="1" x14ac:dyDescent="0.25">
      <c r="A83" s="539" t="s">
        <v>344</v>
      </c>
      <c r="B83" s="464"/>
      <c r="C83" s="540">
        <f>C82/C81</f>
        <v>-0.1341220880277271</v>
      </c>
      <c r="D83" s="540">
        <f t="shared" ref="D83:K83" si="12">D82/D81</f>
        <v>-1.9232831690019028</v>
      </c>
      <c r="E83" s="540">
        <f t="shared" si="12"/>
        <v>8.2699443413729132E-2</v>
      </c>
      <c r="F83" s="540">
        <f t="shared" si="12"/>
        <v>0.20636573213356138</v>
      </c>
      <c r="G83" s="540">
        <f t="shared" si="12"/>
        <v>7.1428571428571426E-3</v>
      </c>
      <c r="H83" s="540">
        <f t="shared" si="12"/>
        <v>0.4132178217821782</v>
      </c>
      <c r="I83" s="540">
        <f t="shared" si="12"/>
        <v>4.0263469503167088E-5</v>
      </c>
      <c r="J83" s="540">
        <f t="shared" si="12"/>
        <v>-0.15412044374009509</v>
      </c>
      <c r="K83" s="540">
        <f t="shared" si="12"/>
        <v>2.4130744762531535E-3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T13" sqref="T13:AA13"/>
      <selection pane="bottomLeft" activeCell="C33" sqref="C3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1291804</v>
      </c>
      <c r="D5" s="481">
        <v>83049</v>
      </c>
      <c r="E5" s="466">
        <v>332308</v>
      </c>
      <c r="F5" s="548">
        <v>97701</v>
      </c>
      <c r="G5" s="466">
        <v>24433</v>
      </c>
      <c r="H5" s="466"/>
      <c r="I5" s="466"/>
      <c r="J5" s="467">
        <v>37135</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v>48859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1291804</v>
      </c>
      <c r="D12" s="1707">
        <f t="shared" si="0"/>
        <v>83049</v>
      </c>
      <c r="E12" s="1707">
        <f t="shared" si="0"/>
        <v>332308</v>
      </c>
      <c r="F12" s="1707">
        <f t="shared" si="0"/>
        <v>97701</v>
      </c>
      <c r="G12" s="1707">
        <f t="shared" si="0"/>
        <v>73292</v>
      </c>
      <c r="H12" s="1707">
        <f t="shared" si="0"/>
        <v>0</v>
      </c>
      <c r="I12" s="1707">
        <f t="shared" si="0"/>
        <v>0</v>
      </c>
      <c r="J12" s="1707">
        <f t="shared" si="0"/>
        <v>37135</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146542</v>
      </c>
      <c r="D16" s="466"/>
      <c r="E16" s="466"/>
      <c r="F16" s="466"/>
      <c r="G16" s="466">
        <v>2913</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146542</v>
      </c>
      <c r="D18" s="1710">
        <f t="shared" ref="D18:K18" si="1">SUM(D14:D17)</f>
        <v>0</v>
      </c>
      <c r="E18" s="1710">
        <f t="shared" si="1"/>
        <v>0</v>
      </c>
      <c r="F18" s="1710">
        <f t="shared" si="1"/>
        <v>0</v>
      </c>
      <c r="G18" s="1710">
        <f t="shared" si="1"/>
        <v>2913</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63688</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v>237</v>
      </c>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64023</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127948</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739</v>
      </c>
      <c r="D65" s="466">
        <v>110</v>
      </c>
      <c r="E65" s="466">
        <v>42</v>
      </c>
      <c r="F65" s="467">
        <v>53</v>
      </c>
      <c r="G65" s="466">
        <v>9</v>
      </c>
      <c r="H65" s="466"/>
      <c r="I65" s="466">
        <v>22</v>
      </c>
      <c r="J65" s="467"/>
      <c r="K65" s="466">
        <v>22</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739</v>
      </c>
      <c r="D67" s="1688">
        <f t="shared" ref="D67:K67" si="2">SUM(D65:D66)</f>
        <v>110</v>
      </c>
      <c r="E67" s="1688">
        <f t="shared" si="2"/>
        <v>42</v>
      </c>
      <c r="F67" s="1688">
        <f t="shared" si="2"/>
        <v>53</v>
      </c>
      <c r="G67" s="1688">
        <f t="shared" si="2"/>
        <v>9</v>
      </c>
      <c r="H67" s="1688">
        <f t="shared" si="2"/>
        <v>0</v>
      </c>
      <c r="I67" s="1688">
        <f t="shared" si="2"/>
        <v>22</v>
      </c>
      <c r="J67" s="1688">
        <f t="shared" si="2"/>
        <v>0</v>
      </c>
      <c r="K67" s="1688">
        <f t="shared" si="2"/>
        <v>22</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32101</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1334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33435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11567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200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11767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8205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8205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70</v>
      </c>
      <c r="E95" s="521"/>
      <c r="F95" s="521"/>
      <c r="G95" s="521"/>
      <c r="H95" s="521"/>
      <c r="I95" s="521"/>
      <c r="J95" s="521"/>
      <c r="K95" s="521"/>
    </row>
    <row r="96" spans="1:11" ht="12.75" customHeight="1" x14ac:dyDescent="0.2">
      <c r="A96" s="463" t="s">
        <v>391</v>
      </c>
      <c r="B96" s="470">
        <v>1920</v>
      </c>
      <c r="C96" s="551">
        <v>143</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110762</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89</v>
      </c>
      <c r="D107" s="466"/>
      <c r="E107" s="466"/>
      <c r="F107" s="466"/>
      <c r="G107" s="466"/>
      <c r="H107" s="466"/>
      <c r="I107" s="466"/>
      <c r="J107" s="467"/>
      <c r="K107" s="466"/>
    </row>
    <row r="108" spans="1:12" ht="12.75" customHeight="1" thickBot="1" x14ac:dyDescent="0.25">
      <c r="A108" s="1708" t="s">
        <v>487</v>
      </c>
      <c r="B108" s="1712"/>
      <c r="C108" s="1707">
        <f>SUM(C95:C107)</f>
        <v>232</v>
      </c>
      <c r="D108" s="1707">
        <f t="shared" ref="D108:K108" si="3">SUM(D95:D107)</f>
        <v>70</v>
      </c>
      <c r="E108" s="1707">
        <f t="shared" si="3"/>
        <v>0</v>
      </c>
      <c r="F108" s="1707">
        <f t="shared" si="3"/>
        <v>0</v>
      </c>
      <c r="G108" s="1707">
        <f t="shared" si="3"/>
        <v>0</v>
      </c>
      <c r="H108" s="1707">
        <f t="shared" si="3"/>
        <v>110762</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1620672</v>
      </c>
      <c r="D109" s="1715">
        <f t="shared" si="4"/>
        <v>83229</v>
      </c>
      <c r="E109" s="1715">
        <f t="shared" si="4"/>
        <v>332350</v>
      </c>
      <c r="F109" s="1715">
        <f t="shared" si="4"/>
        <v>97754</v>
      </c>
      <c r="G109" s="1715">
        <f t="shared" si="4"/>
        <v>76214</v>
      </c>
      <c r="H109" s="1715">
        <f t="shared" si="4"/>
        <v>110762</v>
      </c>
      <c r="I109" s="1715">
        <f t="shared" si="4"/>
        <v>22</v>
      </c>
      <c r="J109" s="1715">
        <f t="shared" si="4"/>
        <v>37135</v>
      </c>
      <c r="K109" s="1702">
        <f t="shared" si="4"/>
        <v>22</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152218</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152218</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34421</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5368</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39789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563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27605</v>
      </c>
      <c r="G152" s="467"/>
      <c r="H152" s="468"/>
      <c r="I152" s="468"/>
      <c r="J152" s="468"/>
      <c r="K152" s="468"/>
    </row>
    <row r="153" spans="1:11" ht="12.75" customHeight="1" x14ac:dyDescent="0.2">
      <c r="A153" s="463" t="s">
        <v>1057</v>
      </c>
      <c r="B153" s="562">
        <v>3510</v>
      </c>
      <c r="C153" s="551"/>
      <c r="D153" s="466"/>
      <c r="E153" s="561"/>
      <c r="F153" s="466">
        <v>60185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87790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40352</v>
      </c>
      <c r="D169" s="1722">
        <f t="shared" si="6"/>
        <v>0</v>
      </c>
      <c r="E169" s="1722">
        <f t="shared" si="6"/>
        <v>0</v>
      </c>
      <c r="F169" s="1722">
        <f t="shared" si="6"/>
        <v>87790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192570</v>
      </c>
      <c r="D170" s="1715">
        <f t="shared" si="7"/>
        <v>0</v>
      </c>
      <c r="E170" s="1715">
        <f t="shared" si="7"/>
        <v>0</v>
      </c>
      <c r="F170" s="1715">
        <f t="shared" si="7"/>
        <v>87790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32076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6419</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38495</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39430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39430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1374</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48467</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49841</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127766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127766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1941008</v>
      </c>
      <c r="D268" s="1715">
        <f t="shared" si="12"/>
        <v>83229</v>
      </c>
      <c r="E268" s="1715">
        <f t="shared" si="12"/>
        <v>332350</v>
      </c>
      <c r="F268" s="1715">
        <f t="shared" si="12"/>
        <v>185544</v>
      </c>
      <c r="G268" s="1715">
        <f t="shared" si="12"/>
        <v>76214</v>
      </c>
      <c r="H268" s="1715">
        <f t="shared" si="12"/>
        <v>110762</v>
      </c>
      <c r="I268" s="1715">
        <f t="shared" si="12"/>
        <v>22</v>
      </c>
      <c r="J268" s="1715">
        <f t="shared" si="12"/>
        <v>37135</v>
      </c>
      <c r="K268" s="1702">
        <f t="shared" si="12"/>
        <v>22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71" activePane="bottomLeft" state="frozen"/>
      <selection activeCell="T13" sqref="T13:AA13"/>
      <selection pane="bottomLeft" activeCell="T13" sqref="T13:AA1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874515</v>
      </c>
      <c r="D5" s="466">
        <v>171778</v>
      </c>
      <c r="E5" s="466">
        <v>3292</v>
      </c>
      <c r="F5" s="466">
        <v>32420</v>
      </c>
      <c r="G5" s="466">
        <v>2406</v>
      </c>
      <c r="H5" s="466"/>
      <c r="I5" s="467"/>
      <c r="J5" s="467"/>
      <c r="K5" s="1671">
        <f>SUM(C5:J5)</f>
        <v>1084411</v>
      </c>
      <c r="L5" s="466">
        <v>1074950</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c r="D7" s="467"/>
      <c r="E7" s="467"/>
      <c r="F7" s="467"/>
      <c r="G7" s="467"/>
      <c r="H7" s="467"/>
      <c r="I7" s="467"/>
      <c r="J7" s="467"/>
      <c r="K7" s="1671">
        <f t="shared" ref="K7:K32" si="0">SUM(C7:J7)</f>
        <v>0</v>
      </c>
      <c r="L7" s="466">
        <v>0</v>
      </c>
    </row>
    <row r="8" spans="1:14" x14ac:dyDescent="0.2">
      <c r="A8" s="1504" t="s">
        <v>164</v>
      </c>
      <c r="B8" s="614">
        <v>1200</v>
      </c>
      <c r="C8" s="466">
        <v>207734</v>
      </c>
      <c r="D8" s="466">
        <v>21821</v>
      </c>
      <c r="E8" s="466">
        <v>304</v>
      </c>
      <c r="F8" s="466">
        <v>973</v>
      </c>
      <c r="G8" s="466"/>
      <c r="H8" s="466">
        <v>70088</v>
      </c>
      <c r="I8" s="467"/>
      <c r="J8" s="467"/>
      <c r="K8" s="1671">
        <f t="shared" si="0"/>
        <v>300920</v>
      </c>
      <c r="L8" s="466">
        <v>285755</v>
      </c>
    </row>
    <row r="9" spans="1:14" x14ac:dyDescent="0.2">
      <c r="A9" s="1504" t="s">
        <v>721</v>
      </c>
      <c r="B9" s="614" t="s">
        <v>968</v>
      </c>
      <c r="C9" s="467"/>
      <c r="D9" s="467"/>
      <c r="E9" s="467"/>
      <c r="F9" s="467"/>
      <c r="G9" s="467"/>
      <c r="H9" s="467"/>
      <c r="I9" s="467"/>
      <c r="J9" s="467"/>
      <c r="K9" s="1671">
        <f t="shared" si="0"/>
        <v>0</v>
      </c>
      <c r="L9" s="466">
        <v>0</v>
      </c>
    </row>
    <row r="10" spans="1:14" x14ac:dyDescent="0.2">
      <c r="A10" s="1504" t="s">
        <v>722</v>
      </c>
      <c r="B10" s="614">
        <v>1250</v>
      </c>
      <c r="C10" s="466">
        <v>9216</v>
      </c>
      <c r="D10" s="466">
        <v>129</v>
      </c>
      <c r="E10" s="466">
        <v>7404</v>
      </c>
      <c r="F10" s="466">
        <v>16668</v>
      </c>
      <c r="G10" s="466">
        <v>14114</v>
      </c>
      <c r="H10" s="466"/>
      <c r="I10" s="467"/>
      <c r="J10" s="467"/>
      <c r="K10" s="1671">
        <f t="shared" si="0"/>
        <v>47531</v>
      </c>
      <c r="L10" s="466">
        <v>33500</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c r="D13" s="466"/>
      <c r="E13" s="466"/>
      <c r="F13" s="466"/>
      <c r="G13" s="466"/>
      <c r="H13" s="466"/>
      <c r="I13" s="467"/>
      <c r="J13" s="467"/>
      <c r="K13" s="1671">
        <f t="shared" si="0"/>
        <v>0</v>
      </c>
      <c r="L13" s="466">
        <v>0</v>
      </c>
    </row>
    <row r="14" spans="1:14" x14ac:dyDescent="0.2">
      <c r="A14" s="1504" t="s">
        <v>963</v>
      </c>
      <c r="B14" s="614">
        <v>1500</v>
      </c>
      <c r="C14" s="466">
        <v>10700</v>
      </c>
      <c r="D14" s="466">
        <v>1188</v>
      </c>
      <c r="E14" s="466">
        <v>20366</v>
      </c>
      <c r="F14" s="466">
        <v>2444</v>
      </c>
      <c r="G14" s="466"/>
      <c r="H14" s="466">
        <v>7816</v>
      </c>
      <c r="I14" s="467"/>
      <c r="J14" s="467"/>
      <c r="K14" s="1671">
        <f t="shared" si="0"/>
        <v>42514</v>
      </c>
      <c r="L14" s="466">
        <v>29600</v>
      </c>
    </row>
    <row r="15" spans="1:14" x14ac:dyDescent="0.2">
      <c r="A15" s="1504" t="s">
        <v>964</v>
      </c>
      <c r="B15" s="614">
        <v>1600</v>
      </c>
      <c r="C15" s="466"/>
      <c r="D15" s="466"/>
      <c r="E15" s="466"/>
      <c r="F15" s="466"/>
      <c r="G15" s="466"/>
      <c r="H15" s="466"/>
      <c r="I15" s="467"/>
      <c r="J15" s="467"/>
      <c r="K15" s="1671">
        <f t="shared" si="0"/>
        <v>0</v>
      </c>
      <c r="L15" s="466">
        <v>0</v>
      </c>
    </row>
    <row r="16" spans="1:14" x14ac:dyDescent="0.2">
      <c r="A16" s="1504" t="s">
        <v>987</v>
      </c>
      <c r="B16" s="614" t="s">
        <v>424</v>
      </c>
      <c r="C16" s="466"/>
      <c r="D16" s="466"/>
      <c r="E16" s="466"/>
      <c r="F16" s="466"/>
      <c r="G16" s="466"/>
      <c r="H16" s="466"/>
      <c r="I16" s="467"/>
      <c r="J16" s="467"/>
      <c r="K16" s="1671">
        <f t="shared" si="0"/>
        <v>0</v>
      </c>
      <c r="L16" s="466">
        <v>0</v>
      </c>
    </row>
    <row r="17" spans="1:12" x14ac:dyDescent="0.2">
      <c r="A17" s="1504" t="s">
        <v>724</v>
      </c>
      <c r="B17" s="614" t="s">
        <v>162</v>
      </c>
      <c r="C17" s="467"/>
      <c r="D17" s="467"/>
      <c r="E17" s="467"/>
      <c r="F17" s="467"/>
      <c r="G17" s="467"/>
      <c r="H17" s="467"/>
      <c r="I17" s="467"/>
      <c r="J17" s="467"/>
      <c r="K17" s="1671">
        <f t="shared" si="0"/>
        <v>0</v>
      </c>
      <c r="L17" s="466">
        <v>0</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1102165</v>
      </c>
      <c r="D33" s="1670">
        <f t="shared" ref="D33:L33" si="1">SUM(D5:D32)</f>
        <v>194916</v>
      </c>
      <c r="E33" s="1670">
        <f t="shared" si="1"/>
        <v>31366</v>
      </c>
      <c r="F33" s="1670">
        <f t="shared" si="1"/>
        <v>52505</v>
      </c>
      <c r="G33" s="1670">
        <f t="shared" si="1"/>
        <v>16520</v>
      </c>
      <c r="H33" s="1670">
        <f t="shared" si="1"/>
        <v>77904</v>
      </c>
      <c r="I33" s="1670">
        <f t="shared" si="1"/>
        <v>0</v>
      </c>
      <c r="J33" s="1670">
        <f t="shared" si="1"/>
        <v>0</v>
      </c>
      <c r="K33" s="1670">
        <f t="shared" si="1"/>
        <v>1475376</v>
      </c>
      <c r="L33" s="1670">
        <f t="shared" si="1"/>
        <v>1423805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0</v>
      </c>
    </row>
    <row r="37" spans="1:14" x14ac:dyDescent="0.2">
      <c r="A37" s="1504" t="s">
        <v>1090</v>
      </c>
      <c r="B37" s="614">
        <v>2120</v>
      </c>
      <c r="C37" s="466"/>
      <c r="D37" s="466"/>
      <c r="E37" s="466"/>
      <c r="F37" s="466"/>
      <c r="G37" s="466"/>
      <c r="H37" s="466"/>
      <c r="I37" s="467"/>
      <c r="J37" s="467"/>
      <c r="K37" s="1671">
        <f t="shared" si="2"/>
        <v>0</v>
      </c>
      <c r="L37" s="466">
        <v>0</v>
      </c>
    </row>
    <row r="38" spans="1:14" x14ac:dyDescent="0.2">
      <c r="A38" s="1504" t="s">
        <v>198</v>
      </c>
      <c r="B38" s="614">
        <v>2130</v>
      </c>
      <c r="C38" s="466">
        <v>191</v>
      </c>
      <c r="D38" s="466"/>
      <c r="E38" s="466"/>
      <c r="F38" s="466"/>
      <c r="G38" s="466"/>
      <c r="H38" s="466"/>
      <c r="I38" s="467"/>
      <c r="J38" s="467"/>
      <c r="K38" s="1671">
        <f t="shared" si="2"/>
        <v>191</v>
      </c>
      <c r="L38" s="466">
        <v>0</v>
      </c>
    </row>
    <row r="39" spans="1:14" x14ac:dyDescent="0.2">
      <c r="A39" s="1504" t="s">
        <v>199</v>
      </c>
      <c r="B39" s="614">
        <v>2140</v>
      </c>
      <c r="C39" s="466"/>
      <c r="D39" s="466"/>
      <c r="E39" s="466"/>
      <c r="F39" s="466"/>
      <c r="G39" s="466"/>
      <c r="H39" s="466"/>
      <c r="I39" s="467"/>
      <c r="J39" s="467"/>
      <c r="K39" s="1671">
        <f t="shared" si="2"/>
        <v>0</v>
      </c>
      <c r="L39" s="466">
        <v>0</v>
      </c>
    </row>
    <row r="40" spans="1:14" x14ac:dyDescent="0.2">
      <c r="A40" s="1504" t="s">
        <v>200</v>
      </c>
      <c r="B40" s="614">
        <v>2150</v>
      </c>
      <c r="C40" s="466"/>
      <c r="D40" s="466"/>
      <c r="E40" s="466"/>
      <c r="F40" s="466"/>
      <c r="G40" s="466"/>
      <c r="H40" s="466"/>
      <c r="I40" s="467"/>
      <c r="J40" s="467"/>
      <c r="K40" s="1671">
        <f t="shared" si="2"/>
        <v>0</v>
      </c>
      <c r="L40" s="466">
        <v>0</v>
      </c>
    </row>
    <row r="41" spans="1:14" x14ac:dyDescent="0.2">
      <c r="A41" s="1504" t="s">
        <v>1669</v>
      </c>
      <c r="B41" s="614">
        <v>2190</v>
      </c>
      <c r="C41" s="466"/>
      <c r="D41" s="466"/>
      <c r="E41" s="466"/>
      <c r="F41" s="466"/>
      <c r="G41" s="466"/>
      <c r="H41" s="466"/>
      <c r="I41" s="467"/>
      <c r="J41" s="467"/>
      <c r="K41" s="1671">
        <f t="shared" si="2"/>
        <v>0</v>
      </c>
      <c r="L41" s="466">
        <v>0</v>
      </c>
    </row>
    <row r="42" spans="1:14" ht="12.75" customHeight="1" thickBot="1" x14ac:dyDescent="0.25">
      <c r="A42" s="1668" t="s">
        <v>560</v>
      </c>
      <c r="B42" s="1669" t="s">
        <v>716</v>
      </c>
      <c r="C42" s="1670">
        <f>SUM(C36:C41)</f>
        <v>191</v>
      </c>
      <c r="D42" s="1670">
        <f t="shared" ref="D42:L42" si="3">SUM(D36:D41)</f>
        <v>0</v>
      </c>
      <c r="E42" s="1670">
        <f t="shared" si="3"/>
        <v>0</v>
      </c>
      <c r="F42" s="1670">
        <f t="shared" si="3"/>
        <v>0</v>
      </c>
      <c r="G42" s="1670">
        <f t="shared" si="3"/>
        <v>0</v>
      </c>
      <c r="H42" s="1670">
        <f t="shared" si="3"/>
        <v>0</v>
      </c>
      <c r="I42" s="1670">
        <f t="shared" si="3"/>
        <v>0</v>
      </c>
      <c r="J42" s="1670">
        <f t="shared" si="3"/>
        <v>0</v>
      </c>
      <c r="K42" s="1670">
        <f t="shared" si="3"/>
        <v>191</v>
      </c>
      <c r="L42" s="1670">
        <f t="shared" si="3"/>
        <v>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v>46135</v>
      </c>
    </row>
    <row r="45" spans="1:14" x14ac:dyDescent="0.2">
      <c r="A45" s="1504" t="s">
        <v>815</v>
      </c>
      <c r="B45" s="614">
        <v>2220</v>
      </c>
      <c r="C45" s="466">
        <v>50464</v>
      </c>
      <c r="D45" s="466"/>
      <c r="E45" s="466">
        <v>9063</v>
      </c>
      <c r="F45" s="466">
        <v>835</v>
      </c>
      <c r="G45" s="466"/>
      <c r="H45" s="466"/>
      <c r="I45" s="467"/>
      <c r="J45" s="467"/>
      <c r="K45" s="1672">
        <f>SUM(C45:J45)</f>
        <v>60362</v>
      </c>
      <c r="L45" s="466">
        <v>2000</v>
      </c>
    </row>
    <row r="46" spans="1:14" x14ac:dyDescent="0.2">
      <c r="A46" s="1504" t="s">
        <v>816</v>
      </c>
      <c r="B46" s="614">
        <v>2230</v>
      </c>
      <c r="C46" s="466"/>
      <c r="D46" s="466"/>
      <c r="E46" s="466"/>
      <c r="F46" s="466"/>
      <c r="G46" s="466"/>
      <c r="H46" s="466"/>
      <c r="I46" s="467"/>
      <c r="J46" s="467"/>
      <c r="K46" s="1672">
        <f>SUM(C46:J46)</f>
        <v>0</v>
      </c>
      <c r="L46" s="466">
        <v>1400</v>
      </c>
    </row>
    <row r="47" spans="1:14" ht="12.75" customHeight="1" thickBot="1" x14ac:dyDescent="0.25">
      <c r="A47" s="1668" t="s">
        <v>561</v>
      </c>
      <c r="B47" s="1669" t="s">
        <v>32</v>
      </c>
      <c r="C47" s="1670">
        <f>SUM(C44:C46)</f>
        <v>50464</v>
      </c>
      <c r="D47" s="1670">
        <f t="shared" ref="D47:K47" si="4">SUM(D44:D46)</f>
        <v>0</v>
      </c>
      <c r="E47" s="1670">
        <f t="shared" si="4"/>
        <v>9063</v>
      </c>
      <c r="F47" s="1670">
        <f t="shared" si="4"/>
        <v>835</v>
      </c>
      <c r="G47" s="1670">
        <f t="shared" si="4"/>
        <v>0</v>
      </c>
      <c r="H47" s="1670">
        <f t="shared" si="4"/>
        <v>0</v>
      </c>
      <c r="I47" s="1670">
        <f t="shared" si="4"/>
        <v>0</v>
      </c>
      <c r="J47" s="1670">
        <f t="shared" si="4"/>
        <v>0</v>
      </c>
      <c r="K47" s="1670">
        <f t="shared" si="4"/>
        <v>60362</v>
      </c>
      <c r="L47" s="1670">
        <f>SUM(L44:L46)</f>
        <v>49535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3226</v>
      </c>
      <c r="D49" s="481"/>
      <c r="E49" s="481">
        <v>19264</v>
      </c>
      <c r="F49" s="481">
        <v>2027</v>
      </c>
      <c r="G49" s="481"/>
      <c r="H49" s="481">
        <v>2642</v>
      </c>
      <c r="I49" s="467"/>
      <c r="J49" s="467"/>
      <c r="K49" s="1672">
        <f>SUM(C49:J49)</f>
        <v>27159</v>
      </c>
      <c r="L49" s="481">
        <v>24250</v>
      </c>
    </row>
    <row r="50" spans="1:14" x14ac:dyDescent="0.2">
      <c r="A50" s="1504" t="s">
        <v>818</v>
      </c>
      <c r="B50" s="614">
        <v>2320</v>
      </c>
      <c r="C50" s="466">
        <v>61650</v>
      </c>
      <c r="D50" s="466">
        <v>5822</v>
      </c>
      <c r="E50" s="466">
        <v>2296</v>
      </c>
      <c r="F50" s="466"/>
      <c r="G50" s="466"/>
      <c r="H50" s="466">
        <v>931</v>
      </c>
      <c r="I50" s="467"/>
      <c r="J50" s="467"/>
      <c r="K50" s="1672">
        <f>SUM(C50:J50)</f>
        <v>70699</v>
      </c>
      <c r="L50" s="466">
        <v>69400</v>
      </c>
    </row>
    <row r="51" spans="1:14" x14ac:dyDescent="0.2">
      <c r="A51" s="1504" t="s">
        <v>42</v>
      </c>
      <c r="B51" s="614">
        <v>2330</v>
      </c>
      <c r="C51" s="466"/>
      <c r="D51" s="466"/>
      <c r="E51" s="466"/>
      <c r="F51" s="466"/>
      <c r="G51" s="466"/>
      <c r="H51" s="466"/>
      <c r="I51" s="467"/>
      <c r="J51" s="467"/>
      <c r="K51" s="1672">
        <f>SUM(C51:J51)</f>
        <v>0</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64876</v>
      </c>
      <c r="D53" s="1670">
        <f t="shared" ref="D53:L53" si="5">SUM(D49:D52)</f>
        <v>5822</v>
      </c>
      <c r="E53" s="1670">
        <f t="shared" si="5"/>
        <v>21560</v>
      </c>
      <c r="F53" s="1670">
        <f t="shared" si="5"/>
        <v>2027</v>
      </c>
      <c r="G53" s="1670">
        <f t="shared" si="5"/>
        <v>0</v>
      </c>
      <c r="H53" s="1670">
        <f t="shared" si="5"/>
        <v>3573</v>
      </c>
      <c r="I53" s="1670">
        <f t="shared" si="5"/>
        <v>0</v>
      </c>
      <c r="J53" s="1670">
        <f t="shared" si="5"/>
        <v>0</v>
      </c>
      <c r="K53" s="1670">
        <f t="shared" si="5"/>
        <v>97858</v>
      </c>
      <c r="L53" s="1670">
        <f t="shared" si="5"/>
        <v>93650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84028</v>
      </c>
      <c r="D55" s="481">
        <v>6128</v>
      </c>
      <c r="E55" s="481"/>
      <c r="F55" s="481">
        <v>2445</v>
      </c>
      <c r="G55" s="481"/>
      <c r="H55" s="481">
        <v>795</v>
      </c>
      <c r="I55" s="467"/>
      <c r="J55" s="467"/>
      <c r="K55" s="1672">
        <f>SUM(C55:J55)</f>
        <v>93396</v>
      </c>
      <c r="L55" s="481">
        <v>72150</v>
      </c>
    </row>
    <row r="56" spans="1:14" ht="12.75" customHeight="1" x14ac:dyDescent="0.2">
      <c r="A56" s="1508" t="s">
        <v>376</v>
      </c>
      <c r="B56" s="628">
        <v>2490</v>
      </c>
      <c r="C56" s="466"/>
      <c r="D56" s="466"/>
      <c r="E56" s="466"/>
      <c r="F56" s="466"/>
      <c r="G56" s="466"/>
      <c r="H56" s="466"/>
      <c r="I56" s="467"/>
      <c r="J56" s="467"/>
      <c r="K56" s="1672">
        <f>SUM(C56:J56)</f>
        <v>0</v>
      </c>
      <c r="L56" s="466">
        <v>0</v>
      </c>
    </row>
    <row r="57" spans="1:14" s="343" customFormat="1" ht="12.75" customHeight="1" thickBot="1" x14ac:dyDescent="0.25">
      <c r="A57" s="1668" t="s">
        <v>263</v>
      </c>
      <c r="B57" s="1673" t="s">
        <v>34</v>
      </c>
      <c r="C57" s="1674">
        <f>SUM(C55:C56)</f>
        <v>84028</v>
      </c>
      <c r="D57" s="1674">
        <f t="shared" ref="D57:K57" si="6">SUM(D55:D56)</f>
        <v>6128</v>
      </c>
      <c r="E57" s="1674">
        <f t="shared" si="6"/>
        <v>0</v>
      </c>
      <c r="F57" s="1674">
        <f t="shared" si="6"/>
        <v>2445</v>
      </c>
      <c r="G57" s="1674">
        <f t="shared" si="6"/>
        <v>0</v>
      </c>
      <c r="H57" s="1674">
        <f t="shared" si="6"/>
        <v>795</v>
      </c>
      <c r="I57" s="1674">
        <f t="shared" si="6"/>
        <v>0</v>
      </c>
      <c r="J57" s="1674">
        <f t="shared" si="6"/>
        <v>0</v>
      </c>
      <c r="K57" s="1674">
        <f t="shared" si="6"/>
        <v>93396</v>
      </c>
      <c r="L57" s="1670">
        <f>SUM(L55:L56)</f>
        <v>72150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v>38666</v>
      </c>
      <c r="D60" s="466"/>
      <c r="E60" s="466">
        <v>1534</v>
      </c>
      <c r="F60" s="466">
        <v>1375</v>
      </c>
      <c r="G60" s="466">
        <v>4750</v>
      </c>
      <c r="H60" s="466"/>
      <c r="I60" s="467"/>
      <c r="J60" s="467"/>
      <c r="K60" s="1672">
        <f t="shared" si="7"/>
        <v>46325</v>
      </c>
      <c r="L60" s="466">
        <v>47300</v>
      </c>
      <c r="M60" s="609"/>
      <c r="N60" s="609"/>
    </row>
    <row r="61" spans="1:14" s="343" customFormat="1" x14ac:dyDescent="0.2">
      <c r="A61" s="1504" t="s">
        <v>197</v>
      </c>
      <c r="B61" s="614">
        <v>2540</v>
      </c>
      <c r="C61" s="466"/>
      <c r="D61" s="466"/>
      <c r="E61" s="466"/>
      <c r="F61" s="466"/>
      <c r="G61" s="466"/>
      <c r="H61" s="466"/>
      <c r="I61" s="467"/>
      <c r="J61" s="467"/>
      <c r="K61" s="1672">
        <f t="shared" si="7"/>
        <v>0</v>
      </c>
      <c r="L61" s="466">
        <v>0</v>
      </c>
      <c r="M61" s="609"/>
      <c r="N61" s="609"/>
    </row>
    <row r="62" spans="1:14" s="343" customFormat="1" x14ac:dyDescent="0.2">
      <c r="A62" s="1504" t="s">
        <v>953</v>
      </c>
      <c r="B62" s="614">
        <v>2550</v>
      </c>
      <c r="C62" s="466"/>
      <c r="D62" s="466"/>
      <c r="E62" s="466"/>
      <c r="F62" s="466"/>
      <c r="G62" s="466"/>
      <c r="H62" s="466"/>
      <c r="I62" s="467"/>
      <c r="J62" s="467"/>
      <c r="K62" s="1672">
        <f t="shared" si="7"/>
        <v>0</v>
      </c>
      <c r="L62" s="466">
        <v>0</v>
      </c>
      <c r="M62" s="609"/>
      <c r="N62" s="609"/>
    </row>
    <row r="63" spans="1:14" s="609" customFormat="1" x14ac:dyDescent="0.2">
      <c r="A63" s="1504" t="s">
        <v>100</v>
      </c>
      <c r="B63" s="614">
        <v>2560</v>
      </c>
      <c r="C63" s="466">
        <v>20133</v>
      </c>
      <c r="D63" s="466"/>
      <c r="E63" s="466">
        <v>52654</v>
      </c>
      <c r="F63" s="466">
        <v>15902</v>
      </c>
      <c r="G63" s="466"/>
      <c r="H63" s="466"/>
      <c r="I63" s="467"/>
      <c r="J63" s="467"/>
      <c r="K63" s="1672">
        <f t="shared" si="7"/>
        <v>88689</v>
      </c>
      <c r="L63" s="466">
        <v>96325</v>
      </c>
    </row>
    <row r="64" spans="1:14" s="609" customFormat="1" x14ac:dyDescent="0.2">
      <c r="A64" s="1509" t="s">
        <v>101</v>
      </c>
      <c r="B64" s="630">
        <v>2570</v>
      </c>
      <c r="C64" s="481"/>
      <c r="D64" s="481"/>
      <c r="E64" s="481">
        <v>4858</v>
      </c>
      <c r="F64" s="481">
        <v>62</v>
      </c>
      <c r="G64" s="481"/>
      <c r="H64" s="481"/>
      <c r="I64" s="467"/>
      <c r="J64" s="467"/>
      <c r="K64" s="1672">
        <f t="shared" si="7"/>
        <v>4920</v>
      </c>
      <c r="L64" s="481">
        <v>4650</v>
      </c>
    </row>
    <row r="65" spans="1:14" s="343" customFormat="1" ht="12.75" customHeight="1" thickBot="1" x14ac:dyDescent="0.25">
      <c r="A65" s="1668" t="s">
        <v>719</v>
      </c>
      <c r="B65" s="1669" t="s">
        <v>35</v>
      </c>
      <c r="C65" s="1670">
        <f>SUM(C59:C64)</f>
        <v>58799</v>
      </c>
      <c r="D65" s="1670">
        <f t="shared" ref="D65:L65" si="8">SUM(D59:D64)</f>
        <v>0</v>
      </c>
      <c r="E65" s="1670">
        <f t="shared" si="8"/>
        <v>59046</v>
      </c>
      <c r="F65" s="1670">
        <f t="shared" si="8"/>
        <v>17339</v>
      </c>
      <c r="G65" s="1670">
        <f t="shared" si="8"/>
        <v>4750</v>
      </c>
      <c r="H65" s="1670">
        <f t="shared" si="8"/>
        <v>0</v>
      </c>
      <c r="I65" s="1670">
        <f t="shared" si="8"/>
        <v>0</v>
      </c>
      <c r="J65" s="1670">
        <f t="shared" si="8"/>
        <v>0</v>
      </c>
      <c r="K65" s="1670">
        <f t="shared" si="8"/>
        <v>139934</v>
      </c>
      <c r="L65" s="1670">
        <f t="shared" si="8"/>
        <v>148275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c r="G69" s="466"/>
      <c r="H69" s="466"/>
      <c r="I69" s="467"/>
      <c r="J69" s="467"/>
      <c r="K69" s="1672">
        <f>SUM(C69:J69)</f>
        <v>0</v>
      </c>
      <c r="L69" s="466">
        <v>0</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0</v>
      </c>
      <c r="M73" s="609"/>
      <c r="N73" s="609"/>
    </row>
    <row r="74" spans="1:14" ht="12.75" customHeight="1" thickTop="1" thickBot="1" x14ac:dyDescent="0.25">
      <c r="A74" s="1668" t="s">
        <v>811</v>
      </c>
      <c r="B74" s="1676">
        <v>2000</v>
      </c>
      <c r="C74" s="1677">
        <f>SUM(C42,C47,C53,C57,C65,C72,C73)</f>
        <v>258358</v>
      </c>
      <c r="D74" s="1677">
        <f t="shared" ref="D74:K74" si="10">SUM(D42,D47,D53,D57,D65,D72,D73)</f>
        <v>11950</v>
      </c>
      <c r="E74" s="1677">
        <f t="shared" si="10"/>
        <v>89669</v>
      </c>
      <c r="F74" s="1677">
        <f t="shared" si="10"/>
        <v>22646</v>
      </c>
      <c r="G74" s="1677">
        <f t="shared" si="10"/>
        <v>4750</v>
      </c>
      <c r="H74" s="1677">
        <f t="shared" si="10"/>
        <v>4368</v>
      </c>
      <c r="I74" s="1677">
        <f t="shared" si="10"/>
        <v>0</v>
      </c>
      <c r="J74" s="1677">
        <f t="shared" si="10"/>
        <v>0</v>
      </c>
      <c r="K74" s="1677">
        <f t="shared" si="10"/>
        <v>391741</v>
      </c>
      <c r="L74" s="1677">
        <f>SUM(L42,L47,L53,L57,L65,L72,L73)</f>
        <v>363610</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v>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0</v>
      </c>
    </row>
    <row r="79" spans="1:14" x14ac:dyDescent="0.2">
      <c r="A79" s="1504" t="s">
        <v>304</v>
      </c>
      <c r="B79" s="614">
        <v>4120</v>
      </c>
      <c r="C79" s="616"/>
      <c r="D79" s="616"/>
      <c r="E79" s="466">
        <v>97890</v>
      </c>
      <c r="F79" s="616"/>
      <c r="G79" s="616"/>
      <c r="H79" s="466">
        <v>31571</v>
      </c>
      <c r="I79" s="477"/>
      <c r="J79" s="477"/>
      <c r="K79" s="1671">
        <f t="shared" si="11"/>
        <v>129461</v>
      </c>
      <c r="L79" s="466">
        <v>156000</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c r="I81" s="477"/>
      <c r="J81" s="477"/>
      <c r="K81" s="1671">
        <f t="shared" si="11"/>
        <v>0</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c r="F83" s="616"/>
      <c r="G83" s="616"/>
      <c r="H83" s="466"/>
      <c r="I83" s="477"/>
      <c r="J83" s="477"/>
      <c r="K83" s="1671">
        <f t="shared" si="11"/>
        <v>0</v>
      </c>
      <c r="L83" s="466">
        <v>0</v>
      </c>
    </row>
    <row r="84" spans="1:12" ht="13.5" thickBot="1" x14ac:dyDescent="0.25">
      <c r="A84" s="1668" t="s">
        <v>1485</v>
      </c>
      <c r="B84" s="1678">
        <v>4100</v>
      </c>
      <c r="C84" s="616"/>
      <c r="D84" s="616"/>
      <c r="E84" s="1670">
        <f>SUM(E78:E83)</f>
        <v>97890</v>
      </c>
      <c r="F84" s="616"/>
      <c r="G84" s="616"/>
      <c r="H84" s="1670">
        <f>SUM(H78:H83)</f>
        <v>31571</v>
      </c>
      <c r="I84" s="477"/>
      <c r="J84" s="477"/>
      <c r="K84" s="1670">
        <f>SUM(K78:K83)</f>
        <v>129461</v>
      </c>
      <c r="L84" s="1670">
        <f>SUM(L78:L83)</f>
        <v>156000</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0</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c r="I88" s="477"/>
      <c r="J88" s="477"/>
      <c r="K88" s="1677">
        <f t="shared" si="12"/>
        <v>0</v>
      </c>
      <c r="L88" s="530">
        <v>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v>0</v>
      </c>
    </row>
    <row r="102" spans="1:14" ht="12.75" customHeight="1" thickTop="1" thickBot="1" x14ac:dyDescent="0.25">
      <c r="A102" s="1668" t="s">
        <v>1487</v>
      </c>
      <c r="B102" s="1678">
        <v>4000</v>
      </c>
      <c r="C102" s="616"/>
      <c r="D102" s="616"/>
      <c r="E102" s="1677">
        <f>SUM(E84,E92,E100,E101)</f>
        <v>97890</v>
      </c>
      <c r="F102" s="616"/>
      <c r="G102" s="616"/>
      <c r="H102" s="1677">
        <f>SUM(H84,H92,H100,H101)</f>
        <v>31571</v>
      </c>
      <c r="I102" s="477"/>
      <c r="J102" s="477"/>
      <c r="K102" s="1677">
        <f>SUM(K84,K92,K100,K101)</f>
        <v>129461</v>
      </c>
      <c r="L102" s="1677">
        <f>SUM(L84,L92,L100,L101)</f>
        <v>156000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1360523</v>
      </c>
      <c r="D114" s="1670">
        <f t="shared" ref="D114:K114" si="13">SUM(D33,D74,D75,D102,D112,D113)</f>
        <v>206866</v>
      </c>
      <c r="E114" s="1670">
        <f t="shared" si="13"/>
        <v>218925</v>
      </c>
      <c r="F114" s="1670">
        <f t="shared" si="13"/>
        <v>75151</v>
      </c>
      <c r="G114" s="1670">
        <f t="shared" si="13"/>
        <v>21270</v>
      </c>
      <c r="H114" s="1670">
        <f>SUM(H33,H74,H75,H102,H112,H113)</f>
        <v>113843</v>
      </c>
      <c r="I114" s="1670">
        <f t="shared" si="13"/>
        <v>0</v>
      </c>
      <c r="J114" s="1670">
        <f t="shared" si="13"/>
        <v>0</v>
      </c>
      <c r="K114" s="1670">
        <f t="shared" si="13"/>
        <v>1996578</v>
      </c>
      <c r="L114" s="1670">
        <f>SUM(L33,L74,L75,L102,L112,L113)</f>
        <v>1943415</v>
      </c>
    </row>
    <row r="115" spans="1:14" ht="13.5" thickTop="1" x14ac:dyDescent="0.2">
      <c r="A115" s="2180" t="s">
        <v>996</v>
      </c>
      <c r="B115" s="2181"/>
      <c r="C115" s="618"/>
      <c r="D115" s="618"/>
      <c r="E115" s="618"/>
      <c r="F115" s="618"/>
      <c r="G115" s="618"/>
      <c r="H115" s="618"/>
      <c r="I115" s="618"/>
      <c r="J115" s="618"/>
      <c r="K115" s="1684">
        <f>'Revenues 9-14'!C268-'Expenditures 15-22'!K114</f>
        <v>-55570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2059</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c r="H123" s="466"/>
      <c r="I123" s="467"/>
      <c r="J123" s="467"/>
      <c r="K123" s="1670">
        <f>SUM(C123:J123)</f>
        <v>0</v>
      </c>
      <c r="L123" s="466">
        <v>0</v>
      </c>
    </row>
    <row r="124" spans="1:14" ht="14.25" thickTop="1" thickBot="1" x14ac:dyDescent="0.25">
      <c r="A124" s="1504" t="s">
        <v>197</v>
      </c>
      <c r="B124" s="614">
        <v>2540</v>
      </c>
      <c r="C124" s="466">
        <v>45133</v>
      </c>
      <c r="D124" s="466">
        <v>153</v>
      </c>
      <c r="E124" s="466">
        <v>29448</v>
      </c>
      <c r="F124" s="466">
        <v>52969</v>
      </c>
      <c r="G124" s="466"/>
      <c r="H124" s="466"/>
      <c r="I124" s="467"/>
      <c r="J124" s="467"/>
      <c r="K124" s="1670">
        <f>SUM(C124:J124)</f>
        <v>127703</v>
      </c>
      <c r="L124" s="466">
        <v>131400</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45133</v>
      </c>
      <c r="D127" s="1670">
        <f t="shared" ref="D127:L127" si="14">SUM(D122:D126)</f>
        <v>153</v>
      </c>
      <c r="E127" s="1670">
        <f t="shared" si="14"/>
        <v>29448</v>
      </c>
      <c r="F127" s="1670">
        <f t="shared" si="14"/>
        <v>52969</v>
      </c>
      <c r="G127" s="1670">
        <f t="shared" si="14"/>
        <v>0</v>
      </c>
      <c r="H127" s="1670">
        <f t="shared" si="14"/>
        <v>0</v>
      </c>
      <c r="I127" s="1670">
        <f t="shared" si="14"/>
        <v>0</v>
      </c>
      <c r="J127" s="1670">
        <f t="shared" si="14"/>
        <v>0</v>
      </c>
      <c r="K127" s="1670">
        <f t="shared" si="14"/>
        <v>127703</v>
      </c>
      <c r="L127" s="1670">
        <f t="shared" si="14"/>
        <v>131400</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45133</v>
      </c>
      <c r="D129" s="1677">
        <f t="shared" ref="D129:L129" si="15">SUM(D120,D127,D128)</f>
        <v>153</v>
      </c>
      <c r="E129" s="1677">
        <f t="shared" si="15"/>
        <v>29448</v>
      </c>
      <c r="F129" s="1677">
        <f t="shared" si="15"/>
        <v>52969</v>
      </c>
      <c r="G129" s="1677">
        <f t="shared" si="15"/>
        <v>0</v>
      </c>
      <c r="H129" s="1677">
        <f t="shared" si="15"/>
        <v>0</v>
      </c>
      <c r="I129" s="1677">
        <f t="shared" si="15"/>
        <v>0</v>
      </c>
      <c r="J129" s="1677">
        <f t="shared" si="15"/>
        <v>0</v>
      </c>
      <c r="K129" s="1677">
        <f t="shared" si="15"/>
        <v>127703</v>
      </c>
      <c r="L129" s="1677">
        <f t="shared" si="15"/>
        <v>131400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0" t="s">
        <v>620</v>
      </c>
      <c r="B151" s="2152"/>
      <c r="C151" s="1670">
        <f>SUM(C129,C130,C139,C149,C150)</f>
        <v>45133</v>
      </c>
      <c r="D151" s="1670">
        <f t="shared" ref="D151:K151" si="16">SUM(D129,D130,D139,D149,D150)</f>
        <v>153</v>
      </c>
      <c r="E151" s="1670">
        <f t="shared" si="16"/>
        <v>29448</v>
      </c>
      <c r="F151" s="1670">
        <f t="shared" si="16"/>
        <v>52969</v>
      </c>
      <c r="G151" s="1670">
        <f t="shared" si="16"/>
        <v>0</v>
      </c>
      <c r="H151" s="1670">
        <f t="shared" si="16"/>
        <v>0</v>
      </c>
      <c r="I151" s="1670">
        <f t="shared" si="16"/>
        <v>0</v>
      </c>
      <c r="J151" s="1670">
        <f t="shared" si="16"/>
        <v>0</v>
      </c>
      <c r="K151" s="1670">
        <f t="shared" si="16"/>
        <v>127703</v>
      </c>
      <c r="L151" s="1670">
        <f>SUM(L129,L130,L139,L149,L150)</f>
        <v>131400</v>
      </c>
    </row>
    <row r="152" spans="1:14" ht="12.75" customHeight="1" thickTop="1" x14ac:dyDescent="0.2">
      <c r="A152" s="2173" t="s">
        <v>1178</v>
      </c>
      <c r="B152" s="2174"/>
      <c r="C152" s="618"/>
      <c r="D152" s="618"/>
      <c r="E152" s="618"/>
      <c r="F152" s="618"/>
      <c r="G152" s="618"/>
      <c r="H152" s="618"/>
      <c r="I152" s="618"/>
      <c r="J152" s="616"/>
      <c r="K152" s="1684">
        <f>'Revenues 9-14'!D268-'Expenditures 15-22'!K151</f>
        <v>-44474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v>0</v>
      </c>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0</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36067</v>
      </c>
      <c r="I169" s="616"/>
      <c r="J169" s="616"/>
      <c r="K169" s="1671">
        <f>SUM(C169:H169)</f>
        <v>36067</v>
      </c>
      <c r="L169" s="656">
        <v>332000</v>
      </c>
    </row>
    <row r="170" spans="1:14" ht="33.75" customHeight="1" x14ac:dyDescent="0.2">
      <c r="A170" s="669" t="s">
        <v>1670</v>
      </c>
      <c r="B170" s="671" t="s">
        <v>31</v>
      </c>
      <c r="C170" s="616"/>
      <c r="D170" s="616"/>
      <c r="E170" s="616"/>
      <c r="F170" s="616"/>
      <c r="G170" s="616"/>
      <c r="H170" s="569">
        <v>294000</v>
      </c>
      <c r="I170" s="616"/>
      <c r="J170" s="616"/>
      <c r="K170" s="1671">
        <f>SUM(C170:J170)</f>
        <v>294000</v>
      </c>
      <c r="L170" s="569">
        <v>0</v>
      </c>
    </row>
    <row r="171" spans="1:14" ht="15.75" customHeight="1" x14ac:dyDescent="0.2">
      <c r="A171" s="621" t="s">
        <v>766</v>
      </c>
      <c r="B171" s="672" t="s">
        <v>84</v>
      </c>
      <c r="C171" s="616"/>
      <c r="D171" s="616"/>
      <c r="E171" s="466"/>
      <c r="F171" s="616"/>
      <c r="G171" s="616"/>
      <c r="H171" s="569">
        <v>500</v>
      </c>
      <c r="I171" s="477"/>
      <c r="J171" s="616"/>
      <c r="K171" s="1671">
        <f>SUM(C171:J171)</f>
        <v>500</v>
      </c>
      <c r="L171" s="569">
        <v>0</v>
      </c>
    </row>
    <row r="172" spans="1:14" ht="12.75" customHeight="1" thickBot="1" x14ac:dyDescent="0.25">
      <c r="A172" s="1668" t="s">
        <v>638</v>
      </c>
      <c r="B172" s="1669" t="s">
        <v>492</v>
      </c>
      <c r="C172" s="616"/>
      <c r="D172" s="616"/>
      <c r="E172" s="1677">
        <f>SUM(E168,E169,E170,E171)</f>
        <v>0</v>
      </c>
      <c r="F172" s="616"/>
      <c r="G172" s="616"/>
      <c r="H172" s="1677">
        <f>SUM(H168,H169,H170,H171)</f>
        <v>330567</v>
      </c>
      <c r="I172" s="638"/>
      <c r="J172" s="616"/>
      <c r="K172" s="1677">
        <f>SUM(K168,K169,K170,K171)</f>
        <v>330567</v>
      </c>
      <c r="L172" s="1677">
        <f>SUM(L168,L169,L170,L171)</f>
        <v>332000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330567</v>
      </c>
      <c r="I174" s="638"/>
      <c r="J174" s="616"/>
      <c r="K174" s="1677">
        <f>SUM(K160,K172,K173)</f>
        <v>330567</v>
      </c>
      <c r="L174" s="1677">
        <f>SUM(L160,L172,L173)</f>
        <v>332000</v>
      </c>
    </row>
    <row r="175" spans="1:14" ht="13.5" thickTop="1" x14ac:dyDescent="0.2">
      <c r="A175" s="2180" t="s">
        <v>996</v>
      </c>
      <c r="B175" s="2181"/>
      <c r="C175" s="616"/>
      <c r="D175" s="616"/>
      <c r="E175" s="616"/>
      <c r="F175" s="616"/>
      <c r="G175" s="616"/>
      <c r="H175" s="618"/>
      <c r="I175" s="616"/>
      <c r="J175" s="616"/>
      <c r="K175" s="1684">
        <f>'Revenues 9-14'!E268-'Expenditures 15-22'!K174</f>
        <v>1783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2059</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77598</v>
      </c>
      <c r="D182" s="466">
        <v>153</v>
      </c>
      <c r="E182" s="466">
        <v>9072</v>
      </c>
      <c r="F182" s="466">
        <v>17171</v>
      </c>
      <c r="G182" s="466">
        <v>56575</v>
      </c>
      <c r="H182" s="466"/>
      <c r="I182" s="467"/>
      <c r="J182" s="467"/>
      <c r="K182" s="1671">
        <f>SUM(C182:J182)</f>
        <v>160569</v>
      </c>
      <c r="L182" s="466">
        <v>185100</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77598</v>
      </c>
      <c r="D184" s="1677">
        <f t="shared" ref="D184:J184" si="17">SUM(D180,D182,D183)</f>
        <v>153</v>
      </c>
      <c r="E184" s="1677">
        <f t="shared" si="17"/>
        <v>9072</v>
      </c>
      <c r="F184" s="1677">
        <f t="shared" si="17"/>
        <v>17171</v>
      </c>
      <c r="G184" s="1677">
        <f t="shared" si="17"/>
        <v>56575</v>
      </c>
      <c r="H184" s="1677">
        <f t="shared" si="17"/>
        <v>0</v>
      </c>
      <c r="I184" s="1677">
        <f t="shared" si="17"/>
        <v>0</v>
      </c>
      <c r="J184" s="1677">
        <f t="shared" si="17"/>
        <v>0</v>
      </c>
      <c r="K184" s="1677">
        <f>SUM(K180,K182,K183)</f>
        <v>160569</v>
      </c>
      <c r="L184" s="1677">
        <f>SUM(L180, L182:L183)</f>
        <v>185100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77598</v>
      </c>
      <c r="D210" s="1670">
        <f>SUM(D184,D185)</f>
        <v>153</v>
      </c>
      <c r="E210" s="1670">
        <f>SUM(E184,E185,E196)</f>
        <v>9072</v>
      </c>
      <c r="F210" s="1670">
        <f>SUM(F184,F185)</f>
        <v>17171</v>
      </c>
      <c r="G210" s="1670">
        <f>SUM(G184,G185)</f>
        <v>56575</v>
      </c>
      <c r="H210" s="1670">
        <f>SUM(H184,H185,H196,H208,H209)</f>
        <v>0</v>
      </c>
      <c r="I210" s="1670">
        <f>SUM(I184,I185)</f>
        <v>0</v>
      </c>
      <c r="J210" s="1670">
        <f>SUM(J184,J185)</f>
        <v>0</v>
      </c>
      <c r="K210" s="1671">
        <f>SUM(K184,K185,K196,K208,K209)</f>
        <v>160569</v>
      </c>
      <c r="L210" s="1670">
        <f>SUM(L184,L185,L196,L208,L209)</f>
        <v>185100</v>
      </c>
    </row>
    <row r="211" spans="1:14" ht="13.5" thickTop="1" x14ac:dyDescent="0.2">
      <c r="A211" s="2180" t="s">
        <v>996</v>
      </c>
      <c r="B211" s="2181"/>
      <c r="C211" s="618"/>
      <c r="D211" s="618"/>
      <c r="E211" s="618"/>
      <c r="F211" s="618"/>
      <c r="G211" s="618"/>
      <c r="H211" s="618"/>
      <c r="I211" s="616"/>
      <c r="J211" s="616"/>
      <c r="K211" s="1684">
        <f>'Revenues 9-14'!F268-'Expenditures 15-22'!K210</f>
        <v>24975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11296</v>
      </c>
      <c r="E215" s="616"/>
      <c r="F215" s="616"/>
      <c r="G215" s="616"/>
      <c r="H215" s="616"/>
      <c r="I215" s="616"/>
      <c r="J215" s="616"/>
      <c r="K215" s="1671">
        <f>D215</f>
        <v>11296</v>
      </c>
      <c r="L215" s="466">
        <v>12300</v>
      </c>
    </row>
    <row r="216" spans="1:14" x14ac:dyDescent="0.2">
      <c r="A216" s="1504" t="s">
        <v>163</v>
      </c>
      <c r="B216" s="614" t="s">
        <v>967</v>
      </c>
      <c r="C216" s="616"/>
      <c r="D216" s="467"/>
      <c r="E216" s="616"/>
      <c r="F216" s="616"/>
      <c r="G216" s="616"/>
      <c r="H216" s="616"/>
      <c r="I216" s="616"/>
      <c r="J216" s="616"/>
      <c r="K216" s="1671">
        <f t="shared" ref="K216:K228" si="19">D216</f>
        <v>0</v>
      </c>
      <c r="L216" s="466">
        <v>0</v>
      </c>
    </row>
    <row r="217" spans="1:14" x14ac:dyDescent="0.2">
      <c r="A217" s="1504" t="s">
        <v>164</v>
      </c>
      <c r="B217" s="614">
        <v>1200</v>
      </c>
      <c r="C217" s="616"/>
      <c r="D217" s="466">
        <v>14888</v>
      </c>
      <c r="E217" s="616"/>
      <c r="F217" s="616"/>
      <c r="G217" s="616"/>
      <c r="H217" s="616"/>
      <c r="I217" s="616"/>
      <c r="J217" s="616"/>
      <c r="K217" s="1671">
        <f t="shared" si="19"/>
        <v>14888</v>
      </c>
      <c r="L217" s="466">
        <v>18150</v>
      </c>
    </row>
    <row r="218" spans="1:14" x14ac:dyDescent="0.2">
      <c r="A218" s="1504" t="s">
        <v>278</v>
      </c>
      <c r="B218" s="614" t="s">
        <v>968</v>
      </c>
      <c r="C218" s="616"/>
      <c r="D218" s="467"/>
      <c r="E218" s="616"/>
      <c r="F218" s="616"/>
      <c r="G218" s="616"/>
      <c r="H218" s="616"/>
      <c r="I218" s="616"/>
      <c r="J218" s="616"/>
      <c r="K218" s="1671">
        <f t="shared" si="19"/>
        <v>0</v>
      </c>
      <c r="L218" s="466">
        <v>0</v>
      </c>
    </row>
    <row r="219" spans="1:14" x14ac:dyDescent="0.2">
      <c r="A219" s="1504" t="s">
        <v>279</v>
      </c>
      <c r="B219" s="614">
        <v>1250</v>
      </c>
      <c r="C219" s="616"/>
      <c r="D219" s="466">
        <v>669</v>
      </c>
      <c r="E219" s="616"/>
      <c r="F219" s="616"/>
      <c r="G219" s="616"/>
      <c r="H219" s="616"/>
      <c r="I219" s="616"/>
      <c r="J219" s="616"/>
      <c r="K219" s="1671">
        <f t="shared" si="19"/>
        <v>669</v>
      </c>
      <c r="L219" s="466">
        <v>300</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c r="E222" s="616"/>
      <c r="F222" s="616"/>
      <c r="G222" s="616"/>
      <c r="H222" s="616"/>
      <c r="I222" s="616"/>
      <c r="J222" s="616"/>
      <c r="K222" s="1671">
        <f t="shared" si="19"/>
        <v>0</v>
      </c>
      <c r="L222" s="466">
        <v>0</v>
      </c>
    </row>
    <row r="223" spans="1:14" x14ac:dyDescent="0.2">
      <c r="A223" s="1504" t="s">
        <v>963</v>
      </c>
      <c r="B223" s="614">
        <v>1500</v>
      </c>
      <c r="C223" s="616"/>
      <c r="D223" s="466">
        <v>291</v>
      </c>
      <c r="E223" s="616"/>
      <c r="F223" s="616"/>
      <c r="G223" s="616"/>
      <c r="H223" s="616"/>
      <c r="I223" s="616"/>
      <c r="J223" s="616"/>
      <c r="K223" s="1671">
        <f t="shared" si="19"/>
        <v>291</v>
      </c>
      <c r="L223" s="466">
        <v>330</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c r="E226" s="616"/>
      <c r="F226" s="616"/>
      <c r="G226" s="616"/>
      <c r="H226" s="616"/>
      <c r="I226" s="616"/>
      <c r="J226" s="616"/>
      <c r="K226" s="1671">
        <f t="shared" si="19"/>
        <v>0</v>
      </c>
      <c r="L226" s="466">
        <v>0</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27144</v>
      </c>
      <c r="E229" s="616"/>
      <c r="F229" s="616"/>
      <c r="G229" s="616"/>
      <c r="H229" s="616"/>
      <c r="I229" s="616"/>
      <c r="J229" s="616"/>
      <c r="K229" s="1670">
        <f>SUM(K215:K228)</f>
        <v>27144</v>
      </c>
      <c r="L229" s="1670">
        <f>SUM(L215:L228)</f>
        <v>31080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0</v>
      </c>
    </row>
    <row r="233" spans="1:12" x14ac:dyDescent="0.2">
      <c r="A233" s="1504" t="s">
        <v>1090</v>
      </c>
      <c r="B233" s="614">
        <v>2120</v>
      </c>
      <c r="C233" s="616"/>
      <c r="D233" s="466"/>
      <c r="E233" s="616"/>
      <c r="F233" s="616"/>
      <c r="G233" s="616"/>
      <c r="H233" s="616"/>
      <c r="I233" s="616"/>
      <c r="J233" s="616"/>
      <c r="K233" s="1671">
        <f t="shared" si="20"/>
        <v>0</v>
      </c>
      <c r="L233" s="466">
        <v>0</v>
      </c>
    </row>
    <row r="234" spans="1:12" x14ac:dyDescent="0.2">
      <c r="A234" s="1504" t="s">
        <v>198</v>
      </c>
      <c r="B234" s="614">
        <v>2130</v>
      </c>
      <c r="C234" s="616"/>
      <c r="D234" s="466"/>
      <c r="E234" s="616"/>
      <c r="F234" s="616"/>
      <c r="G234" s="616"/>
      <c r="H234" s="616"/>
      <c r="I234" s="616"/>
      <c r="J234" s="616"/>
      <c r="K234" s="1671">
        <f t="shared" si="20"/>
        <v>0</v>
      </c>
      <c r="L234" s="466">
        <v>0</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c r="E236" s="616"/>
      <c r="F236" s="616"/>
      <c r="G236" s="616"/>
      <c r="H236" s="616"/>
      <c r="I236" s="616"/>
      <c r="J236" s="616"/>
      <c r="K236" s="1671">
        <f t="shared" si="20"/>
        <v>0</v>
      </c>
      <c r="L236" s="466">
        <v>0</v>
      </c>
    </row>
    <row r="237" spans="1:12" x14ac:dyDescent="0.2">
      <c r="A237" s="1504" t="s">
        <v>165</v>
      </c>
      <c r="B237" s="614">
        <v>2190</v>
      </c>
      <c r="C237" s="616"/>
      <c r="D237" s="466">
        <v>8560</v>
      </c>
      <c r="E237" s="616"/>
      <c r="F237" s="616"/>
      <c r="G237" s="616"/>
      <c r="H237" s="616"/>
      <c r="I237" s="616"/>
      <c r="J237" s="616"/>
      <c r="K237" s="1671">
        <f t="shared" si="20"/>
        <v>8560</v>
      </c>
      <c r="L237" s="466">
        <v>0</v>
      </c>
    </row>
    <row r="238" spans="1:12" ht="12.75" customHeight="1" thickBot="1" x14ac:dyDescent="0.25">
      <c r="A238" s="1668" t="s">
        <v>560</v>
      </c>
      <c r="B238" s="1675" t="s">
        <v>716</v>
      </c>
      <c r="C238" s="616"/>
      <c r="D238" s="1670">
        <f>SUM(D232:D237)</f>
        <v>8560</v>
      </c>
      <c r="E238" s="616"/>
      <c r="F238" s="616"/>
      <c r="G238" s="616"/>
      <c r="H238" s="616"/>
      <c r="I238" s="616"/>
      <c r="J238" s="616"/>
      <c r="K238" s="1670">
        <f>SUM(K232:K237)</f>
        <v>8560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10000</v>
      </c>
    </row>
    <row r="241" spans="1:12" x14ac:dyDescent="0.2">
      <c r="A241" s="1504" t="s">
        <v>815</v>
      </c>
      <c r="B241" s="614">
        <v>2220</v>
      </c>
      <c r="C241" s="616"/>
      <c r="D241" s="466"/>
      <c r="E241" s="616"/>
      <c r="F241" s="616"/>
      <c r="G241" s="616"/>
      <c r="H241" s="616"/>
      <c r="I241" s="616"/>
      <c r="J241" s="616"/>
      <c r="K241" s="1672">
        <f>D241</f>
        <v>0</v>
      </c>
      <c r="L241" s="466">
        <v>0</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10000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3505</v>
      </c>
      <c r="E245" s="616"/>
      <c r="F245" s="616"/>
      <c r="G245" s="616"/>
      <c r="H245" s="616"/>
      <c r="I245" s="616"/>
      <c r="J245" s="616"/>
      <c r="K245" s="1672">
        <f>D245</f>
        <v>3505</v>
      </c>
      <c r="L245" s="481">
        <v>500</v>
      </c>
    </row>
    <row r="246" spans="1:12" x14ac:dyDescent="0.2">
      <c r="A246" s="1504" t="s">
        <v>818</v>
      </c>
      <c r="B246" s="614">
        <v>2320</v>
      </c>
      <c r="C246" s="616"/>
      <c r="D246" s="466"/>
      <c r="E246" s="616"/>
      <c r="F246" s="616"/>
      <c r="G246" s="616"/>
      <c r="H246" s="616"/>
      <c r="I246" s="616"/>
      <c r="J246" s="616"/>
      <c r="K246" s="1672">
        <f t="shared" ref="K246:K256" si="21">D246</f>
        <v>0</v>
      </c>
      <c r="L246" s="466">
        <v>3350</v>
      </c>
    </row>
    <row r="247" spans="1:12" x14ac:dyDescent="0.2">
      <c r="A247" s="1504" t="s">
        <v>819</v>
      </c>
      <c r="B247" s="614">
        <v>2330</v>
      </c>
      <c r="C247" s="616"/>
      <c r="D247" s="466"/>
      <c r="E247" s="616"/>
      <c r="F247" s="616"/>
      <c r="G247" s="616"/>
      <c r="H247" s="616"/>
      <c r="I247" s="616"/>
      <c r="J247" s="616"/>
      <c r="K247" s="1672">
        <f t="shared" si="21"/>
        <v>0</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1805</v>
      </c>
      <c r="B249" s="683" t="s">
        <v>282</v>
      </c>
      <c r="C249" s="616"/>
      <c r="D249" s="474"/>
      <c r="E249" s="616"/>
      <c r="F249" s="616"/>
      <c r="G249" s="616"/>
      <c r="H249" s="616"/>
      <c r="I249" s="616"/>
      <c r="J249" s="616"/>
      <c r="K249" s="1672">
        <f t="shared" si="21"/>
        <v>0</v>
      </c>
      <c r="L249" s="466">
        <v>0</v>
      </c>
    </row>
    <row r="250" spans="1:12" x14ac:dyDescent="0.2">
      <c r="A250" s="1505" t="s">
        <v>1806</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c r="E254" s="616"/>
      <c r="F254" s="616"/>
      <c r="G254" s="616"/>
      <c r="H254" s="616"/>
      <c r="I254" s="616"/>
      <c r="J254" s="616"/>
      <c r="K254" s="1672">
        <f t="shared" si="21"/>
        <v>0</v>
      </c>
      <c r="L254" s="466">
        <v>0</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3505</v>
      </c>
      <c r="E257" s="616"/>
      <c r="F257" s="616"/>
      <c r="G257" s="616"/>
      <c r="H257" s="616"/>
      <c r="I257" s="616"/>
      <c r="J257" s="616"/>
      <c r="K257" s="1670">
        <f>SUM(K245:K256)</f>
        <v>3505</v>
      </c>
      <c r="L257" s="1670">
        <f>SUM(L245:L256)</f>
        <v>3850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6336</v>
      </c>
      <c r="E259" s="616"/>
      <c r="F259" s="616"/>
      <c r="G259" s="616"/>
      <c r="H259" s="616"/>
      <c r="I259" s="616"/>
      <c r="J259" s="616"/>
      <c r="K259" s="1672">
        <f>D259</f>
        <v>6336</v>
      </c>
      <c r="L259" s="481">
        <v>6100</v>
      </c>
    </row>
    <row r="260" spans="1:14" s="597" customFormat="1" x14ac:dyDescent="0.2">
      <c r="A260" s="1522" t="s">
        <v>1804</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6336</v>
      </c>
      <c r="E261" s="616"/>
      <c r="F261" s="616"/>
      <c r="G261" s="616"/>
      <c r="H261" s="616"/>
      <c r="I261" s="616"/>
      <c r="J261" s="616"/>
      <c r="K261" s="1670">
        <f>SUM(K259:K260)</f>
        <v>6336</v>
      </c>
      <c r="L261" s="1670">
        <f>SUM(L259:L260)</f>
        <v>6100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v>6715</v>
      </c>
      <c r="E264" s="616"/>
      <c r="F264" s="616"/>
      <c r="G264" s="616"/>
      <c r="H264" s="616"/>
      <c r="I264" s="616"/>
      <c r="J264" s="616"/>
      <c r="K264" s="1672">
        <f t="shared" ref="K264:K269" si="22">D264</f>
        <v>6715</v>
      </c>
      <c r="L264" s="466">
        <v>7700</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8123</v>
      </c>
      <c r="E266" s="616"/>
      <c r="F266" s="616"/>
      <c r="G266" s="616"/>
      <c r="H266" s="616"/>
      <c r="I266" s="616"/>
      <c r="J266" s="616"/>
      <c r="K266" s="1672">
        <f t="shared" si="22"/>
        <v>8123</v>
      </c>
      <c r="L266" s="466">
        <v>9425</v>
      </c>
    </row>
    <row r="267" spans="1:14" x14ac:dyDescent="0.2">
      <c r="A267" s="1504" t="s">
        <v>953</v>
      </c>
      <c r="B267" s="614">
        <v>2550</v>
      </c>
      <c r="C267" s="616"/>
      <c r="D267" s="466">
        <v>12113</v>
      </c>
      <c r="E267" s="616"/>
      <c r="F267" s="616"/>
      <c r="G267" s="616"/>
      <c r="H267" s="616"/>
      <c r="I267" s="616"/>
      <c r="J267" s="616"/>
      <c r="K267" s="1672">
        <f t="shared" si="22"/>
        <v>12113</v>
      </c>
      <c r="L267" s="466">
        <v>16225</v>
      </c>
    </row>
    <row r="268" spans="1:14" x14ac:dyDescent="0.2">
      <c r="A268" s="1504" t="s">
        <v>100</v>
      </c>
      <c r="B268" s="614">
        <v>2560</v>
      </c>
      <c r="C268" s="616"/>
      <c r="D268" s="466">
        <v>3602</v>
      </c>
      <c r="E268" s="616"/>
      <c r="F268" s="616"/>
      <c r="G268" s="616"/>
      <c r="H268" s="616"/>
      <c r="I268" s="616"/>
      <c r="J268" s="616"/>
      <c r="K268" s="1672">
        <f t="shared" si="22"/>
        <v>3602</v>
      </c>
      <c r="L268" s="466">
        <v>3700</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30553</v>
      </c>
      <c r="E270" s="616"/>
      <c r="F270" s="616"/>
      <c r="G270" s="616"/>
      <c r="H270" s="616"/>
      <c r="I270" s="616"/>
      <c r="J270" s="616"/>
      <c r="K270" s="1670">
        <f>SUM(K263:K269)</f>
        <v>30553</v>
      </c>
      <c r="L270" s="1670">
        <f>SUM(L263:L269)</f>
        <v>37050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48954</v>
      </c>
      <c r="E279" s="616"/>
      <c r="F279" s="616"/>
      <c r="G279" s="616"/>
      <c r="H279" s="616"/>
      <c r="I279" s="616"/>
      <c r="J279" s="616"/>
      <c r="K279" s="1677">
        <f>SUM(K238,K243,K257,K261,K270,K277,K278)</f>
        <v>48954</v>
      </c>
      <c r="L279" s="1677">
        <f>SUM(L238,L243,L257,L261,L270,L277,L278)</f>
        <v>57000</v>
      </c>
    </row>
    <row r="280" spans="1:12" ht="15.75" customHeight="1" thickTop="1" thickBot="1" x14ac:dyDescent="0.25">
      <c r="A280" s="1624" t="s">
        <v>875</v>
      </c>
      <c r="B280" s="1613">
        <v>3000</v>
      </c>
      <c r="C280" s="616"/>
      <c r="D280" s="576"/>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1" t="s">
        <v>505</v>
      </c>
      <c r="B295" s="2172"/>
      <c r="C295" s="616"/>
      <c r="D295" s="1670">
        <f>SUM(D229,D279,D280,D285)</f>
        <v>76098</v>
      </c>
      <c r="E295" s="616"/>
      <c r="F295" s="616"/>
      <c r="G295" s="616"/>
      <c r="H295" s="1670">
        <f>H293</f>
        <v>0</v>
      </c>
      <c r="I295" s="616"/>
      <c r="J295" s="616"/>
      <c r="K295" s="1670">
        <f>SUM(K229,K279,K280,K285,K293,K294)</f>
        <v>76098</v>
      </c>
      <c r="L295" s="1670">
        <f>SUM(L229,L279,L280,L285,L293,L294)</f>
        <v>88080</v>
      </c>
    </row>
    <row r="296" spans="1:14" ht="13.5" thickTop="1" x14ac:dyDescent="0.2">
      <c r="A296" s="2180" t="s">
        <v>996</v>
      </c>
      <c r="B296" s="2181"/>
      <c r="C296" s="616"/>
      <c r="D296" s="618"/>
      <c r="E296" s="616"/>
      <c r="F296" s="616"/>
      <c r="G296" s="616"/>
      <c r="H296" s="687"/>
      <c r="I296" s="616"/>
      <c r="J296" s="616"/>
      <c r="K296" s="1684">
        <f>'Revenues 9-14'!G268-'Expenditures 15-22'!K295</f>
        <v>116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27292</v>
      </c>
      <c r="H301" s="466"/>
      <c r="I301" s="467"/>
      <c r="J301" s="467"/>
      <c r="K301" s="1671">
        <f>SUM(C301:J301)</f>
        <v>27292</v>
      </c>
      <c r="L301" s="467">
        <v>29000</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27292</v>
      </c>
      <c r="H303" s="1677">
        <f t="shared" si="23"/>
        <v>0</v>
      </c>
      <c r="I303" s="1677">
        <f t="shared" si="23"/>
        <v>0</v>
      </c>
      <c r="J303" s="1677">
        <f t="shared" si="23"/>
        <v>0</v>
      </c>
      <c r="K303" s="1677">
        <f t="shared" si="23"/>
        <v>27292</v>
      </c>
      <c r="L303" s="1677">
        <f t="shared" si="23"/>
        <v>29000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68" t="s">
        <v>277</v>
      </c>
      <c r="B312" s="2169"/>
      <c r="C312" s="1670">
        <f>SUM(C303)</f>
        <v>0</v>
      </c>
      <c r="D312" s="1670">
        <f>SUM(D303)</f>
        <v>0</v>
      </c>
      <c r="E312" s="1670">
        <f>SUM(E303,E310)</f>
        <v>0</v>
      </c>
      <c r="F312" s="1670">
        <f>SUM(F303)</f>
        <v>0</v>
      </c>
      <c r="G312" s="1670">
        <f>SUM(G303)</f>
        <v>27292</v>
      </c>
      <c r="H312" s="1670">
        <f>SUM(H303,H310)</f>
        <v>0</v>
      </c>
      <c r="I312" s="1670">
        <f>SUM(I303)</f>
        <v>0</v>
      </c>
      <c r="J312" s="1670">
        <f>SUM(J303)</f>
        <v>0</v>
      </c>
      <c r="K312" s="1670">
        <f>SUM(K303,K310,K311)</f>
        <v>27292</v>
      </c>
      <c r="L312" s="1670">
        <f>SUM(L303,L310,L311)</f>
        <v>29000</v>
      </c>
      <c r="M312" s="665"/>
      <c r="N312" s="665"/>
    </row>
    <row r="313" spans="1:14" ht="13.5" thickTop="1" x14ac:dyDescent="0.2">
      <c r="A313" s="2164" t="s">
        <v>996</v>
      </c>
      <c r="B313" s="2165"/>
      <c r="C313" s="626"/>
      <c r="D313" s="626"/>
      <c r="E313" s="626"/>
      <c r="F313" s="626"/>
      <c r="G313" s="626"/>
      <c r="H313" s="626"/>
      <c r="I313" s="626"/>
      <c r="J313" s="626"/>
      <c r="K313" s="1685">
        <f>'Revenues 9-14'!H268-'Expenditures 15-22'!K312</f>
        <v>83470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v>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0</v>
      </c>
      <c r="M321" s="665"/>
      <c r="N321" s="665"/>
    </row>
    <row r="322" spans="1:14" s="674" customFormat="1" x14ac:dyDescent="0.2">
      <c r="A322" s="1519" t="s">
        <v>238</v>
      </c>
      <c r="B322" s="697" t="s">
        <v>284</v>
      </c>
      <c r="C322" s="467"/>
      <c r="D322" s="467"/>
      <c r="E322" s="467">
        <v>38302</v>
      </c>
      <c r="F322" s="467"/>
      <c r="G322" s="467"/>
      <c r="H322" s="467"/>
      <c r="I322" s="467"/>
      <c r="J322" s="467"/>
      <c r="K322" s="1671">
        <f t="shared" si="24"/>
        <v>38302</v>
      </c>
      <c r="L322" s="467">
        <v>42500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v>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38302</v>
      </c>
      <c r="F330" s="1670">
        <f t="shared" si="25"/>
        <v>0</v>
      </c>
      <c r="G330" s="1670">
        <f t="shared" si="25"/>
        <v>0</v>
      </c>
      <c r="H330" s="1670">
        <f t="shared" si="25"/>
        <v>0</v>
      </c>
      <c r="I330" s="1670">
        <f t="shared" si="25"/>
        <v>0</v>
      </c>
      <c r="J330" s="1670">
        <f t="shared" si="25"/>
        <v>0</v>
      </c>
      <c r="K330" s="1670">
        <f>SUM(K319:K329)</f>
        <v>38302</v>
      </c>
      <c r="L330" s="1670">
        <f>SUM(L319:L329)</f>
        <v>42500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38302</v>
      </c>
      <c r="F342" s="1670">
        <f>SUM(F330)</f>
        <v>0</v>
      </c>
      <c r="G342" s="1670">
        <f>SUM(G330)</f>
        <v>0</v>
      </c>
      <c r="H342" s="1670">
        <f>SUM(H330,H334,H340)</f>
        <v>0</v>
      </c>
      <c r="I342" s="1670">
        <f>SUM(I330)</f>
        <v>0</v>
      </c>
      <c r="J342" s="1670">
        <f>SUM(J330)</f>
        <v>0</v>
      </c>
      <c r="K342" s="1670">
        <f>SUM(K330,K334,K340)</f>
        <v>38302</v>
      </c>
      <c r="L342" s="1677">
        <f>SUM(L330,L340,L341)</f>
        <v>42500</v>
      </c>
    </row>
    <row r="343" spans="1:14" ht="12.75" customHeight="1" thickTop="1" x14ac:dyDescent="0.2">
      <c r="A343" s="2166" t="s">
        <v>996</v>
      </c>
      <c r="B343" s="2167"/>
      <c r="C343" s="616"/>
      <c r="D343" s="616"/>
      <c r="E343" s="616"/>
      <c r="F343" s="616"/>
      <c r="G343" s="616"/>
      <c r="H343" s="616"/>
      <c r="I343" s="616"/>
      <c r="J343" s="616"/>
      <c r="K343" s="1684">
        <f>'Revenues 9-14'!J268-'Expenditures 15-22'!K342</f>
        <v>-1167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0</v>
      </c>
    </row>
    <row r="349" spans="1:14" x14ac:dyDescent="0.2">
      <c r="A349" s="1504" t="s">
        <v>197</v>
      </c>
      <c r="B349" s="614">
        <v>2540</v>
      </c>
      <c r="C349" s="466"/>
      <c r="D349" s="466"/>
      <c r="E349" s="466"/>
      <c r="F349" s="466"/>
      <c r="G349" s="466"/>
      <c r="H349" s="466"/>
      <c r="I349" s="467"/>
      <c r="J349" s="467"/>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v>0</v>
      </c>
    </row>
    <row r="355" spans="1:14" ht="12.75" customHeight="1" x14ac:dyDescent="0.2">
      <c r="A355" s="1513" t="s">
        <v>1853</v>
      </c>
      <c r="B355" s="690" t="s">
        <v>1846</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0" t="s">
        <v>996</v>
      </c>
      <c r="B368" s="2181"/>
      <c r="C368" s="654"/>
      <c r="D368" s="654"/>
      <c r="E368" s="626"/>
      <c r="F368" s="626"/>
      <c r="G368" s="626"/>
      <c r="H368" s="626"/>
      <c r="I368" s="626"/>
      <c r="J368" s="623"/>
      <c r="K368" s="1671">
        <f>'Revenues 9-14'!K268-'Expenditures 15-22'!K367</f>
        <v>22</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T13" sqref="T13:AA1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1802</v>
      </c>
      <c r="B2" s="1528" t="s">
        <v>1950</v>
      </c>
      <c r="C2" s="714" t="s">
        <v>1951</v>
      </c>
      <c r="D2" s="714" t="s">
        <v>1952</v>
      </c>
      <c r="E2" s="714" t="s">
        <v>1953</v>
      </c>
      <c r="F2" s="714" t="s">
        <v>1954</v>
      </c>
    </row>
    <row r="3" spans="1:6" ht="12" customHeight="1" x14ac:dyDescent="0.2">
      <c r="A3" s="2183"/>
      <c r="B3" s="1525"/>
      <c r="C3" s="1526"/>
      <c r="D3" s="1527" t="s">
        <v>256</v>
      </c>
      <c r="E3" s="1526"/>
      <c r="F3" s="1527" t="s">
        <v>257</v>
      </c>
    </row>
    <row r="4" spans="1:6" ht="13.7" customHeight="1" x14ac:dyDescent="0.2">
      <c r="A4" s="715" t="s">
        <v>1155</v>
      </c>
      <c r="B4" s="1749">
        <f>'Revenues 9-14'!C5</f>
        <v>1291804</v>
      </c>
      <c r="C4" s="1524"/>
      <c r="D4" s="1752">
        <f>B4-C4</f>
        <v>1291804</v>
      </c>
      <c r="E4" s="1524">
        <v>1361865</v>
      </c>
      <c r="F4" s="1752">
        <f>E4-C4</f>
        <v>1361865</v>
      </c>
    </row>
    <row r="5" spans="1:6" ht="13.7" customHeight="1" x14ac:dyDescent="0.2">
      <c r="A5" s="715" t="s">
        <v>870</v>
      </c>
      <c r="B5" s="1750">
        <f>'Revenues 9-14'!D5</f>
        <v>83049</v>
      </c>
      <c r="C5" s="585"/>
      <c r="D5" s="1753">
        <f t="shared" ref="D5:D18" si="0">B5-C5</f>
        <v>83049</v>
      </c>
      <c r="E5" s="585">
        <v>110261</v>
      </c>
      <c r="F5" s="1753">
        <f>E5-C5</f>
        <v>110261</v>
      </c>
    </row>
    <row r="6" spans="1:6" ht="13.7" customHeight="1" x14ac:dyDescent="0.2">
      <c r="A6" s="715" t="s">
        <v>411</v>
      </c>
      <c r="B6" s="1750">
        <f>'Revenues 9-14'!E5</f>
        <v>332308</v>
      </c>
      <c r="C6" s="585"/>
      <c r="D6" s="1753">
        <f t="shared" si="0"/>
        <v>332308</v>
      </c>
      <c r="E6" s="585">
        <v>330087</v>
      </c>
      <c r="F6" s="1753">
        <f t="shared" ref="F6:F18" si="1">E6-C6</f>
        <v>330087</v>
      </c>
    </row>
    <row r="7" spans="1:6" ht="13.7" customHeight="1" x14ac:dyDescent="0.2">
      <c r="A7" s="715" t="s">
        <v>155</v>
      </c>
      <c r="B7" s="1750">
        <f>'Revenues 9-14'!F5</f>
        <v>97701</v>
      </c>
      <c r="C7" s="585"/>
      <c r="D7" s="1753">
        <f t="shared" si="0"/>
        <v>97701</v>
      </c>
      <c r="E7" s="585">
        <v>49229</v>
      </c>
      <c r="F7" s="1753">
        <f t="shared" si="1"/>
        <v>49229</v>
      </c>
    </row>
    <row r="8" spans="1:6" ht="13.7" customHeight="1" x14ac:dyDescent="0.2">
      <c r="A8" s="715" t="s">
        <v>1179</v>
      </c>
      <c r="B8" s="1750">
        <f>'Revenues 9-14'!G5</f>
        <v>24433</v>
      </c>
      <c r="C8" s="585"/>
      <c r="D8" s="1753">
        <f t="shared" si="0"/>
        <v>24433</v>
      </c>
      <c r="E8" s="585">
        <v>29542</v>
      </c>
      <c r="F8" s="1753">
        <f t="shared" si="1"/>
        <v>29542</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f>'Revenues 9-14'!I5</f>
        <v>0</v>
      </c>
      <c r="C10" s="585"/>
      <c r="D10" s="1753">
        <f t="shared" si="0"/>
        <v>0</v>
      </c>
      <c r="E10" s="585">
        <v>0</v>
      </c>
      <c r="F10" s="1753">
        <f t="shared" si="1"/>
        <v>0</v>
      </c>
    </row>
    <row r="11" spans="1:6" x14ac:dyDescent="0.2">
      <c r="A11" s="715" t="s">
        <v>409</v>
      </c>
      <c r="B11" s="1750">
        <f>'Revenues 9-14'!J5</f>
        <v>37135</v>
      </c>
      <c r="C11" s="585"/>
      <c r="D11" s="1753">
        <f t="shared" si="0"/>
        <v>37135</v>
      </c>
      <c r="E11" s="585">
        <v>41346</v>
      </c>
      <c r="F11" s="1753">
        <f t="shared" si="1"/>
        <v>41346</v>
      </c>
    </row>
    <row r="12" spans="1:6" ht="13.7" customHeight="1" x14ac:dyDescent="0.2">
      <c r="A12" s="715" t="s">
        <v>157</v>
      </c>
      <c r="B12" s="1750">
        <f>'Revenues 9-14'!K5</f>
        <v>0</v>
      </c>
      <c r="C12" s="585"/>
      <c r="D12" s="1753">
        <f t="shared" si="0"/>
        <v>0</v>
      </c>
      <c r="E12" s="585">
        <v>0</v>
      </c>
      <c r="F12" s="1753">
        <f t="shared" si="1"/>
        <v>0</v>
      </c>
    </row>
    <row r="13" spans="1:6" ht="13.7" customHeight="1" x14ac:dyDescent="0.2">
      <c r="A13" s="715" t="s">
        <v>936</v>
      </c>
      <c r="B13" s="1750">
        <f>SUM('Revenues 9-14'!C6:D6)</f>
        <v>0</v>
      </c>
      <c r="C13" s="585"/>
      <c r="D13" s="1753">
        <f t="shared" si="0"/>
        <v>0</v>
      </c>
      <c r="E13" s="585">
        <v>0</v>
      </c>
      <c r="F13" s="1753">
        <f t="shared" si="1"/>
        <v>0</v>
      </c>
    </row>
    <row r="14" spans="1:6" ht="13.7" customHeight="1" x14ac:dyDescent="0.2">
      <c r="A14" s="715" t="s">
        <v>410</v>
      </c>
      <c r="B14" s="1750">
        <f>SUM('Revenues 9-14'!C7:D7,'Revenues 9-14'!F7:H7)</f>
        <v>0</v>
      </c>
      <c r="C14" s="585"/>
      <c r="D14" s="1753">
        <f t="shared" si="0"/>
        <v>0</v>
      </c>
      <c r="E14" s="585">
        <v>0</v>
      </c>
      <c r="F14" s="1753">
        <f t="shared" si="1"/>
        <v>0</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48859</v>
      </c>
      <c r="C16" s="585"/>
      <c r="D16" s="1753">
        <f t="shared" si="0"/>
        <v>48859</v>
      </c>
      <c r="E16" s="585">
        <v>49229</v>
      </c>
      <c r="F16" s="1753">
        <f t="shared" si="1"/>
        <v>49229</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0</v>
      </c>
      <c r="C18" s="585"/>
      <c r="D18" s="1753">
        <f t="shared" si="0"/>
        <v>0</v>
      </c>
      <c r="E18" s="585">
        <v>0</v>
      </c>
      <c r="F18" s="1753">
        <f t="shared" si="1"/>
        <v>0</v>
      </c>
    </row>
    <row r="19" spans="1:6" ht="13.7" customHeight="1" thickBot="1" x14ac:dyDescent="0.25">
      <c r="A19" s="1754" t="s">
        <v>1161</v>
      </c>
      <c r="B19" s="1751">
        <f>SUM(B4:B18)</f>
        <v>1915289</v>
      </c>
      <c r="C19" s="1751">
        <f>SUM(C4:C18)</f>
        <v>0</v>
      </c>
      <c r="D19" s="1751">
        <f>SUM(D4:D18)</f>
        <v>1915289</v>
      </c>
      <c r="E19" s="1751">
        <f>SUM(E4:E18)</f>
        <v>1971559</v>
      </c>
      <c r="F19" s="1751">
        <f>SUM(F4:F18)</f>
        <v>1971559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T13" sqref="T13:AA1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629</v>
      </c>
      <c r="B1" s="2189"/>
      <c r="C1" s="721"/>
    </row>
    <row r="2" spans="1:7" ht="33.75" x14ac:dyDescent="0.2">
      <c r="A2" s="2197" t="s">
        <v>1802</v>
      </c>
      <c r="B2" s="2198"/>
      <c r="C2" s="1884" t="s">
        <v>1955</v>
      </c>
      <c r="D2" s="723" t="s">
        <v>1956</v>
      </c>
      <c r="E2" s="723" t="s">
        <v>1957</v>
      </c>
      <c r="F2" s="1884" t="s">
        <v>1958</v>
      </c>
    </row>
    <row r="3" spans="1:7" ht="15.75" customHeight="1" x14ac:dyDescent="0.2">
      <c r="A3" s="2201" t="s">
        <v>1114</v>
      </c>
      <c r="B3" s="2202"/>
      <c r="C3" s="2190"/>
      <c r="D3" s="2191"/>
      <c r="E3" s="2191"/>
      <c r="F3" s="2192"/>
    </row>
    <row r="4" spans="1:7" ht="12.75" customHeight="1" thickBot="1" x14ac:dyDescent="0.25">
      <c r="A4" s="2199" t="s">
        <v>630</v>
      </c>
      <c r="B4" s="2200"/>
      <c r="C4" s="581"/>
      <c r="D4" s="581"/>
      <c r="E4" s="581"/>
      <c r="F4" s="1755">
        <f>SUM(C4+D4)-E4</f>
        <v>0</v>
      </c>
    </row>
    <row r="5" spans="1:7" ht="15.75" customHeight="1" thickTop="1" x14ac:dyDescent="0.2">
      <c r="A5" s="2184" t="s">
        <v>1110</v>
      </c>
      <c r="B5" s="2185"/>
      <c r="C5" s="2193"/>
      <c r="D5" s="2194"/>
      <c r="E5" s="2194"/>
      <c r="F5" s="219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6" t="s">
        <v>631</v>
      </c>
      <c r="B15" s="2187"/>
      <c r="C15" s="1755">
        <f>SUM(C6:C14)</f>
        <v>0</v>
      </c>
      <c r="D15" s="1755">
        <f>SUM(D6:D14)</f>
        <v>0</v>
      </c>
      <c r="E15" s="1755">
        <f>SUM(E6:E14)</f>
        <v>0</v>
      </c>
      <c r="F15" s="1755">
        <f>SUM(F6:F14)</f>
        <v>0</v>
      </c>
      <c r="G15" s="552"/>
    </row>
    <row r="16" spans="1:7" s="202" customFormat="1" ht="15.75" customHeight="1" thickTop="1" x14ac:dyDescent="0.2">
      <c r="A16" s="2196" t="s">
        <v>1111</v>
      </c>
      <c r="B16" s="2185"/>
      <c r="C16" s="2193"/>
      <c r="D16" s="2194"/>
      <c r="E16" s="2194"/>
      <c r="F16" s="2195"/>
    </row>
    <row r="17" spans="1:11" ht="12.75" customHeight="1" thickBot="1" x14ac:dyDescent="0.25">
      <c r="A17" s="2209" t="s">
        <v>64</v>
      </c>
      <c r="B17" s="2210"/>
      <c r="C17" s="726"/>
      <c r="D17" s="585"/>
      <c r="E17" s="726"/>
      <c r="F17" s="1755">
        <f>SUM(C17+D17)-E17</f>
        <v>0</v>
      </c>
    </row>
    <row r="18" spans="1:11" ht="12.75" customHeight="1" thickTop="1" thickBot="1" x14ac:dyDescent="0.25">
      <c r="A18" s="2209" t="s">
        <v>6</v>
      </c>
      <c r="B18" s="2210"/>
      <c r="C18" s="726"/>
      <c r="D18" s="585"/>
      <c r="E18" s="726"/>
      <c r="F18" s="1755">
        <f>SUM(C18+D18)-E18</f>
        <v>0</v>
      </c>
    </row>
    <row r="19" spans="1:11" ht="12.75" customHeight="1" thickTop="1" thickBot="1" x14ac:dyDescent="0.25">
      <c r="A19" s="2209" t="s">
        <v>388</v>
      </c>
      <c r="B19" s="2210"/>
      <c r="C19" s="726"/>
      <c r="D19" s="585"/>
      <c r="E19" s="726"/>
      <c r="F19" s="1755">
        <f>SUM(C19+D19)-E19</f>
        <v>0</v>
      </c>
    </row>
    <row r="20" spans="1:11" ht="12.75" customHeight="1" thickTop="1" thickBot="1" x14ac:dyDescent="0.25">
      <c r="A20" s="2209" t="s">
        <v>448</v>
      </c>
      <c r="B20" s="2210"/>
      <c r="C20" s="726"/>
      <c r="D20" s="585"/>
      <c r="E20" s="726"/>
      <c r="F20" s="1755">
        <f>SUM(C20+D20)-E20</f>
        <v>0</v>
      </c>
    </row>
    <row r="21" spans="1:11" ht="14.25" thickTop="1" thickBot="1" x14ac:dyDescent="0.25">
      <c r="A21" s="2186" t="s">
        <v>632</v>
      </c>
      <c r="B21" s="2187"/>
      <c r="C21" s="1755">
        <f>SUM(C17:C20)</f>
        <v>0</v>
      </c>
      <c r="D21" s="1755">
        <f>SUM(D17:D20)</f>
        <v>0</v>
      </c>
      <c r="E21" s="1755">
        <f>SUM(E17:E20)</f>
        <v>0</v>
      </c>
      <c r="F21" s="1755">
        <f>SUM(F17:F20)</f>
        <v>0</v>
      </c>
      <c r="G21" s="552"/>
    </row>
    <row r="22" spans="1:11" ht="15.75" customHeight="1" thickTop="1" x14ac:dyDescent="0.2">
      <c r="A22" s="2211" t="s">
        <v>1112</v>
      </c>
      <c r="B22" s="2185"/>
      <c r="C22" s="2193"/>
      <c r="D22" s="2194"/>
      <c r="E22" s="2194"/>
      <c r="F22" s="2195"/>
    </row>
    <row r="23" spans="1:11" ht="13.5" thickBot="1" x14ac:dyDescent="0.25">
      <c r="A23" s="2199" t="s">
        <v>633</v>
      </c>
      <c r="B23" s="2200"/>
      <c r="C23" s="581"/>
      <c r="D23" s="581"/>
      <c r="E23" s="581"/>
      <c r="F23" s="1755">
        <f>SUM(C23+D23)-E23</f>
        <v>0</v>
      </c>
      <c r="G23" s="552"/>
    </row>
    <row r="24" spans="1:11" ht="15.75" customHeight="1" thickTop="1" x14ac:dyDescent="0.2">
      <c r="A24" s="2211" t="s">
        <v>1113</v>
      </c>
      <c r="B24" s="2185"/>
      <c r="C24" s="2193"/>
      <c r="D24" s="2194"/>
      <c r="E24" s="2194"/>
      <c r="F24" s="2195"/>
    </row>
    <row r="25" spans="1:11" ht="13.5" thickBot="1" x14ac:dyDescent="0.25">
      <c r="A25" s="2199" t="s">
        <v>634</v>
      </c>
      <c r="B25" s="2200"/>
      <c r="C25" s="581"/>
      <c r="D25" s="581"/>
      <c r="E25" s="581"/>
      <c r="F25" s="1755">
        <f>SUM(C25+D25)-E25</f>
        <v>0</v>
      </c>
      <c r="G25" s="552"/>
    </row>
    <row r="26" spans="1:11" ht="15.75" customHeight="1" thickTop="1" x14ac:dyDescent="0.2">
      <c r="A26" s="2184" t="s">
        <v>657</v>
      </c>
      <c r="B26" s="2185"/>
      <c r="C26" s="727"/>
      <c r="D26" s="727"/>
      <c r="E26" s="727"/>
      <c r="F26" s="728"/>
    </row>
    <row r="27" spans="1:11" ht="13.5" thickBot="1" x14ac:dyDescent="0.25">
      <c r="A27" s="2186" t="s">
        <v>1070</v>
      </c>
      <c r="B27" s="2187"/>
      <c r="C27" s="585"/>
      <c r="D27" s="585"/>
      <c r="E27" s="585"/>
      <c r="F27" s="1755">
        <f>SUM(C27+D27)-E27</f>
        <v>0</v>
      </c>
      <c r="G27" s="552"/>
    </row>
    <row r="28" spans="1:11" ht="7.5" customHeight="1" thickTop="1" x14ac:dyDescent="0.2">
      <c r="A28" s="593"/>
    </row>
    <row r="29" spans="1:11" ht="23.25" customHeight="1" x14ac:dyDescent="0.2">
      <c r="A29" s="2212" t="s">
        <v>582</v>
      </c>
      <c r="B29" s="2189"/>
      <c r="C29" s="729"/>
      <c r="D29" s="729"/>
      <c r="E29" s="729"/>
      <c r="F29" s="729"/>
      <c r="G29" s="729"/>
      <c r="H29" s="729"/>
      <c r="I29" s="729"/>
      <c r="J29" s="729"/>
    </row>
    <row r="30" spans="1:11" ht="33.75" x14ac:dyDescent="0.2">
      <c r="A30" s="1529" t="s">
        <v>1071</v>
      </c>
      <c r="B30" s="730" t="s">
        <v>1124</v>
      </c>
      <c r="C30" s="1885" t="s">
        <v>583</v>
      </c>
      <c r="D30" s="1885" t="s">
        <v>1673</v>
      </c>
      <c r="E30" s="1885" t="s">
        <v>1959</v>
      </c>
      <c r="F30" s="1885" t="s">
        <v>1960</v>
      </c>
      <c r="G30" s="1885" t="s">
        <v>1910</v>
      </c>
      <c r="H30" s="1885" t="s">
        <v>1961</v>
      </c>
      <c r="I30" s="1885" t="s">
        <v>1962</v>
      </c>
      <c r="J30" s="1886" t="s">
        <v>2</v>
      </c>
      <c r="K30" s="731"/>
    </row>
    <row r="31" spans="1:11" ht="12" customHeight="1" x14ac:dyDescent="0.2">
      <c r="A31" s="732" t="s">
        <v>2077</v>
      </c>
      <c r="B31" s="733">
        <v>42433</v>
      </c>
      <c r="C31" s="734">
        <v>750000</v>
      </c>
      <c r="D31" s="735">
        <v>1</v>
      </c>
      <c r="E31" s="734">
        <v>391000</v>
      </c>
      <c r="F31" s="734"/>
      <c r="G31" s="734"/>
      <c r="H31" s="734">
        <v>194000</v>
      </c>
      <c r="I31" s="1756">
        <f>((E31+F31)-H31)+G31</f>
        <v>197000</v>
      </c>
      <c r="J31" s="734">
        <v>175440</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t="s">
        <v>2078</v>
      </c>
      <c r="B33" s="733">
        <v>42622</v>
      </c>
      <c r="C33" s="734">
        <v>1175000</v>
      </c>
      <c r="D33" s="735">
        <v>3</v>
      </c>
      <c r="E33" s="734">
        <v>1080000</v>
      </c>
      <c r="F33" s="734"/>
      <c r="G33" s="734"/>
      <c r="H33" s="734">
        <v>100000</v>
      </c>
      <c r="I33" s="1756">
        <f t="shared" ref="I33:I48" si="1">((E33+F33)-H33)+G33</f>
        <v>980000</v>
      </c>
      <c r="J33" s="734">
        <v>980000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1925000</v>
      </c>
      <c r="D49" s="745"/>
      <c r="E49" s="1756">
        <f t="shared" ref="E49:J49" si="2">SUM(E31:E48)</f>
        <v>1471000</v>
      </c>
      <c r="F49" s="1756">
        <f t="shared" si="2"/>
        <v>0</v>
      </c>
      <c r="G49" s="1756">
        <f t="shared" si="2"/>
        <v>0</v>
      </c>
      <c r="H49" s="1756">
        <f t="shared" si="2"/>
        <v>294000</v>
      </c>
      <c r="I49" s="1756">
        <f t="shared" si="2"/>
        <v>1177000</v>
      </c>
      <c r="J49" s="1756">
        <f t="shared" si="2"/>
        <v>1155440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3" t="s">
        <v>584</v>
      </c>
      <c r="C52" s="2204"/>
      <c r="D52" s="2204"/>
      <c r="E52" s="749" t="s">
        <v>845</v>
      </c>
      <c r="F52" s="2205"/>
      <c r="G52" s="2206"/>
      <c r="H52" s="736"/>
      <c r="I52" s="736"/>
      <c r="J52" s="746"/>
    </row>
    <row r="53" spans="1:11" ht="11.25" customHeight="1" x14ac:dyDescent="0.2">
      <c r="A53" s="750" t="s">
        <v>913</v>
      </c>
      <c r="B53" s="751" t="s">
        <v>951</v>
      </c>
      <c r="C53" s="746"/>
      <c r="D53" s="737"/>
      <c r="E53" s="749" t="s">
        <v>497</v>
      </c>
      <c r="F53" s="2207"/>
      <c r="G53" s="2208"/>
      <c r="H53" s="736"/>
      <c r="I53" s="736"/>
      <c r="J53" s="746"/>
    </row>
    <row r="54" spans="1:11" ht="11.25" customHeight="1" x14ac:dyDescent="0.2">
      <c r="A54" s="752" t="s">
        <v>914</v>
      </c>
      <c r="B54" s="747" t="s">
        <v>952</v>
      </c>
      <c r="C54" s="746"/>
      <c r="D54" s="737"/>
      <c r="E54" s="749" t="s">
        <v>498</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T13" sqref="T13:AA1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856</v>
      </c>
      <c r="B1" s="2238"/>
      <c r="C1" s="2238"/>
      <c r="D1" s="2238"/>
      <c r="E1" s="2238"/>
      <c r="F1" s="2238"/>
      <c r="G1" s="2239"/>
      <c r="H1" s="1530"/>
      <c r="I1" s="760"/>
      <c r="J1" s="433"/>
    </row>
    <row r="2" spans="1:11" ht="26.25" x14ac:dyDescent="0.2">
      <c r="A2" s="2216" t="s">
        <v>1677</v>
      </c>
      <c r="B2" s="2217"/>
      <c r="C2" s="2217"/>
      <c r="D2" s="2217"/>
      <c r="E2" s="2218"/>
      <c r="F2" s="761" t="s">
        <v>904</v>
      </c>
      <c r="G2" s="762" t="s">
        <v>1674</v>
      </c>
      <c r="H2" s="762" t="s">
        <v>410</v>
      </c>
      <c r="I2" s="762" t="s">
        <v>1158</v>
      </c>
      <c r="J2" s="762" t="s">
        <v>1812</v>
      </c>
      <c r="K2" s="762" t="s">
        <v>138</v>
      </c>
    </row>
    <row r="3" spans="1:11" x14ac:dyDescent="0.2">
      <c r="A3" s="2219" t="s">
        <v>1963</v>
      </c>
      <c r="B3" s="2220"/>
      <c r="C3" s="2220"/>
      <c r="D3" s="2220"/>
      <c r="E3" s="2221"/>
      <c r="F3" s="763"/>
      <c r="G3" s="764"/>
      <c r="H3" s="764"/>
      <c r="I3" s="764"/>
      <c r="J3" s="765"/>
      <c r="K3" s="765"/>
    </row>
    <row r="4" spans="1:11" x14ac:dyDescent="0.2">
      <c r="A4" s="2222" t="s">
        <v>369</v>
      </c>
      <c r="B4" s="2223"/>
      <c r="C4" s="2223"/>
      <c r="D4" s="2223"/>
      <c r="E4" s="2204"/>
      <c r="F4" s="766"/>
      <c r="G4" s="767"/>
      <c r="H4" s="768"/>
      <c r="I4" s="767"/>
      <c r="J4" s="769"/>
      <c r="K4" s="769"/>
    </row>
    <row r="5" spans="1:11" x14ac:dyDescent="0.2">
      <c r="A5" s="2240" t="s">
        <v>1069</v>
      </c>
      <c r="B5" s="2213"/>
      <c r="C5" s="2213"/>
      <c r="D5" s="2213"/>
      <c r="E5" s="2241"/>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0" t="s">
        <v>1813</v>
      </c>
      <c r="B10" s="2213"/>
      <c r="C10" s="2213"/>
      <c r="D10" s="2213"/>
      <c r="E10" s="2242"/>
      <c r="F10" s="783" t="s">
        <v>862</v>
      </c>
      <c r="G10" s="782"/>
      <c r="H10" s="784"/>
      <c r="I10" s="764"/>
      <c r="J10" s="765"/>
      <c r="K10" s="765"/>
    </row>
    <row r="11" spans="1:11" x14ac:dyDescent="0.2">
      <c r="A11" s="2240" t="s">
        <v>160</v>
      </c>
      <c r="B11" s="2213"/>
      <c r="C11" s="2213"/>
      <c r="D11" s="2213"/>
      <c r="E11" s="2241"/>
      <c r="F11" s="770" t="s">
        <v>852</v>
      </c>
      <c r="G11" s="771"/>
      <c r="H11" s="764"/>
      <c r="I11" s="764"/>
      <c r="J11" s="765"/>
      <c r="K11" s="773"/>
    </row>
    <row r="12" spans="1:11" ht="13.5" thickBot="1" x14ac:dyDescent="0.25">
      <c r="A12" s="2230" t="s">
        <v>905</v>
      </c>
      <c r="B12" s="2231"/>
      <c r="C12" s="2231"/>
      <c r="D12" s="2231"/>
      <c r="E12" s="2232"/>
      <c r="F12" s="1757"/>
      <c r="G12" s="1758">
        <f>SUM(G5:G11)</f>
        <v>0</v>
      </c>
      <c r="H12" s="1758">
        <f>SUM(H5:H11)</f>
        <v>0</v>
      </c>
      <c r="I12" s="1758">
        <f>SUM(I5:I11)</f>
        <v>0</v>
      </c>
      <c r="J12" s="1758">
        <f>SUM(J5:J11)</f>
        <v>0</v>
      </c>
      <c r="K12" s="1758">
        <f>SUM(K5:K11)</f>
        <v>0</v>
      </c>
    </row>
    <row r="13" spans="1:11" ht="13.5" thickTop="1" x14ac:dyDescent="0.2">
      <c r="A13" s="2224" t="s">
        <v>370</v>
      </c>
      <c r="B13" s="2225"/>
      <c r="C13" s="2225"/>
      <c r="D13" s="2225"/>
      <c r="E13" s="2226"/>
      <c r="F13" s="785"/>
      <c r="G13" s="786"/>
      <c r="H13" s="787"/>
      <c r="I13" s="788"/>
      <c r="J13" s="788"/>
      <c r="K13" s="788"/>
    </row>
    <row r="14" spans="1:11" x14ac:dyDescent="0.2">
      <c r="A14" s="2246" t="s">
        <v>456</v>
      </c>
      <c r="B14" s="2246"/>
      <c r="C14" s="2246"/>
      <c r="D14" s="2246"/>
      <c r="E14" s="2247"/>
      <c r="F14" s="789" t="s">
        <v>854</v>
      </c>
      <c r="G14" s="782"/>
      <c r="H14" s="764"/>
      <c r="I14" s="771"/>
      <c r="J14" s="773"/>
      <c r="K14" s="765"/>
    </row>
    <row r="15" spans="1:11" x14ac:dyDescent="0.2">
      <c r="A15" s="2213" t="s">
        <v>4</v>
      </c>
      <c r="B15" s="2213"/>
      <c r="C15" s="2213"/>
      <c r="D15" s="2213"/>
      <c r="E15" s="2241"/>
      <c r="F15" s="789" t="s">
        <v>855</v>
      </c>
      <c r="G15" s="771"/>
      <c r="H15" s="764"/>
      <c r="I15" s="764"/>
      <c r="J15" s="765"/>
      <c r="K15" s="765"/>
    </row>
    <row r="16" spans="1:11" x14ac:dyDescent="0.2">
      <c r="A16" s="2213" t="s">
        <v>298</v>
      </c>
      <c r="B16" s="2213"/>
      <c r="C16" s="2213"/>
      <c r="D16" s="2213"/>
      <c r="E16" s="2241"/>
      <c r="F16" s="789" t="s">
        <v>923</v>
      </c>
      <c r="G16" s="772"/>
      <c r="H16" s="767"/>
      <c r="I16" s="767"/>
      <c r="J16" s="769"/>
      <c r="K16" s="769"/>
    </row>
    <row r="17" spans="1:11" x14ac:dyDescent="0.2">
      <c r="A17" s="2235" t="s">
        <v>935</v>
      </c>
      <c r="B17" s="2235"/>
      <c r="C17" s="2235"/>
      <c r="D17" s="2235"/>
      <c r="E17" s="2236"/>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48" t="s">
        <v>1809</v>
      </c>
      <c r="B19" s="2248"/>
      <c r="C19" s="2248"/>
      <c r="D19" s="2248"/>
      <c r="E19" s="2249"/>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33" t="s">
        <v>638</v>
      </c>
      <c r="B21" s="2233"/>
      <c r="C21" s="2233"/>
      <c r="D21" s="2233"/>
      <c r="E21" s="2233"/>
      <c r="F21" s="1759"/>
      <c r="G21" s="792"/>
      <c r="H21" s="796"/>
      <c r="I21" s="796"/>
      <c r="J21" s="1760">
        <f>SUM(J18:J20)</f>
        <v>0</v>
      </c>
      <c r="K21" s="793"/>
    </row>
    <row r="22" spans="1:11" ht="13.5" thickTop="1" x14ac:dyDescent="0.2">
      <c r="A22" s="2213" t="s">
        <v>1815</v>
      </c>
      <c r="B22" s="2213"/>
      <c r="C22" s="2213"/>
      <c r="D22" s="2213"/>
      <c r="E22" s="2241"/>
      <c r="F22" s="789" t="s">
        <v>862</v>
      </c>
      <c r="G22" s="782"/>
      <c r="H22" s="764"/>
      <c r="I22" s="764"/>
      <c r="J22" s="797"/>
      <c r="K22" s="765"/>
    </row>
    <row r="23" spans="1:11" ht="13.5" thickBot="1" x14ac:dyDescent="0.25">
      <c r="A23" s="2234" t="s">
        <v>906</v>
      </c>
      <c r="B23" s="2233"/>
      <c r="C23" s="2233"/>
      <c r="D23" s="2233"/>
      <c r="E23" s="2233"/>
      <c r="F23" s="1761"/>
      <c r="G23" s="1758">
        <f>SUM(G14:G16,G21,G22)</f>
        <v>0</v>
      </c>
      <c r="H23" s="1758">
        <f>SUM(H14:H16,H21,H22)</f>
        <v>0</v>
      </c>
      <c r="I23" s="1758">
        <f>SUM(I14:I16,I21,I22)</f>
        <v>0</v>
      </c>
      <c r="J23" s="1758">
        <f>SUM(J14:J16,J21,J22)</f>
        <v>0</v>
      </c>
      <c r="K23" s="1758">
        <f>SUM(K14:K16,K21,K22)</f>
        <v>0</v>
      </c>
    </row>
    <row r="24" spans="1:11" ht="14.25" thickTop="1" thickBot="1" x14ac:dyDescent="0.25">
      <c r="A24" s="2234" t="s">
        <v>1964</v>
      </c>
      <c r="B24" s="2233"/>
      <c r="C24" s="2233"/>
      <c r="D24" s="2233"/>
      <c r="E24" s="2233"/>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2074</v>
      </c>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3" t="s">
        <v>541</v>
      </c>
      <c r="B41" s="2214"/>
      <c r="C41" s="2214"/>
      <c r="D41" s="2214"/>
      <c r="E41" s="2214"/>
      <c r="F41" s="221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T13" sqref="T13:AA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6"/>
      <c r="E1" s="827"/>
      <c r="F1" s="827"/>
      <c r="G1" s="828"/>
      <c r="H1" s="829"/>
      <c r="I1" s="830"/>
      <c r="J1" s="2250"/>
      <c r="K1" s="2251"/>
      <c r="L1" s="2251"/>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15000</v>
      </c>
      <c r="D5" s="841"/>
      <c r="E5" s="841"/>
      <c r="F5" s="1760">
        <f>(C5+D5)-E5</f>
        <v>15000</v>
      </c>
      <c r="G5" s="837"/>
      <c r="H5" s="842"/>
      <c r="I5" s="842"/>
      <c r="J5" s="842"/>
      <c r="K5" s="793"/>
      <c r="L5" s="1769">
        <f>F5-K5</f>
        <v>15000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3641928</v>
      </c>
      <c r="D8" s="844">
        <v>14601</v>
      </c>
      <c r="E8" s="844"/>
      <c r="F8" s="1760">
        <f>(C8+D8)-E8</f>
        <v>3656529</v>
      </c>
      <c r="G8" s="843">
        <v>50</v>
      </c>
      <c r="H8" s="765">
        <v>1497330</v>
      </c>
      <c r="I8" s="765">
        <v>72894</v>
      </c>
      <c r="J8" s="765"/>
      <c r="K8" s="1769">
        <f>(H8+I8)-J8</f>
        <v>1570224</v>
      </c>
      <c r="L8" s="1769">
        <f>F8-K8</f>
        <v>2086305</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215614</v>
      </c>
      <c r="D10" s="846">
        <v>9257</v>
      </c>
      <c r="E10" s="846"/>
      <c r="F10" s="1764">
        <f>(C10+D10)-E10</f>
        <v>224871</v>
      </c>
      <c r="G10" s="843">
        <v>20</v>
      </c>
      <c r="H10" s="847">
        <v>186140</v>
      </c>
      <c r="I10" s="847">
        <v>7368</v>
      </c>
      <c r="J10" s="847"/>
      <c r="K10" s="1769">
        <f>(H10+I10)-J10</f>
        <v>193508</v>
      </c>
      <c r="L10" s="1769">
        <f>F10-K10</f>
        <v>31363</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727990</v>
      </c>
      <c r="D12" s="844"/>
      <c r="E12" s="844"/>
      <c r="F12" s="1760">
        <f>(C12+D12)-E12</f>
        <v>727990</v>
      </c>
      <c r="G12" s="843">
        <v>10</v>
      </c>
      <c r="H12" s="765">
        <v>647618</v>
      </c>
      <c r="I12" s="765">
        <v>24745</v>
      </c>
      <c r="J12" s="765"/>
      <c r="K12" s="1769">
        <f>(H12+I12)-J12</f>
        <v>672363</v>
      </c>
      <c r="L12" s="1769">
        <f>F12-K12</f>
        <v>55627</v>
      </c>
    </row>
    <row r="13" spans="1:14" ht="14.25" thickTop="1" thickBot="1" x14ac:dyDescent="0.25">
      <c r="A13" s="848" t="s">
        <v>1122</v>
      </c>
      <c r="B13" s="840">
        <v>252</v>
      </c>
      <c r="C13" s="844">
        <v>415949</v>
      </c>
      <c r="D13" s="844">
        <v>81279</v>
      </c>
      <c r="E13" s="844"/>
      <c r="F13" s="1760">
        <f>(C13+D13)-E13</f>
        <v>497228</v>
      </c>
      <c r="G13" s="843">
        <v>5</v>
      </c>
      <c r="H13" s="765">
        <v>280886</v>
      </c>
      <c r="I13" s="765">
        <v>68406</v>
      </c>
      <c r="J13" s="765"/>
      <c r="K13" s="1769">
        <f>(H13+I13)-J13</f>
        <v>349292</v>
      </c>
      <c r="L13" s="1769">
        <f>F13-K13</f>
        <v>147936</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5016481</v>
      </c>
      <c r="D16" s="1760">
        <f>SUM(D3,D5:D6,D8:D10,D12:D15)</f>
        <v>105137</v>
      </c>
      <c r="E16" s="1760">
        <f>SUM(E3,E5:E6,E8:E10,E12:E15)</f>
        <v>0</v>
      </c>
      <c r="F16" s="1760">
        <f>SUM(F3,F5:F6,F8:F10,F12:F15)</f>
        <v>5121618</v>
      </c>
      <c r="G16" s="843"/>
      <c r="H16" s="1760">
        <f>SUM(H3,H6,H8:H10,H12:H14,)</f>
        <v>2611974</v>
      </c>
      <c r="I16" s="1760">
        <f>SUM(I3,I6,I8:I10,I12:I14,)</f>
        <v>173413</v>
      </c>
      <c r="J16" s="1760">
        <f>SUM(J3,J6,J8:J10,J12:J14,)</f>
        <v>0</v>
      </c>
      <c r="K16" s="1760">
        <f>(H16+I16)-J16</f>
        <v>2785387</v>
      </c>
      <c r="L16" s="1760">
        <f>F16-K16</f>
        <v>2336231</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173413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8" activePane="bottomLeft" state="frozen"/>
      <selection activeCell="T13" sqref="T13:AA13"/>
      <selection pane="bottomLeft" activeCell="T13" sqref="T13:AA1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1974</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1996578</v>
      </c>
      <c r="G8" s="865"/>
    </row>
    <row r="9" spans="1:7" x14ac:dyDescent="0.2">
      <c r="A9" s="869" t="s">
        <v>460</v>
      </c>
      <c r="B9" s="870" t="s">
        <v>1876</v>
      </c>
      <c r="C9" s="871"/>
      <c r="D9" s="869" t="s">
        <v>501</v>
      </c>
      <c r="E9" s="868"/>
      <c r="F9" s="1909">
        <f>'Expenditures 15-22'!K151</f>
        <v>127703</v>
      </c>
      <c r="G9" s="872"/>
    </row>
    <row r="10" spans="1:7" x14ac:dyDescent="0.2">
      <c r="A10" s="869" t="s">
        <v>499</v>
      </c>
      <c r="B10" s="870" t="s">
        <v>1877</v>
      </c>
      <c r="C10" s="871"/>
      <c r="D10" s="869" t="s">
        <v>501</v>
      </c>
      <c r="E10" s="868"/>
      <c r="F10" s="1909">
        <f>'Expenditures 15-22'!K174</f>
        <v>330567</v>
      </c>
      <c r="G10" s="872"/>
    </row>
    <row r="11" spans="1:7" x14ac:dyDescent="0.2">
      <c r="A11" s="869" t="s">
        <v>461</v>
      </c>
      <c r="B11" s="870" t="s">
        <v>1878</v>
      </c>
      <c r="C11" s="871"/>
      <c r="D11" s="869" t="s">
        <v>501</v>
      </c>
      <c r="E11" s="868"/>
      <c r="F11" s="1909">
        <f>'Expenditures 15-22'!K210</f>
        <v>160569</v>
      </c>
      <c r="G11" s="872"/>
    </row>
    <row r="12" spans="1:7" x14ac:dyDescent="0.2">
      <c r="A12" s="869" t="s">
        <v>462</v>
      </c>
      <c r="B12" s="870" t="s">
        <v>1879</v>
      </c>
      <c r="C12" s="871"/>
      <c r="D12" s="869" t="s">
        <v>501</v>
      </c>
      <c r="E12" s="868"/>
      <c r="F12" s="1909">
        <f>'Expenditures 15-22'!K295</f>
        <v>76098</v>
      </c>
      <c r="G12" s="872"/>
    </row>
    <row r="13" spans="1:7" x14ac:dyDescent="0.2">
      <c r="A13" s="869" t="s">
        <v>106</v>
      </c>
      <c r="B13" s="870" t="s">
        <v>1880</v>
      </c>
      <c r="C13" s="871"/>
      <c r="D13" s="869" t="s">
        <v>501</v>
      </c>
      <c r="E13" s="868"/>
      <c r="F13" s="1909">
        <f>'Expenditures 15-22'!K342</f>
        <v>38302</v>
      </c>
      <c r="G13" s="873"/>
    </row>
    <row r="14" spans="1:7" ht="12" customHeight="1" thickBot="1" x14ac:dyDescent="0.25">
      <c r="A14" s="1770"/>
      <c r="B14" s="1771"/>
      <c r="C14" s="1772"/>
      <c r="D14" s="1773" t="s">
        <v>501</v>
      </c>
      <c r="E14" s="1774" t="s">
        <v>958</v>
      </c>
      <c r="F14" s="1775">
        <f>SUM(F8:F13)</f>
        <v>2729817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914">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2001</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129461</v>
      </c>
      <c r="G53" s="865"/>
    </row>
    <row r="54" spans="1:7" x14ac:dyDescent="0.2">
      <c r="A54" s="869" t="s">
        <v>459</v>
      </c>
      <c r="B54" s="869" t="s">
        <v>1476</v>
      </c>
      <c r="C54" s="889" t="s">
        <v>982</v>
      </c>
      <c r="D54" s="885" t="s">
        <v>1095</v>
      </c>
      <c r="E54" s="868"/>
      <c r="F54" s="1913">
        <f>'Expenditures 15-22'!G114</f>
        <v>21270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294000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56575</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501306</v>
      </c>
      <c r="G76" s="865"/>
    </row>
    <row r="77" spans="1:8" s="893" customFormat="1" ht="12" customHeight="1" thickTop="1" thickBot="1" x14ac:dyDescent="0.25">
      <c r="A77" s="1779"/>
      <c r="B77" s="1776"/>
      <c r="C77" s="1772"/>
      <c r="D77" s="1777" t="s">
        <v>1899</v>
      </c>
      <c r="E77" s="1774"/>
      <c r="F77" s="1780">
        <f>(F14-F76)</f>
        <v>2228511</v>
      </c>
      <c r="G77" s="869"/>
    </row>
    <row r="78" spans="1:8" s="893" customFormat="1" ht="12" customHeight="1" thickTop="1" x14ac:dyDescent="0.2">
      <c r="A78" s="1781"/>
      <c r="B78" s="1776"/>
      <c r="C78" s="1772"/>
      <c r="D78" s="1777" t="s">
        <v>2061</v>
      </c>
      <c r="E78" s="1774"/>
      <c r="F78" s="898">
        <v>207.16499999999999</v>
      </c>
      <c r="G78" s="899"/>
      <c r="H78" s="869"/>
    </row>
    <row r="79" spans="1:8" s="893" customFormat="1" ht="12" customHeight="1" thickBot="1" x14ac:dyDescent="0.25">
      <c r="A79" s="1782"/>
      <c r="B79" s="1776"/>
      <c r="C79" s="1772"/>
      <c r="D79" s="1777" t="s">
        <v>1900</v>
      </c>
      <c r="E79" s="1774" t="s">
        <v>958</v>
      </c>
      <c r="F79" s="1783">
        <f>IF(F78&gt;0,F77/F78," Complete Line 78")</f>
        <v>10757.17906016943</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33435</v>
      </c>
      <c r="G94" s="912"/>
    </row>
    <row r="95" spans="1:7" x14ac:dyDescent="0.2">
      <c r="A95" s="908" t="s">
        <v>140</v>
      </c>
      <c r="B95" s="908" t="s">
        <v>175</v>
      </c>
      <c r="C95" s="910">
        <v>1700</v>
      </c>
      <c r="D95" s="918" t="str">
        <f>'Revenues 9-14'!A82</f>
        <v>Total District/School Activity Income</v>
      </c>
      <c r="E95" s="906"/>
      <c r="F95" s="1789">
        <f>SUM('Revenues 9-14'!C82,'Revenues 9-14'!D82)</f>
        <v>11767</v>
      </c>
      <c r="G95" s="912"/>
    </row>
    <row r="96" spans="1:7" x14ac:dyDescent="0.2">
      <c r="A96" s="908" t="s">
        <v>459</v>
      </c>
      <c r="B96" s="908" t="s">
        <v>176</v>
      </c>
      <c r="C96" s="910">
        <f>'Revenues 9-14'!B84</f>
        <v>1811</v>
      </c>
      <c r="D96" s="911" t="str">
        <f>'Revenues 9-14'!A84</f>
        <v>Rentals - Regular Textbooks</v>
      </c>
      <c r="E96" s="906"/>
      <c r="F96" s="1789">
        <f>'Revenues 9-14'!C84</f>
        <v>8205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70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2002</v>
      </c>
      <c r="C105" s="913">
        <v>3100</v>
      </c>
      <c r="D105" s="919" t="str">
        <f>'Revenues 9-14'!A132</f>
        <v>Total Special Education</v>
      </c>
      <c r="E105" s="906"/>
      <c r="F105" s="1789">
        <f>SUM('Revenues 9-14'!C132:D132,'Revenues 9-14'!F132)</f>
        <v>39789</v>
      </c>
      <c r="G105" s="912"/>
    </row>
    <row r="106" spans="1:7" x14ac:dyDescent="0.2">
      <c r="A106" s="908" t="s">
        <v>673</v>
      </c>
      <c r="B106" s="908" t="s">
        <v>2003</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2004</v>
      </c>
      <c r="C107" s="920">
        <v>3300</v>
      </c>
      <c r="D107" s="911" t="str">
        <f>'Revenues 9-14'!A145</f>
        <v>Total Bilingual Ed</v>
      </c>
      <c r="E107" s="906"/>
      <c r="F107" s="1789">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89">
        <f>'Revenues 9-14'!C146</f>
        <v>563</v>
      </c>
      <c r="G108" s="912"/>
    </row>
    <row r="109" spans="1:7" x14ac:dyDescent="0.2">
      <c r="A109" s="908" t="s">
        <v>673</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0</v>
      </c>
      <c r="G110" s="912"/>
    </row>
    <row r="111" spans="1:7" x14ac:dyDescent="0.2">
      <c r="A111" s="908" t="s">
        <v>668</v>
      </c>
      <c r="B111" s="908" t="s">
        <v>2008</v>
      </c>
      <c r="C111" s="922">
        <v>3500</v>
      </c>
      <c r="D111" s="911" t="str">
        <f>'Revenues 9-14'!A155</f>
        <v>Total Transportation</v>
      </c>
      <c r="E111" s="906"/>
      <c r="F111" s="1789">
        <f>SUM('Revenues 9-14'!C155,'Revenues 9-14'!D155,'Revenues 9-14'!F155,'Revenues 9-14'!G155)</f>
        <v>87790</v>
      </c>
      <c r="G111" s="912"/>
    </row>
    <row r="112" spans="1:7" x14ac:dyDescent="0.2">
      <c r="A112" s="908" t="s">
        <v>459</v>
      </c>
      <c r="B112" s="908" t="s">
        <v>2009</v>
      </c>
      <c r="C112" s="920">
        <f>'Revenues 9-14'!B156</f>
        <v>3610</v>
      </c>
      <c r="D112" s="911" t="str">
        <f>'Revenues 9-14'!A156</f>
        <v>Learning Improvement - Change Grants</v>
      </c>
      <c r="E112" s="906"/>
      <c r="F112" s="1789">
        <f>'Revenues 9-14'!C156</f>
        <v>0</v>
      </c>
      <c r="G112" s="912"/>
    </row>
    <row r="113" spans="1:7" x14ac:dyDescent="0.2">
      <c r="A113" s="908" t="s">
        <v>668</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907">
        <f>SUM('Revenues 9-14'!C163:G163)</f>
        <v>0</v>
      </c>
      <c r="G118" s="912"/>
    </row>
    <row r="119" spans="1:7" x14ac:dyDescent="0.2">
      <c r="A119" s="923" t="s">
        <v>504</v>
      </c>
      <c r="B119" s="923" t="s">
        <v>2016</v>
      </c>
      <c r="C119" s="924">
        <f>'Revenues 9-14'!B164</f>
        <v>3815</v>
      </c>
      <c r="D119" s="925" t="str">
        <f>'Revenues 9-14'!A164</f>
        <v>State Charter Schools</v>
      </c>
      <c r="E119" s="906"/>
      <c r="F119" s="1907">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89">
        <f>'Revenues 9-14'!D167</f>
        <v>0</v>
      </c>
      <c r="G120" s="930"/>
    </row>
    <row r="121" spans="1:7" x14ac:dyDescent="0.2">
      <c r="A121" s="927" t="s">
        <v>500</v>
      </c>
      <c r="B121" s="927" t="s">
        <v>2018</v>
      </c>
      <c r="C121" s="928">
        <f>'Revenues 9-14'!B168</f>
        <v>3999</v>
      </c>
      <c r="D121" s="929" t="s">
        <v>543</v>
      </c>
      <c r="E121" s="931"/>
      <c r="F121" s="1789">
        <f>SUM('Revenues 9-14'!C168:G168,'Revenues 9-14'!J168)</f>
        <v>0</v>
      </c>
      <c r="G121" s="930"/>
    </row>
    <row r="122" spans="1:7" x14ac:dyDescent="0.2">
      <c r="A122" s="927" t="s">
        <v>459</v>
      </c>
      <c r="B122" s="927" t="s">
        <v>2019</v>
      </c>
      <c r="C122" s="932">
        <f>'Revenues 9-14'!B177</f>
        <v>4045</v>
      </c>
      <c r="D122" s="929" t="str">
        <f>'Revenues 9-14'!A177 &amp; " (Subtract)"</f>
        <v>Head Start (Subtract)</v>
      </c>
      <c r="E122" s="906"/>
      <c r="F122" s="1789">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2021</v>
      </c>
      <c r="C124" s="932">
        <v>4100</v>
      </c>
      <c r="D124" s="933" t="str">
        <f>'Revenues 9-14'!A188</f>
        <v>Total Title V</v>
      </c>
      <c r="E124" s="906"/>
      <c r="F124" s="1789">
        <f>SUM('Revenues 9-14'!C188,'Revenues 9-14'!D188,'Revenues 9-14'!F188,'Revenues 9-14'!G188)</f>
        <v>0</v>
      </c>
      <c r="G124" s="930"/>
    </row>
    <row r="125" spans="1:7" x14ac:dyDescent="0.2">
      <c r="A125" s="927" t="s">
        <v>664</v>
      </c>
      <c r="B125" s="927" t="s">
        <v>2022</v>
      </c>
      <c r="C125" s="932">
        <v>4200</v>
      </c>
      <c r="D125" s="929" t="str">
        <f>'Revenues 9-14'!A198</f>
        <v>Total Food Service</v>
      </c>
      <c r="E125" s="906"/>
      <c r="F125" s="1789">
        <f>SUM('Revenues 9-14'!C198,'Revenues 9-14'!G198)</f>
        <v>38495</v>
      </c>
      <c r="G125" s="930"/>
    </row>
    <row r="126" spans="1:7" x14ac:dyDescent="0.2">
      <c r="A126" s="927" t="s">
        <v>668</v>
      </c>
      <c r="B126" s="927" t="s">
        <v>2023</v>
      </c>
      <c r="C126" s="932">
        <v>4300</v>
      </c>
      <c r="D126" s="933" t="str">
        <f>'Revenues 9-14'!A204</f>
        <v>Total Title I</v>
      </c>
      <c r="E126" s="906"/>
      <c r="F126" s="1789">
        <f>SUM('Revenues 9-14'!C204,'Revenues 9-14'!D204,'Revenues 9-14'!F204,'Revenues 9-14'!G204)</f>
        <v>39430</v>
      </c>
      <c r="G126" s="930"/>
    </row>
    <row r="127" spans="1:7" x14ac:dyDescent="0.2">
      <c r="A127" s="927" t="s">
        <v>668</v>
      </c>
      <c r="B127" s="927" t="s">
        <v>2024</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2025</v>
      </c>
      <c r="C128" s="932">
        <f>'Revenues 9-14'!B213</f>
        <v>4620</v>
      </c>
      <c r="D128" s="933" t="str">
        <f>'Revenues 9-14'!A213</f>
        <v>Fed - Spec Education - IDEA - Flow Through</v>
      </c>
      <c r="E128" s="906"/>
      <c r="F128" s="1789">
        <f>SUM('Revenues 9-14'!C213:D213,'Revenues 9-14'!F213:G213)</f>
        <v>48467</v>
      </c>
      <c r="G128" s="930"/>
    </row>
    <row r="129" spans="1:7" x14ac:dyDescent="0.2">
      <c r="A129" s="927" t="s">
        <v>668</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2043</v>
      </c>
      <c r="C157" s="940" t="s">
        <v>841</v>
      </c>
      <c r="D157" s="941" t="s">
        <v>777</v>
      </c>
      <c r="E157" s="942"/>
      <c r="F157" s="1789">
        <f>SUM(F133:F156)</f>
        <v>0</v>
      </c>
      <c r="G157" s="905"/>
    </row>
    <row r="158" spans="1:7" s="867" customFormat="1" x14ac:dyDescent="0.2">
      <c r="A158" s="938" t="s">
        <v>459</v>
      </c>
      <c r="B158" s="939" t="s">
        <v>2044</v>
      </c>
      <c r="C158" s="940" t="s">
        <v>1427</v>
      </c>
      <c r="D158" s="941" t="s">
        <v>1428</v>
      </c>
      <c r="E158" s="942"/>
      <c r="F158" s="1789">
        <f>SUM('Revenues 9-14'!C253)</f>
        <v>0</v>
      </c>
      <c r="G158" s="905"/>
    </row>
    <row r="159" spans="1:7" s="867" customFormat="1" x14ac:dyDescent="0.2">
      <c r="A159" s="938" t="s">
        <v>500</v>
      </c>
      <c r="B159" s="939" t="s">
        <v>2045</v>
      </c>
      <c r="C159" s="940" t="s">
        <v>1466</v>
      </c>
      <c r="D159" s="941" t="s">
        <v>1467</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2053</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958</v>
      </c>
      <c r="F174" s="1788">
        <f>SUM(F84:F132,F157:F172)</f>
        <v>308011</v>
      </c>
    </row>
    <row r="175" spans="1:7" ht="12" customHeight="1" x14ac:dyDescent="0.2">
      <c r="A175" s="1770"/>
      <c r="B175" s="1784"/>
      <c r="C175" s="1785"/>
      <c r="D175" s="1786" t="s">
        <v>2056</v>
      </c>
      <c r="E175" s="1787"/>
      <c r="F175" s="1789">
        <f>'PCTC-OEPP 27-28'!F77-F174</f>
        <v>1920500</v>
      </c>
    </row>
    <row r="176" spans="1:7" ht="12" customHeight="1" x14ac:dyDescent="0.2">
      <c r="A176" s="1770"/>
      <c r="B176" s="1784"/>
      <c r="C176" s="1785"/>
      <c r="D176" s="1786" t="s">
        <v>1817</v>
      </c>
      <c r="E176" s="1787"/>
      <c r="F176" s="1789">
        <f>'Cap Outlay Deprec 26'!I18</f>
        <v>173413</v>
      </c>
    </row>
    <row r="177" spans="1:7" ht="12" customHeight="1" x14ac:dyDescent="0.2">
      <c r="A177" s="1770"/>
      <c r="B177" s="1784"/>
      <c r="C177" s="1785"/>
      <c r="D177" s="1786" t="s">
        <v>2057</v>
      </c>
      <c r="E177" s="1787"/>
      <c r="F177" s="1789">
        <f>F175+F176</f>
        <v>2093913</v>
      </c>
    </row>
    <row r="178" spans="1:7" ht="12" customHeight="1" x14ac:dyDescent="0.2">
      <c r="A178" s="1770"/>
      <c r="B178" s="1790"/>
      <c r="C178" s="1785"/>
      <c r="D178" s="1786" t="str">
        <f>D78</f>
        <v>9 Month ADA from District Average Daily Attendance/Prior General State Aid Inquiry 2018-2019</v>
      </c>
      <c r="E178" s="1787"/>
      <c r="F178" s="1791">
        <f>'PCTC-OEPP 27-28'!F78</f>
        <v>207.16499999999999</v>
      </c>
      <c r="G178" s="930"/>
    </row>
    <row r="179" spans="1:7" ht="12" customHeight="1" thickBot="1" x14ac:dyDescent="0.25">
      <c r="A179" s="1770"/>
      <c r="B179" s="1790"/>
      <c r="C179" s="1785"/>
      <c r="D179" s="1786" t="s">
        <v>2058</v>
      </c>
      <c r="E179" s="1787" t="s">
        <v>1545</v>
      </c>
      <c r="F179" s="1792">
        <f>F177/F178</f>
        <v>10107.465064079357</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T13" sqref="T13:AA13"/>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534" t="s">
        <v>1819</v>
      </c>
      <c r="B6" s="1535"/>
      <c r="C6" s="1535"/>
      <c r="D6" s="1535"/>
      <c r="E6" s="1535"/>
      <c r="F6" s="1535"/>
      <c r="G6" s="1536"/>
    </row>
    <row r="7" spans="1:7" ht="30.75" customHeight="1" x14ac:dyDescent="0.25">
      <c r="A7" s="2275" t="s">
        <v>1931</v>
      </c>
      <c r="B7" s="2276"/>
      <c r="C7" s="2276"/>
      <c r="D7" s="2276"/>
      <c r="E7" s="2276"/>
      <c r="F7" s="2276"/>
      <c r="G7" s="2277"/>
    </row>
    <row r="8" spans="1:7" ht="15.75" customHeight="1" x14ac:dyDescent="0.25">
      <c r="A8" s="2278" t="s">
        <v>1906</v>
      </c>
      <c r="B8" s="2279"/>
      <c r="C8" s="2279"/>
      <c r="D8" s="2279"/>
      <c r="E8" s="2279"/>
      <c r="F8" s="2279"/>
      <c r="G8" s="2280"/>
    </row>
    <row r="9" spans="1:7" ht="35.25" customHeight="1" x14ac:dyDescent="0.25">
      <c r="A9" s="2275" t="s">
        <v>1934</v>
      </c>
      <c r="B9" s="2276"/>
      <c r="C9" s="2276"/>
      <c r="D9" s="2276"/>
      <c r="E9" s="2276"/>
      <c r="F9" s="2276"/>
      <c r="G9" s="2277"/>
    </row>
    <row r="10" spans="1:7" ht="15" customHeight="1" x14ac:dyDescent="0.25">
      <c r="A10" s="1537" t="s">
        <v>1820</v>
      </c>
      <c r="B10" s="1538"/>
      <c r="C10" s="1538"/>
      <c r="D10" s="1538"/>
      <c r="E10" s="1538"/>
      <c r="F10" s="1538"/>
      <c r="G10" s="1539"/>
    </row>
    <row r="11" spans="1:7" ht="17.25" customHeight="1" x14ac:dyDescent="0.25">
      <c r="A11" s="2275" t="s">
        <v>1933</v>
      </c>
      <c r="B11" s="2276"/>
      <c r="C11" s="2276"/>
      <c r="D11" s="2276"/>
      <c r="E11" s="2276"/>
      <c r="F11" s="2276"/>
      <c r="G11" s="2277"/>
    </row>
    <row r="12" spans="1:7" ht="15" customHeight="1" x14ac:dyDescent="0.25">
      <c r="A12" s="1537" t="s">
        <v>1825</v>
      </c>
      <c r="B12" s="1538"/>
      <c r="C12" s="1538"/>
      <c r="D12" s="1538"/>
      <c r="E12" s="1538"/>
      <c r="F12" s="1538"/>
      <c r="G12" s="1539"/>
    </row>
    <row r="13" spans="1:7" ht="32.25" customHeight="1" x14ac:dyDescent="0.25">
      <c r="A13" s="2266" t="s">
        <v>1975</v>
      </c>
      <c r="B13" s="2267"/>
      <c r="C13" s="2267"/>
      <c r="D13" s="2267"/>
      <c r="E13" s="2267"/>
      <c r="F13" s="2267"/>
      <c r="G13" s="2268"/>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2084</v>
      </c>
      <c r="B17" s="1938" t="s">
        <v>2085</v>
      </c>
      <c r="C17" s="1939" t="s">
        <v>2086</v>
      </c>
      <c r="D17" s="1844">
        <v>51704</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26704</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51704</v>
      </c>
      <c r="E141" s="1541">
        <f t="shared" si="0"/>
        <v>25000</v>
      </c>
      <c r="F141" s="1933">
        <f>SUM(F17:F140)</f>
        <v>25000</v>
      </c>
      <c r="G141" s="1795">
        <f>SUM(G17:G140)</f>
        <v>26704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6" t="s">
        <v>1976</v>
      </c>
      <c r="B11" s="2287"/>
      <c r="C11" s="2287"/>
      <c r="D11" s="2288"/>
      <c r="E11" s="977">
        <v>6256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1486000</v>
      </c>
      <c r="F19" s="1799"/>
      <c r="G19" s="1801">
        <f>'Expenditures 15-22'!K33-SUM('Expenditures 15-22'!G33,'Expenditures 15-22'!I33)+'Expenditures 15-22'!D229</f>
        <v>1486000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8751</v>
      </c>
      <c r="F21" s="1802"/>
      <c r="G21" s="1805">
        <f>'Expenditures 15-22'!K42-SUM('Expenditures 15-22'!G42,'Expenditures 15-22'!I42)+'Expenditures 15-22'!K120-SUM('Expenditures 15-22'!G120,'Expenditures 15-22'!I120)+'Expenditures 15-22'!K180-SUM('Expenditures 15-22'!G180,'Expenditures 15-22'!I180)+'Expenditures 15-22'!D238</f>
        <v>8751</v>
      </c>
      <c r="H21" s="987"/>
      <c r="I21" s="162"/>
    </row>
    <row r="22" spans="1:9" s="668" customFormat="1" ht="12" customHeight="1" x14ac:dyDescent="0.2">
      <c r="A22" s="994" t="s">
        <v>564</v>
      </c>
      <c r="B22" s="995"/>
      <c r="C22" s="993">
        <v>2200</v>
      </c>
      <c r="D22" s="1802"/>
      <c r="E22" s="1804">
        <f>'Expenditures 15-22'!K47-SUM('Expenditures 15-22'!G47,'Expenditures 15-22'!I47)+'Expenditures 15-22'!D243</f>
        <v>60362</v>
      </c>
      <c r="F22" s="1802"/>
      <c r="G22" s="1805">
        <f>'Expenditures 15-22'!K47-SUM('Expenditures 15-22'!G47,'Expenditures 15-22'!I47)+'Expenditures 15-22'!D243</f>
        <v>60362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139665</v>
      </c>
      <c r="F23" s="1802"/>
      <c r="G23" s="1804">
        <f>'Expenditures 15-22'!K53-SUM('Expenditures 15-22'!G53,'Expenditures 15-22'!I53)+'Expenditures 15-22'!D257+'Expenditures 15-22'!K330-SUM('Expenditures 15-22'!G330,'Expenditures 15-22'!I330)</f>
        <v>139665</v>
      </c>
      <c r="H23" s="987"/>
      <c r="I23" s="162"/>
    </row>
    <row r="24" spans="1:9" s="668" customFormat="1" ht="12" customHeight="1" x14ac:dyDescent="0.2">
      <c r="A24" s="994" t="s">
        <v>566</v>
      </c>
      <c r="B24" s="995"/>
      <c r="C24" s="993">
        <v>2400</v>
      </c>
      <c r="D24" s="1802"/>
      <c r="E24" s="1804">
        <f>'Expenditures 15-22'!K57-SUM('Expenditures 15-22'!G57,'Expenditures 15-22'!I57)+'Expenditures 15-22'!D261</f>
        <v>99732</v>
      </c>
      <c r="F24" s="1802"/>
      <c r="G24" s="1805">
        <f>'Expenditures 15-22'!K57-SUM('Expenditures 15-22'!G57,'Expenditures 15-22'!I57)+'Expenditures 15-22'!D261</f>
        <v>99732</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48290</v>
      </c>
      <c r="E27" s="1804">
        <f>E8</f>
        <v>0</v>
      </c>
      <c r="F27" s="1804">
        <f>'Expenditures 15-22'!K60-SUM('Expenditures 15-22'!G60,'Expenditures 15-22'!I60)+'Expenditures 15-22'!D264-E8</f>
        <v>48290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135826</v>
      </c>
      <c r="F28" s="1806">
        <f>'Expenditures 15-22'!K61-SUM('Expenditures 15-22'!G61,'Expenditures 15-22'!I61)+'Expenditures 15-22'!K124-SUM('Expenditures 15-22'!G124,'Expenditures 15-22'!I124)+'Expenditures 15-22'!D266-E9</f>
        <v>135826</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116107</v>
      </c>
      <c r="F29" s="1802"/>
      <c r="G29" s="1805">
        <f>'Expenditures 15-22'!K62-SUM('Expenditures 15-22'!G62,'Expenditures 15-22'!I62)+'Expenditures 15-22'!K125-SUM('Expenditures 15-22'!G125,'Expenditures 15-22'!I125)+'Expenditures 15-22'!K182-SUM('Expenditures 15-22'!G182,'Expenditures 15-22'!I182)+'Expenditures 15-22'!D267</f>
        <v>116107</v>
      </c>
      <c r="H29" s="985"/>
    </row>
    <row r="30" spans="1:9" ht="12" customHeight="1" x14ac:dyDescent="0.2">
      <c r="A30" s="994" t="s">
        <v>100</v>
      </c>
      <c r="B30" s="997"/>
      <c r="C30" s="993">
        <v>2560</v>
      </c>
      <c r="D30" s="1802"/>
      <c r="E30" s="1804">
        <f>'Expenditures 15-22'!K63-SUM('Expenditures 15-22'!G63,'Expenditures 15-22'!I63)+'Expenditures 15-22'!D268-E10</f>
        <v>92291</v>
      </c>
      <c r="F30" s="1802"/>
      <c r="G30" s="1804">
        <f>'Expenditures 15-22'!K63-SUM('Expenditures 15-22'!G63,'Expenditures 15-22'!I63)+'Expenditures 15-22'!D268-E10</f>
        <v>92291</v>
      </c>
    </row>
    <row r="31" spans="1:9" ht="12" customHeight="1" x14ac:dyDescent="0.2">
      <c r="A31" s="994" t="s">
        <v>101</v>
      </c>
      <c r="B31" s="997"/>
      <c r="C31" s="993">
        <v>2570</v>
      </c>
      <c r="D31" s="1804">
        <f>'Expenditures 15-22'!K64-SUM('Expenditures 15-22'!G64,'Expenditures 15-22'!I64)+'Expenditures 15-22'!D269-E12</f>
        <v>4920</v>
      </c>
      <c r="E31" s="1804">
        <f>E12</f>
        <v>0</v>
      </c>
      <c r="F31" s="1804">
        <f>'Expenditures 15-22'!K64-SUM('Expenditures 15-22'!G64,'Expenditures 15-22'!I64)+'Expenditures 15-22'!D269-E12</f>
        <v>4920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-26704</v>
      </c>
      <c r="F40" s="1802"/>
      <c r="G40" s="1806">
        <f>-'Contracts Paid in CY 29'!G141</f>
        <v>-26704</v>
      </c>
    </row>
    <row r="41" spans="1:7" ht="12" customHeight="1" x14ac:dyDescent="0.2">
      <c r="A41" s="998" t="s">
        <v>156</v>
      </c>
      <c r="B41" s="999"/>
      <c r="C41" s="1000"/>
      <c r="D41" s="1806">
        <f>SUM(D19:D39)</f>
        <v>53210</v>
      </c>
      <c r="E41" s="1806">
        <f>SUM(E19:E40)</f>
        <v>2112030</v>
      </c>
      <c r="F41" s="1806">
        <f>SUM(F19:F39)</f>
        <v>189036</v>
      </c>
      <c r="G41" s="1806">
        <f>SUM(G19:G40)</f>
        <v>1976204</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53210</v>
      </c>
      <c r="F43" s="1807" t="s">
        <v>473</v>
      </c>
      <c r="G43" s="1808">
        <f>F41</f>
        <v>189036</v>
      </c>
    </row>
    <row r="44" spans="1:7" ht="12" customHeight="1" x14ac:dyDescent="0.2">
      <c r="A44" s="987"/>
      <c r="B44" s="162"/>
      <c r="C44" s="1001"/>
      <c r="D44" s="1807" t="s">
        <v>474</v>
      </c>
      <c r="E44" s="1808">
        <f>E41</f>
        <v>2112030</v>
      </c>
      <c r="F44" s="1807" t="s">
        <v>474</v>
      </c>
      <c r="G44" s="1808">
        <f>G41</f>
        <v>1976204</v>
      </c>
    </row>
    <row r="45" spans="1:7" ht="12" customHeight="1" x14ac:dyDescent="0.2">
      <c r="A45" s="987"/>
      <c r="B45" s="162"/>
      <c r="C45" s="162"/>
      <c r="D45" s="1809" t="s">
        <v>1006</v>
      </c>
      <c r="E45" s="1810">
        <f>(E43/E44)</f>
        <v>2.5193770921814556E-2</v>
      </c>
      <c r="F45" s="1809" t="s">
        <v>1006</v>
      </c>
      <c r="G45" s="1810">
        <f>(G43/G44)</f>
        <v>9.5656116473805342E-2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T13" sqref="T13:AA13"/>
      <selection pane="bottomLeft" activeCell="T13" sqref="T13:AA1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2" t="s">
        <v>1379</v>
      </c>
      <c r="B1" s="2292"/>
      <c r="C1" s="2292"/>
      <c r="D1" s="2292"/>
      <c r="E1" s="2292"/>
      <c r="F1" s="2292"/>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293" t="s">
        <v>1546</v>
      </c>
      <c r="B5" s="2294"/>
      <c r="C5" s="2295"/>
      <c r="D5" s="2295"/>
      <c r="E5" s="2295"/>
      <c r="F5" s="2295"/>
    </row>
    <row r="6" spans="1:10" ht="12" customHeight="1" x14ac:dyDescent="0.25">
      <c r="A6" s="1850"/>
      <c r="B6" s="1851"/>
      <c r="C6" s="2296" t="str">
        <f>COVER!A17</f>
        <v>West Lincoln-Broadwell ESD 92</v>
      </c>
      <c r="D6" s="2296"/>
      <c r="E6" s="2296"/>
      <c r="F6" s="1852"/>
    </row>
    <row r="7" spans="1:10" ht="11.25" customHeight="1" thickBot="1" x14ac:dyDescent="0.3">
      <c r="A7" s="1850"/>
      <c r="B7" s="1851"/>
      <c r="C7" s="2297">
        <f>COVER!A13</f>
        <v>17054092004</v>
      </c>
      <c r="D7" s="2297"/>
      <c r="E7" s="2297"/>
      <c r="F7" s="1852"/>
    </row>
    <row r="8" spans="1:10" ht="25.5" customHeight="1" thickBot="1" x14ac:dyDescent="0.25">
      <c r="A8" s="1893" t="s">
        <v>1907</v>
      </c>
      <c r="B8" s="1853" t="s">
        <v>2074</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298"/>
      <c r="D35" s="2298"/>
      <c r="E35" s="2298"/>
      <c r="F35" s="2299"/>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303"/>
      <c r="B38" s="2304"/>
      <c r="C38" s="2304"/>
      <c r="D38" s="2304"/>
      <c r="E38" s="2304"/>
      <c r="F38" s="2305"/>
    </row>
    <row r="39" spans="1:11" ht="4.5" hidden="1" customHeight="1" x14ac:dyDescent="0.2">
      <c r="A39" s="1873"/>
      <c r="B39" s="1873"/>
      <c r="C39" s="1873"/>
      <c r="D39" s="1873"/>
      <c r="E39" s="1873"/>
      <c r="F39" s="1873"/>
    </row>
    <row r="40" spans="1:11" s="1870" customFormat="1" ht="12" customHeight="1" x14ac:dyDescent="0.25">
      <c r="A40" s="1874" t="s">
        <v>1391</v>
      </c>
      <c r="B40" s="1875"/>
      <c r="C40" s="2306"/>
      <c r="D40" s="2306"/>
      <c r="E40" s="2306"/>
      <c r="F40" s="2307"/>
      <c r="H40" s="1879"/>
      <c r="I40" s="1879"/>
      <c r="J40" s="1879"/>
      <c r="K40" s="1879"/>
    </row>
    <row r="41" spans="1:11" s="1870" customFormat="1" ht="12" customHeight="1" x14ac:dyDescent="0.25">
      <c r="A41" s="2308"/>
      <c r="B41" s="2309"/>
      <c r="C41" s="2309"/>
      <c r="D41" s="2309"/>
      <c r="E41" s="2309"/>
      <c r="F41" s="2310"/>
      <c r="H41" s="1879"/>
      <c r="I41" s="1879"/>
      <c r="J41" s="1879"/>
      <c r="K41" s="1879"/>
    </row>
    <row r="42" spans="1:11" s="1870" customFormat="1" ht="12" customHeight="1" x14ac:dyDescent="0.25">
      <c r="A42" s="2308"/>
      <c r="B42" s="2309"/>
      <c r="C42" s="2309"/>
      <c r="D42" s="2309"/>
      <c r="E42" s="2309"/>
      <c r="F42" s="2310"/>
      <c r="H42" s="1879"/>
      <c r="I42" s="1879"/>
      <c r="J42" s="1879"/>
      <c r="K42" s="1879"/>
    </row>
    <row r="43" spans="1:11" s="1870" customFormat="1" ht="15" x14ac:dyDescent="0.25">
      <c r="A43" s="2300"/>
      <c r="B43" s="2301"/>
      <c r="C43" s="2301"/>
      <c r="D43" s="2301"/>
      <c r="E43" s="2301"/>
      <c r="F43" s="2302"/>
      <c r="H43" s="1879"/>
      <c r="I43" s="1879"/>
      <c r="J43" s="1879"/>
      <c r="K43" s="1879"/>
    </row>
    <row r="44" spans="1:11" s="1870" customFormat="1" ht="12" hidden="1" customHeight="1" x14ac:dyDescent="0.25">
      <c r="A44" s="2300"/>
      <c r="B44" s="2301"/>
      <c r="C44" s="2301"/>
      <c r="D44" s="2301"/>
      <c r="E44" s="2301"/>
      <c r="F44" s="230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T13" sqref="T13:AA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6" t="str">
        <f>COVER!A17</f>
        <v>West Lincoln-Broadwell ESD 92</v>
      </c>
      <c r="J6" s="2317"/>
      <c r="Q6" s="1664"/>
    </row>
    <row r="7" spans="1:17" x14ac:dyDescent="0.2">
      <c r="A7" s="2318" t="s">
        <v>869</v>
      </c>
      <c r="B7" s="2319"/>
      <c r="C7" s="2319"/>
      <c r="D7" s="2319"/>
      <c r="E7" s="2320"/>
      <c r="F7" s="1017"/>
      <c r="G7" s="1009"/>
      <c r="H7" s="1016" t="s">
        <v>372</v>
      </c>
      <c r="I7" s="2321">
        <f>COVER!A13</f>
        <v>17054092004</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70699</v>
      </c>
      <c r="F12" s="1039"/>
      <c r="G12" s="1811">
        <f t="shared" ref="G12:G18" si="0">SUM(E12:F12)</f>
        <v>70699</v>
      </c>
      <c r="H12" s="1040">
        <v>66900</v>
      </c>
      <c r="I12" s="1039"/>
      <c r="J12" s="1811">
        <f t="shared" ref="J12:J18" si="1">SUM(H12:I12)</f>
        <v>66900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4920</v>
      </c>
      <c r="F16" s="1039"/>
      <c r="G16" s="1811">
        <f t="shared" si="0"/>
        <v>4920</v>
      </c>
      <c r="H16" s="1040">
        <v>4900</v>
      </c>
      <c r="I16" s="1039"/>
      <c r="J16" s="1811">
        <f t="shared" si="1"/>
        <v>4900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75619</v>
      </c>
      <c r="F19" s="1813">
        <f t="shared" si="2"/>
        <v>0</v>
      </c>
      <c r="G19" s="1813">
        <f t="shared" si="2"/>
        <v>75619</v>
      </c>
      <c r="H19" s="1813">
        <f t="shared" si="2"/>
        <v>71800</v>
      </c>
      <c r="I19" s="1813">
        <f t="shared" si="2"/>
        <v>0</v>
      </c>
      <c r="J19" s="1813">
        <f t="shared" si="2"/>
        <v>71800</v>
      </c>
    </row>
    <row r="20" spans="1:10" ht="13.5" thickTop="1" x14ac:dyDescent="0.2">
      <c r="A20" s="1035">
        <v>9</v>
      </c>
      <c r="B20" s="2328" t="s">
        <v>1980</v>
      </c>
      <c r="C20" s="2328"/>
      <c r="D20" s="2329"/>
      <c r="E20" s="1046"/>
      <c r="F20" s="1046"/>
      <c r="G20" s="1046"/>
      <c r="H20" s="1046"/>
      <c r="I20" s="1046"/>
      <c r="J20" s="1814">
        <f>IF(AND(G19&gt;0,J19&gt;0),(((J19-G19)/G19)),"Enter Budget Data")</f>
        <v>-5.0503180417619913E-2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t="s">
        <v>2075</v>
      </c>
      <c r="D28" s="2332"/>
      <c r="E28" s="1054"/>
      <c r="F28" s="2332" t="s">
        <v>2082</v>
      </c>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1982</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T13" sqref="T13:AA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2079</v>
      </c>
    </row>
    <row r="6" spans="1:2" x14ac:dyDescent="0.2">
      <c r="A6" s="1068">
        <v>2</v>
      </c>
      <c r="B6" s="329" t="s">
        <v>2080</v>
      </c>
    </row>
    <row r="7" spans="1:2" x14ac:dyDescent="0.2">
      <c r="A7" s="1068">
        <v>3</v>
      </c>
      <c r="B7" s="329" t="s">
        <v>2081</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West Lincoln-Broadwell ESD 92</v>
      </c>
    </row>
    <row r="65" spans="2:2" x14ac:dyDescent="0.2">
      <c r="B65" s="1070">
        <f>COVER!A13</f>
        <v>17054092004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13" sqref="T13:AA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161925</xdr:colOff>
                <xdr:row>3</xdr:row>
                <xdr:rowOff>0</xdr:rowOff>
              </from>
              <to>
                <xdr:col>1</xdr:col>
                <xdr:colOff>1076325</xdr:colOff>
                <xdr:row>7</xdr:row>
                <xdr:rowOff>123825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13" sqref="T13:AA1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1986</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1987</v>
      </c>
      <c r="B4" s="2356"/>
      <c r="C4" s="2356"/>
      <c r="D4" s="2356"/>
      <c r="E4" s="2356"/>
      <c r="F4" s="2357"/>
      <c r="G4" s="1074"/>
      <c r="H4" s="1074"/>
    </row>
    <row r="5" spans="1:8" ht="14.25" customHeight="1" x14ac:dyDescent="0.2">
      <c r="A5" s="2358" t="s">
        <v>1983</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1941008</v>
      </c>
      <c r="C8" s="1815">
        <f>'Acct Summary 7-8'!D8</f>
        <v>83229</v>
      </c>
      <c r="D8" s="1815">
        <f>'Acct Summary 7-8'!F8</f>
        <v>185544</v>
      </c>
      <c r="E8" s="1815">
        <f>'Acct Summary 7-8'!I8</f>
        <v>22</v>
      </c>
      <c r="F8" s="1815">
        <f>SUM(B8:E8)</f>
        <v>2209803</v>
      </c>
    </row>
    <row r="9" spans="1:8" s="1079" customFormat="1" ht="14.25" customHeight="1" thickBot="1" x14ac:dyDescent="0.25">
      <c r="A9" s="1078" t="s">
        <v>1369</v>
      </c>
      <c r="B9" s="1816">
        <f>'Acct Summary 7-8'!C17</f>
        <v>1996578</v>
      </c>
      <c r="C9" s="1816">
        <f>'Acct Summary 7-8'!D17</f>
        <v>127703</v>
      </c>
      <c r="D9" s="1816">
        <f>'Acct Summary 7-8'!F17</f>
        <v>160569</v>
      </c>
      <c r="E9" s="1815"/>
      <c r="F9" s="1815">
        <f>SUM(B9:E9)</f>
        <v>2284850</v>
      </c>
    </row>
    <row r="10" spans="1:8" s="1079" customFormat="1" ht="14.25" thickTop="1" thickBot="1" x14ac:dyDescent="0.25">
      <c r="A10" s="1080" t="s">
        <v>1370</v>
      </c>
      <c r="B10" s="1817">
        <f>(B8-B9)</f>
        <v>-55570</v>
      </c>
      <c r="C10" s="1817">
        <f>(C8-C9)</f>
        <v>-44474</v>
      </c>
      <c r="D10" s="1817">
        <f>(D8-D9)</f>
        <v>24975</v>
      </c>
      <c r="E10" s="1816">
        <f>(E8-E9)</f>
        <v>22</v>
      </c>
      <c r="F10" s="1818">
        <f>SUM(F8-F9)</f>
        <v>-75047</v>
      </c>
    </row>
    <row r="11" spans="1:8" s="1079" customFormat="1" ht="14.25" thickTop="1" thickBot="1" x14ac:dyDescent="0.25">
      <c r="A11" s="1081" t="s">
        <v>1984</v>
      </c>
      <c r="B11" s="1819">
        <f>'Acct Summary 7-8'!C81</f>
        <v>414324</v>
      </c>
      <c r="C11" s="1819">
        <f>'Acct Summary 7-8'!D81</f>
        <v>23124</v>
      </c>
      <c r="D11" s="1819">
        <f>'Acct Summary 7-8'!F81</f>
        <v>121023</v>
      </c>
      <c r="E11" s="1819">
        <f>'Acct Summary 7-8'!I81</f>
        <v>546401</v>
      </c>
      <c r="F11" s="1820">
        <f>SUM(B11:E11)</f>
        <v>1104872</v>
      </c>
    </row>
    <row r="12" spans="1:8" ht="16.5" customHeight="1" thickTop="1" x14ac:dyDescent="0.2">
      <c r="A12" s="1082"/>
      <c r="B12" s="1083"/>
      <c r="C12" s="2340" t="str">
        <f>IF(AND(F10&lt;0,F11&gt;=0,ABS(F10*3)&gt;ABS(F11)),A16,IF(AND(F10&lt;0,F11&gt;0,ABS(F10*3)&lt;=ABS(F11)),A17,IF(AND(F10&lt;0,F11&lt;0),A16,IF(F11=0,A19,A18))))</f>
        <v>Unbalanced -  however, a deficit reduction plan is not required at this time.</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T13" sqref="T13:AA1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17054092004</v>
      </c>
    </row>
    <row r="3" spans="1:2" x14ac:dyDescent="0.2">
      <c r="A3" t="s">
        <v>956</v>
      </c>
      <c r="B3" s="138" t="str">
        <f>COVER!A15</f>
        <v>Logan</v>
      </c>
    </row>
    <row r="4" spans="1:2" x14ac:dyDescent="0.2">
      <c r="A4" t="s">
        <v>1007</v>
      </c>
      <c r="B4" s="138" t="str">
        <f>COVER!A17</f>
        <v>West Lincoln-Broadwell ESD 92</v>
      </c>
    </row>
    <row r="5" spans="1:2" x14ac:dyDescent="0.2">
      <c r="A5" t="s">
        <v>704</v>
      </c>
      <c r="B5" s="138" t="str">
        <f>COVER!A38</f>
        <v>Heather Baker, Superintendent/Principal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065-015457</v>
      </c>
    </row>
    <row r="16" spans="1:2" x14ac:dyDescent="0.2">
      <c r="A16" t="s">
        <v>422</v>
      </c>
      <c r="B16" s="138" t="str">
        <f>COVER!T13</f>
        <v>Pamela J. Simpson, CPA</v>
      </c>
    </row>
    <row r="17" spans="1:2" x14ac:dyDescent="0.2">
      <c r="A17" t="s">
        <v>884</v>
      </c>
      <c r="B17" s="138" t="str">
        <f>COVER!T15</f>
        <v>Pamela J. Simpson</v>
      </c>
    </row>
    <row r="18" spans="1:2" x14ac:dyDescent="0.2">
      <c r="A18" t="s">
        <v>1150</v>
      </c>
      <c r="B18" s="138" t="str">
        <f>COVER!T17</f>
        <v>920 West Pershing Road</v>
      </c>
    </row>
    <row r="19" spans="1:2" x14ac:dyDescent="0.2">
      <c r="A19" t="s">
        <v>886</v>
      </c>
      <c r="B19" s="138" t="str">
        <f>COVER!T25</f>
        <v>pjscpa31a@aol.com</v>
      </c>
    </row>
    <row r="20" spans="1:2" x14ac:dyDescent="0.2">
      <c r="A20" t="s">
        <v>887</v>
      </c>
      <c r="B20" s="138" t="str">
        <f>COVER!T19</f>
        <v>Decatur</v>
      </c>
    </row>
    <row r="21" spans="1:2" x14ac:dyDescent="0.2">
      <c r="A21" t="s">
        <v>479</v>
      </c>
      <c r="B21" s="138" t="str">
        <f>COVER!X19</f>
        <v>IL</v>
      </c>
    </row>
    <row r="22" spans="1:2" x14ac:dyDescent="0.2">
      <c r="A22" t="s">
        <v>888</v>
      </c>
      <c r="B22" s="138">
        <f>COVER!Z19</f>
        <v>62526</v>
      </c>
    </row>
    <row r="23" spans="1:2" x14ac:dyDescent="0.2">
      <c r="A23" t="s">
        <v>1152</v>
      </c>
      <c r="B23" s="138">
        <f>COVER!T21</f>
        <v>2178721908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417389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3065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3065</v>
      </c>
      <c r="C91" s="2" t="s">
        <v>573</v>
      </c>
      <c r="D91" s="2" t="str">
        <f t="shared" si="0"/>
        <v>Error?</v>
      </c>
    </row>
    <row r="92" spans="1:4" x14ac:dyDescent="0.2">
      <c r="A92" s="5">
        <v>31</v>
      </c>
      <c r="B92" s="138">
        <f>'Assets-Liab 5-6'!C39</f>
        <v>414324</v>
      </c>
      <c r="D92" s="2" t="str">
        <f t="shared" si="0"/>
        <v>Error?</v>
      </c>
    </row>
    <row r="93" spans="1:4" x14ac:dyDescent="0.2">
      <c r="A93" s="5">
        <v>32</v>
      </c>
      <c r="B93" s="138">
        <f>'Assets-Liab 5-6'!C41</f>
        <v>417389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23124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23124</v>
      </c>
      <c r="D123" s="2" t="str">
        <f t="shared" si="0"/>
        <v>Error?</v>
      </c>
    </row>
    <row r="124" spans="1:4" x14ac:dyDescent="0.2">
      <c r="A124" s="5">
        <v>63</v>
      </c>
      <c r="B124" s="138">
        <f>'Assets-Liab 5-6'!D41</f>
        <v>23124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21560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21560</v>
      </c>
      <c r="D140" s="2" t="str">
        <f t="shared" si="1"/>
        <v>Error?</v>
      </c>
    </row>
    <row r="141" spans="1:4" x14ac:dyDescent="0.2">
      <c r="A141" s="5">
        <v>80</v>
      </c>
      <c r="B141" s="138">
        <f>'Assets-Liab 5-6'!E41</f>
        <v>21560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121023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121023</v>
      </c>
      <c r="D170" s="2" t="str">
        <f t="shared" si="1"/>
        <v>Error?</v>
      </c>
    </row>
    <row r="171" spans="1:4" x14ac:dyDescent="0.2">
      <c r="A171" s="5">
        <v>110</v>
      </c>
      <c r="B171" s="138">
        <f>'Assets-Liab 5-6'!F41</f>
        <v>121023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16240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13113</v>
      </c>
      <c r="D189" s="2" t="str">
        <f t="shared" si="1"/>
        <v>Error?</v>
      </c>
    </row>
    <row r="190" spans="1:4" x14ac:dyDescent="0.2">
      <c r="A190" s="5">
        <v>129</v>
      </c>
      <c r="B190" s="138">
        <f>'Assets-Liab 5-6'!G41</f>
        <v>16240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202000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202000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15000</v>
      </c>
      <c r="D273" s="2" t="str">
        <f t="shared" si="3"/>
        <v>Error?</v>
      </c>
    </row>
    <row r="274" spans="1:4" x14ac:dyDescent="0.2">
      <c r="A274" s="5">
        <v>213</v>
      </c>
      <c r="B274" s="138">
        <f>'Assets-Liab 5-6'!M17</f>
        <v>3656529</v>
      </c>
      <c r="D274" s="2" t="str">
        <f t="shared" si="3"/>
        <v>Error?</v>
      </c>
    </row>
    <row r="275" spans="1:4" x14ac:dyDescent="0.2">
      <c r="A275" s="5">
        <v>214</v>
      </c>
      <c r="B275" s="138">
        <f>'Assets-Liab 5-6'!M18</f>
        <v>224871</v>
      </c>
      <c r="D275" s="2" t="str">
        <f t="shared" si="3"/>
        <v>Error?</v>
      </c>
    </row>
    <row r="276" spans="1:4" x14ac:dyDescent="0.2">
      <c r="A276" s="5">
        <v>215</v>
      </c>
      <c r="B276" s="138">
        <f>'Assets-Liab 5-6'!M19</f>
        <v>1225218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5121618</v>
      </c>
      <c r="C279" s="2" t="s">
        <v>573</v>
      </c>
      <c r="D279" s="2" t="str">
        <f t="shared" si="3"/>
        <v>Error?</v>
      </c>
    </row>
    <row r="280" spans="1:4" x14ac:dyDescent="0.2">
      <c r="A280" s="5">
        <v>219</v>
      </c>
      <c r="B280" s="138">
        <f>'Assets-Liab 5-6'!M40</f>
        <v>5121618</v>
      </c>
      <c r="D280" s="2" t="str">
        <f t="shared" si="3"/>
        <v>Error?</v>
      </c>
    </row>
    <row r="281" spans="1:4" x14ac:dyDescent="0.2">
      <c r="A281" s="5">
        <v>220</v>
      </c>
      <c r="B281" s="138">
        <f>'Assets-Liab 5-6'!M41</f>
        <v>5121618</v>
      </c>
      <c r="C281" s="2" t="s">
        <v>573</v>
      </c>
      <c r="D281" s="2" t="str">
        <f t="shared" si="3"/>
        <v>Error?</v>
      </c>
    </row>
    <row r="282" spans="1:4" x14ac:dyDescent="0.2">
      <c r="A282" s="5">
        <v>221</v>
      </c>
      <c r="B282" s="138">
        <f>'Assets-Liab 5-6'!N21</f>
        <v>21560</v>
      </c>
      <c r="D282" s="2" t="str">
        <f t="shared" si="3"/>
        <v>Error?</v>
      </c>
    </row>
    <row r="283" spans="1:4" x14ac:dyDescent="0.2">
      <c r="A283" s="5">
        <v>222</v>
      </c>
      <c r="B283" s="138">
        <f>'Assets-Liab 5-6'!N22</f>
        <v>1155440</v>
      </c>
      <c r="D283" s="2" t="str">
        <f t="shared" si="3"/>
        <v>Error?</v>
      </c>
    </row>
    <row r="284" spans="1:4" x14ac:dyDescent="0.2">
      <c r="A284" s="5">
        <v>223</v>
      </c>
      <c r="B284" s="138">
        <f>'Assets-Liab 5-6'!N23</f>
        <v>1177000</v>
      </c>
      <c r="C284" s="2" t="s">
        <v>573</v>
      </c>
      <c r="D284" s="2" t="str">
        <f t="shared" si="3"/>
        <v>Error?</v>
      </c>
    </row>
    <row r="285" spans="1:4" x14ac:dyDescent="0.2">
      <c r="A285" s="5">
        <v>224</v>
      </c>
      <c r="B285" s="138">
        <f>'Assets-Liab 5-6'!N36</f>
        <v>1177000</v>
      </c>
      <c r="D285" s="2" t="str">
        <f t="shared" si="3"/>
        <v>Error?</v>
      </c>
    </row>
    <row r="286" spans="1:4" x14ac:dyDescent="0.2">
      <c r="A286" s="10">
        <v>225</v>
      </c>
      <c r="D286" s="2" t="str">
        <f t="shared" si="3"/>
        <v>OK</v>
      </c>
    </row>
    <row r="287" spans="1:4" x14ac:dyDescent="0.2">
      <c r="A287" s="5">
        <v>226</v>
      </c>
      <c r="B287" s="138">
        <f>'Assets-Liab 5-6'!N37</f>
        <v>1177000</v>
      </c>
      <c r="C287" s="2" t="s">
        <v>573</v>
      </c>
      <c r="D287" s="2" t="str">
        <f t="shared" si="3"/>
        <v>Error?</v>
      </c>
    </row>
    <row r="288" spans="1:4" x14ac:dyDescent="0.2">
      <c r="A288" s="5">
        <v>227</v>
      </c>
      <c r="B288" s="138">
        <f>'Assets-Liab 5-6'!N41</f>
        <v>1177000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874515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10700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1102165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191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191</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50464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50464</v>
      </c>
      <c r="C731" s="2" t="s">
        <v>573</v>
      </c>
      <c r="D731" s="2" t="str">
        <f t="shared" si="10"/>
        <v>Error?</v>
      </c>
    </row>
    <row r="732" spans="1:4" x14ac:dyDescent="0.2">
      <c r="A732" s="5">
        <v>671</v>
      </c>
      <c r="B732" s="138">
        <f>'Expenditures 15-22'!C49</f>
        <v>3226</v>
      </c>
      <c r="D732" s="2" t="str">
        <f t="shared" si="10"/>
        <v>Error?</v>
      </c>
    </row>
    <row r="733" spans="1:4" x14ac:dyDescent="0.2">
      <c r="A733" s="5">
        <v>672</v>
      </c>
      <c r="B733" s="138">
        <f>'Expenditures 15-22'!C50</f>
        <v>61650</v>
      </c>
      <c r="D733" s="2" t="str">
        <f t="shared" si="10"/>
        <v>Error?</v>
      </c>
    </row>
    <row r="734" spans="1:4" x14ac:dyDescent="0.2">
      <c r="A734" s="5">
        <v>673</v>
      </c>
      <c r="B734" s="138">
        <f>'Expenditures 15-22'!C53</f>
        <v>64876</v>
      </c>
      <c r="C734" s="2" t="s">
        <v>573</v>
      </c>
      <c r="D734" s="2" t="str">
        <f t="shared" si="10"/>
        <v>Error?</v>
      </c>
    </row>
    <row r="735" spans="1:4" x14ac:dyDescent="0.2">
      <c r="A735" s="5">
        <v>674</v>
      </c>
      <c r="B735" s="138">
        <f>'Expenditures 15-22'!C55</f>
        <v>84028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84028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38666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20133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58799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258358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1360523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171778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1188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194916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5822</v>
      </c>
      <c r="D791" s="2" t="str">
        <f t="shared" si="11"/>
        <v>Error?</v>
      </c>
    </row>
    <row r="792" spans="1:4" x14ac:dyDescent="0.2">
      <c r="A792" s="5">
        <v>731</v>
      </c>
      <c r="B792" s="138">
        <f>'Expenditures 15-22'!D53</f>
        <v>5822</v>
      </c>
      <c r="C792" s="2" t="s">
        <v>573</v>
      </c>
      <c r="D792" s="2" t="str">
        <f t="shared" si="11"/>
        <v>Error?</v>
      </c>
    </row>
    <row r="793" spans="1:4" x14ac:dyDescent="0.2">
      <c r="A793" s="5">
        <v>732</v>
      </c>
      <c r="B793" s="138">
        <f>'Expenditures 15-22'!D55</f>
        <v>6128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6128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11950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206866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3292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20366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31366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9063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9063</v>
      </c>
      <c r="C847" s="2" t="s">
        <v>573</v>
      </c>
      <c r="D847" s="2" t="str">
        <f t="shared" si="12"/>
        <v>Error?</v>
      </c>
    </row>
    <row r="848" spans="1:4" x14ac:dyDescent="0.2">
      <c r="A848" s="5">
        <v>787</v>
      </c>
      <c r="B848" s="138">
        <f>'Expenditures 15-22'!E49</f>
        <v>19264</v>
      </c>
      <c r="D848" s="2" t="str">
        <f t="shared" si="12"/>
        <v>Error?</v>
      </c>
    </row>
    <row r="849" spans="1:4" x14ac:dyDescent="0.2">
      <c r="A849" s="5">
        <v>788</v>
      </c>
      <c r="B849" s="138">
        <f>'Expenditures 15-22'!E50</f>
        <v>2296</v>
      </c>
      <c r="D849" s="2" t="str">
        <f t="shared" si="12"/>
        <v>Error?</v>
      </c>
    </row>
    <row r="850" spans="1:4" x14ac:dyDescent="0.2">
      <c r="A850" s="5">
        <v>789</v>
      </c>
      <c r="B850" s="138">
        <f>'Expenditures 15-22'!E53</f>
        <v>21560</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1534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52654</v>
      </c>
      <c r="D858" s="2" t="str">
        <f t="shared" si="12"/>
        <v>Error?</v>
      </c>
    </row>
    <row r="859" spans="1:4" x14ac:dyDescent="0.2">
      <c r="A859" s="5">
        <v>798</v>
      </c>
      <c r="B859" s="138">
        <f>'Expenditures 15-22'!E64</f>
        <v>4858</v>
      </c>
      <c r="D859" s="2" t="str">
        <f t="shared" si="12"/>
        <v>Error?</v>
      </c>
    </row>
    <row r="860" spans="1:4" x14ac:dyDescent="0.2">
      <c r="A860" s="10">
        <v>799</v>
      </c>
      <c r="D860" s="2" t="str">
        <f t="shared" si="12"/>
        <v>OK</v>
      </c>
    </row>
    <row r="861" spans="1:4" x14ac:dyDescent="0.2">
      <c r="A861" s="5">
        <v>800</v>
      </c>
      <c r="B861" s="138">
        <f>'Expenditures 15-22'!E65</f>
        <v>59046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89669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218925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32420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2444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52505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835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835</v>
      </c>
      <c r="C905" s="2" t="s">
        <v>573</v>
      </c>
      <c r="D905" s="2" t="str">
        <f t="shared" si="13"/>
        <v>Error?</v>
      </c>
    </row>
    <row r="906" spans="1:4" x14ac:dyDescent="0.2">
      <c r="A906" s="5">
        <v>845</v>
      </c>
      <c r="B906" s="138">
        <f>'Expenditures 15-22'!F49</f>
        <v>2027</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2027</v>
      </c>
      <c r="C908" s="2" t="s">
        <v>573</v>
      </c>
      <c r="D908" s="2" t="str">
        <f t="shared" si="13"/>
        <v>Error?</v>
      </c>
    </row>
    <row r="909" spans="1:4" x14ac:dyDescent="0.2">
      <c r="A909" s="5">
        <v>848</v>
      </c>
      <c r="B909" s="138">
        <f>'Expenditures 15-22'!F55</f>
        <v>2445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2445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1375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15902</v>
      </c>
      <c r="D916" s="2" t="str">
        <f t="shared" si="13"/>
        <v>Error?</v>
      </c>
    </row>
    <row r="917" spans="1:4" x14ac:dyDescent="0.2">
      <c r="A917" s="5">
        <v>856</v>
      </c>
      <c r="B917" s="138">
        <f>'Expenditures 15-22'!F64</f>
        <v>62</v>
      </c>
      <c r="D917" s="2" t="str">
        <f t="shared" si="13"/>
        <v>Error?</v>
      </c>
    </row>
    <row r="918" spans="1:4" x14ac:dyDescent="0.2">
      <c r="A918" s="10">
        <v>857</v>
      </c>
      <c r="D918" s="2" t="str">
        <f t="shared" si="13"/>
        <v>OK</v>
      </c>
    </row>
    <row r="919" spans="1:4" x14ac:dyDescent="0.2">
      <c r="A919" s="5">
        <v>858</v>
      </c>
      <c r="B919" s="138">
        <f>'Expenditures 15-22'!F65</f>
        <v>17339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22646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75151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2406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16520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4750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4750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4750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21270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7816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77904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2642</v>
      </c>
      <c r="D1022" s="2" t="str">
        <f t="shared" si="14"/>
        <v>Error?</v>
      </c>
    </row>
    <row r="1023" spans="1:4" x14ac:dyDescent="0.2">
      <c r="A1023" s="5">
        <v>962</v>
      </c>
      <c r="B1023" s="138">
        <f>'Expenditures 15-22'!H50</f>
        <v>931</v>
      </c>
      <c r="D1023" s="2" t="str">
        <f t="shared" ref="D1023:D1086" si="15">IF(ISBLANK(B1023),"OK",IF(A1023-B1023=0,"OK","Error?"))</f>
        <v>Error?</v>
      </c>
    </row>
    <row r="1024" spans="1:4" x14ac:dyDescent="0.2">
      <c r="A1024" s="5">
        <v>963</v>
      </c>
      <c r="B1024" s="138">
        <f>'Expenditures 15-22'!H53</f>
        <v>3573</v>
      </c>
      <c r="C1024" s="2" t="s">
        <v>573</v>
      </c>
      <c r="D1024" s="2" t="str">
        <f t="shared" si="15"/>
        <v>Error?</v>
      </c>
    </row>
    <row r="1025" spans="1:4" x14ac:dyDescent="0.2">
      <c r="A1025" s="5">
        <v>964</v>
      </c>
      <c r="B1025" s="138">
        <f>'Expenditures 15-22'!H55</f>
        <v>795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795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4368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31571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113843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1084411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42514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1475376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191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191</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60362</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60362</v>
      </c>
      <c r="C1119" s="2" t="s">
        <v>573</v>
      </c>
      <c r="D1119" s="2" t="str">
        <f t="shared" si="16"/>
        <v>Error?</v>
      </c>
    </row>
    <row r="1120" spans="1:4" x14ac:dyDescent="0.2">
      <c r="A1120" s="5">
        <v>1059</v>
      </c>
      <c r="B1120" s="138">
        <f>'Expenditures 15-22'!K49</f>
        <v>27159</v>
      </c>
      <c r="C1120" s="2" t="s">
        <v>573</v>
      </c>
      <c r="D1120" s="2" t="str">
        <f t="shared" si="16"/>
        <v>Error?</v>
      </c>
    </row>
    <row r="1121" spans="1:4" x14ac:dyDescent="0.2">
      <c r="A1121" s="5">
        <v>1060</v>
      </c>
      <c r="B1121" s="138">
        <f>'Expenditures 15-22'!K50</f>
        <v>70699</v>
      </c>
      <c r="C1121" s="2" t="s">
        <v>573</v>
      </c>
      <c r="D1121" s="2" t="str">
        <f t="shared" si="16"/>
        <v>Error?</v>
      </c>
    </row>
    <row r="1122" spans="1:4" x14ac:dyDescent="0.2">
      <c r="A1122" s="5">
        <v>1061</v>
      </c>
      <c r="B1122" s="138">
        <f>'Expenditures 15-22'!K53</f>
        <v>97858</v>
      </c>
      <c r="C1122" s="2" t="s">
        <v>573</v>
      </c>
      <c r="D1122" s="2" t="str">
        <f t="shared" si="16"/>
        <v>Error?</v>
      </c>
    </row>
    <row r="1123" spans="1:4" x14ac:dyDescent="0.2">
      <c r="A1123" s="5">
        <v>1062</v>
      </c>
      <c r="B1123" s="138">
        <f>'Expenditures 15-22'!K55</f>
        <v>93396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93396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46325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88689</v>
      </c>
      <c r="C1130" s="2" t="s">
        <v>573</v>
      </c>
      <c r="D1130" s="2" t="str">
        <f t="shared" si="16"/>
        <v>Error?</v>
      </c>
    </row>
    <row r="1131" spans="1:4" x14ac:dyDescent="0.2">
      <c r="A1131" s="5">
        <v>1070</v>
      </c>
      <c r="B1131" s="138">
        <f>'Expenditures 15-22'!K64</f>
        <v>4920</v>
      </c>
      <c r="C1131" s="2" t="s">
        <v>573</v>
      </c>
      <c r="D1131" s="2" t="str">
        <f t="shared" si="16"/>
        <v>Error?</v>
      </c>
    </row>
    <row r="1132" spans="1:4" x14ac:dyDescent="0.2">
      <c r="A1132" s="10">
        <v>1071</v>
      </c>
      <c r="D1132" s="2" t="str">
        <f t="shared" si="16"/>
        <v>OK</v>
      </c>
    </row>
    <row r="1133" spans="1:4" x14ac:dyDescent="0.2">
      <c r="A1133" s="5">
        <v>1072</v>
      </c>
      <c r="B1133" s="138">
        <f>'Expenditures 15-22'!K65</f>
        <v>139934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391741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129461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1996578</v>
      </c>
      <c r="C1152" s="2" t="s">
        <v>573</v>
      </c>
      <c r="D1152" s="2" t="str">
        <f t="shared" si="17"/>
        <v>Error?</v>
      </c>
    </row>
    <row r="1153" spans="1:4" x14ac:dyDescent="0.2">
      <c r="A1153" s="5">
        <v>1092</v>
      </c>
      <c r="B1153" s="138">
        <f>'Expenditures 15-22'!K115</f>
        <v>-55570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45133</v>
      </c>
      <c r="D1221" s="2" t="str">
        <f t="shared" si="18"/>
        <v>Error?</v>
      </c>
    </row>
    <row r="1222" spans="1:4" x14ac:dyDescent="0.2">
      <c r="A1222" s="10">
        <v>1161</v>
      </c>
      <c r="D1222" s="2" t="str">
        <f t="shared" si="18"/>
        <v>OK</v>
      </c>
    </row>
    <row r="1223" spans="1:4" x14ac:dyDescent="0.2">
      <c r="A1223" s="5">
        <v>1162</v>
      </c>
      <c r="B1223" s="138">
        <f>'Expenditures 15-22'!C127</f>
        <v>45133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45133</v>
      </c>
      <c r="C1225" s="2" t="s">
        <v>573</v>
      </c>
      <c r="D1225" s="2" t="str">
        <f t="shared" si="18"/>
        <v>Error?</v>
      </c>
    </row>
    <row r="1226" spans="1:4" x14ac:dyDescent="0.2">
      <c r="A1226" s="5">
        <v>1165</v>
      </c>
      <c r="B1226" s="138">
        <f>'Expenditures 15-22'!C151</f>
        <v>45133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153</v>
      </c>
      <c r="D1229" s="2" t="str">
        <f t="shared" si="18"/>
        <v>Error?</v>
      </c>
    </row>
    <row r="1230" spans="1:4" x14ac:dyDescent="0.2">
      <c r="A1230" s="10">
        <v>1169</v>
      </c>
      <c r="D1230" s="2" t="str">
        <f t="shared" si="18"/>
        <v>OK</v>
      </c>
    </row>
    <row r="1231" spans="1:4" x14ac:dyDescent="0.2">
      <c r="A1231" s="5">
        <v>1170</v>
      </c>
      <c r="B1231" s="138">
        <f>'Expenditures 15-22'!D127</f>
        <v>153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153</v>
      </c>
      <c r="C1233" s="2" t="s">
        <v>573</v>
      </c>
      <c r="D1233" s="2" t="str">
        <f t="shared" si="18"/>
        <v>Error?</v>
      </c>
    </row>
    <row r="1234" spans="1:4" x14ac:dyDescent="0.2">
      <c r="A1234" s="5">
        <v>1173</v>
      </c>
      <c r="B1234" s="138">
        <f>'Expenditures 15-22'!D151</f>
        <v>153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29448</v>
      </c>
      <c r="D1237" s="2" t="str">
        <f t="shared" si="18"/>
        <v>Error?</v>
      </c>
    </row>
    <row r="1238" spans="1:4" x14ac:dyDescent="0.2">
      <c r="A1238" s="10">
        <v>1177</v>
      </c>
      <c r="D1238" s="2" t="str">
        <f t="shared" si="18"/>
        <v>OK</v>
      </c>
    </row>
    <row r="1239" spans="1:4" x14ac:dyDescent="0.2">
      <c r="A1239" s="5">
        <v>1178</v>
      </c>
      <c r="B1239" s="138">
        <f>'Expenditures 15-22'!E127</f>
        <v>29448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29448</v>
      </c>
      <c r="C1241" s="2" t="s">
        <v>573</v>
      </c>
      <c r="D1241" s="2" t="str">
        <f t="shared" si="18"/>
        <v>Error?</v>
      </c>
    </row>
    <row r="1242" spans="1:4" x14ac:dyDescent="0.2">
      <c r="A1242" s="5">
        <v>1181</v>
      </c>
      <c r="B1242" s="138">
        <f>'Expenditures 15-22'!E151</f>
        <v>29448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52969</v>
      </c>
      <c r="D1245" s="2" t="str">
        <f t="shared" si="18"/>
        <v>Error?</v>
      </c>
    </row>
    <row r="1246" spans="1:4" x14ac:dyDescent="0.2">
      <c r="A1246" s="10">
        <v>1185</v>
      </c>
      <c r="D1246" s="2" t="str">
        <f t="shared" si="18"/>
        <v>OK</v>
      </c>
    </row>
    <row r="1247" spans="1:4" x14ac:dyDescent="0.2">
      <c r="A1247" s="5">
        <v>1186</v>
      </c>
      <c r="B1247" s="138">
        <f>'Expenditures 15-22'!F127</f>
        <v>52969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52969</v>
      </c>
      <c r="C1249" s="2" t="s">
        <v>573</v>
      </c>
      <c r="D1249" s="2" t="str">
        <f t="shared" si="18"/>
        <v>Error?</v>
      </c>
    </row>
    <row r="1250" spans="1:4" x14ac:dyDescent="0.2">
      <c r="A1250" s="5">
        <v>1189</v>
      </c>
      <c r="B1250" s="138">
        <f>'Expenditures 15-22'!F151</f>
        <v>52969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127703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127703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127703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127703</v>
      </c>
      <c r="C1288" s="2" t="s">
        <v>573</v>
      </c>
      <c r="D1288" s="2" t="str">
        <f t="shared" si="19"/>
        <v>Error?</v>
      </c>
    </row>
    <row r="1289" spans="1:4" x14ac:dyDescent="0.2">
      <c r="A1289" s="5">
        <v>1228</v>
      </c>
      <c r="B1289" s="138">
        <f>'Expenditures 15-22'!K152</f>
        <v>-44474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36067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294000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330567</v>
      </c>
      <c r="C1317" s="2" t="s">
        <v>573</v>
      </c>
      <c r="D1317" s="2" t="str">
        <f t="shared" si="19"/>
        <v>Error?</v>
      </c>
    </row>
    <row r="1318" spans="1:4" x14ac:dyDescent="0.2">
      <c r="A1318" s="5">
        <v>1257</v>
      </c>
      <c r="B1318" s="138">
        <f>'Expenditures 15-22'!H174</f>
        <v>330567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36067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294000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330567</v>
      </c>
      <c r="C1331" s="2" t="s">
        <v>573</v>
      </c>
      <c r="D1331" s="2" t="str">
        <f t="shared" si="19"/>
        <v>Error?</v>
      </c>
    </row>
    <row r="1332" spans="1:4" x14ac:dyDescent="0.2">
      <c r="A1332" s="5">
        <v>1271</v>
      </c>
      <c r="B1332" s="138">
        <f>'Expenditures 15-22'!K174</f>
        <v>330567</v>
      </c>
      <c r="C1332" s="2" t="s">
        <v>573</v>
      </c>
      <c r="D1332" s="2" t="str">
        <f t="shared" si="19"/>
        <v>Error?</v>
      </c>
    </row>
    <row r="1333" spans="1:4" x14ac:dyDescent="0.2">
      <c r="A1333" s="5">
        <v>1272</v>
      </c>
      <c r="B1333" s="138">
        <f>'Expenditures 15-22'!K175</f>
        <v>1783</v>
      </c>
      <c r="C1333" s="2" t="s">
        <v>573</v>
      </c>
      <c r="D1333" s="2" t="str">
        <f t="shared" si="19"/>
        <v>Error?</v>
      </c>
    </row>
    <row r="1334" spans="1:4" x14ac:dyDescent="0.2">
      <c r="A1334" s="10">
        <v>1273</v>
      </c>
      <c r="D1334" s="2" t="str">
        <f t="shared" si="19"/>
        <v>OK</v>
      </c>
    </row>
    <row r="1335" spans="1:4" x14ac:dyDescent="0.2">
      <c r="A1335" s="5">
        <v>1274</v>
      </c>
      <c r="B1335" s="138">
        <f>'Expenditures 15-22'!C182</f>
        <v>77598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77598</v>
      </c>
      <c r="C1339" s="2" t="s">
        <v>573</v>
      </c>
      <c r="D1339" s="2" t="str">
        <f t="shared" si="19"/>
        <v>Error?</v>
      </c>
    </row>
    <row r="1340" spans="1:4" x14ac:dyDescent="0.2">
      <c r="A1340" s="5">
        <v>1279</v>
      </c>
      <c r="B1340" s="138">
        <f>'Expenditures 15-22'!C210</f>
        <v>77598</v>
      </c>
      <c r="C1340" s="2" t="s">
        <v>573</v>
      </c>
      <c r="D1340" s="2" t="str">
        <f t="shared" si="19"/>
        <v>Error?</v>
      </c>
    </row>
    <row r="1341" spans="1:4" x14ac:dyDescent="0.2">
      <c r="A1341" s="5">
        <v>1280</v>
      </c>
      <c r="B1341" s="138">
        <f>'Expenditures 15-22'!D182</f>
        <v>153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153</v>
      </c>
      <c r="C1345" s="2" t="s">
        <v>573</v>
      </c>
      <c r="D1345" s="2" t="str">
        <f t="shared" si="20"/>
        <v>Error?</v>
      </c>
    </row>
    <row r="1346" spans="1:4" x14ac:dyDescent="0.2">
      <c r="A1346" s="5">
        <v>1285</v>
      </c>
      <c r="B1346" s="138">
        <f>'Expenditures 15-22'!D210</f>
        <v>153</v>
      </c>
      <c r="C1346" s="2" t="s">
        <v>573</v>
      </c>
      <c r="D1346" s="2" t="str">
        <f t="shared" si="20"/>
        <v>Error?</v>
      </c>
    </row>
    <row r="1347" spans="1:4" x14ac:dyDescent="0.2">
      <c r="A1347" s="5">
        <v>1286</v>
      </c>
      <c r="B1347" s="138">
        <f>'Expenditures 15-22'!E182</f>
        <v>9072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9072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9072</v>
      </c>
      <c r="C1353" s="2" t="s">
        <v>573</v>
      </c>
      <c r="D1353" s="2" t="str">
        <f t="shared" si="20"/>
        <v>Error?</v>
      </c>
    </row>
    <row r="1354" spans="1:4" x14ac:dyDescent="0.2">
      <c r="A1354" s="5">
        <v>1293</v>
      </c>
      <c r="B1354" s="138">
        <f>'Expenditures 15-22'!F182</f>
        <v>17171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17171</v>
      </c>
      <c r="C1358" s="2" t="s">
        <v>573</v>
      </c>
      <c r="D1358" s="2" t="str">
        <f t="shared" si="20"/>
        <v>Error?</v>
      </c>
    </row>
    <row r="1359" spans="1:4" x14ac:dyDescent="0.2">
      <c r="A1359" s="5">
        <v>1298</v>
      </c>
      <c r="B1359" s="138">
        <f>'Expenditures 15-22'!F210</f>
        <v>17171</v>
      </c>
      <c r="C1359" s="2" t="s">
        <v>573</v>
      </c>
      <c r="D1359" s="2" t="str">
        <f t="shared" si="20"/>
        <v>Error?</v>
      </c>
    </row>
    <row r="1360" spans="1:4" x14ac:dyDescent="0.2">
      <c r="A1360" s="5">
        <v>1299</v>
      </c>
      <c r="B1360" s="138">
        <f>'Expenditures 15-22'!G182</f>
        <v>56575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56575</v>
      </c>
      <c r="C1364" s="2" t="s">
        <v>573</v>
      </c>
      <c r="D1364" s="2" t="str">
        <f t="shared" si="20"/>
        <v>Error?</v>
      </c>
    </row>
    <row r="1365" spans="1:4" x14ac:dyDescent="0.2">
      <c r="A1365" s="5">
        <v>1304</v>
      </c>
      <c r="B1365" s="138">
        <f>'Expenditures 15-22'!G210</f>
        <v>56575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160569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160569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160569</v>
      </c>
      <c r="C1388" s="2" t="s">
        <v>573</v>
      </c>
      <c r="D1388" s="2" t="str">
        <f t="shared" si="20"/>
        <v>Error?</v>
      </c>
    </row>
    <row r="1389" spans="1:4" x14ac:dyDescent="0.2">
      <c r="A1389" s="5">
        <v>1328</v>
      </c>
      <c r="B1389" s="138">
        <f>'Expenditures 15-22'!K211</f>
        <v>24975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291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27144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8560</v>
      </c>
      <c r="D1416" s="2" t="str">
        <f t="shared" si="21"/>
        <v>Error?</v>
      </c>
    </row>
    <row r="1417" spans="1:4" x14ac:dyDescent="0.2">
      <c r="A1417" s="5">
        <v>1356</v>
      </c>
      <c r="B1417" s="138">
        <f>'Expenditures 15-22'!D238</f>
        <v>8560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3505</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3505</v>
      </c>
      <c r="C1424" s="2" t="s">
        <v>573</v>
      </c>
      <c r="D1424" s="2" t="str">
        <f t="shared" si="21"/>
        <v>Error?</v>
      </c>
    </row>
    <row r="1425" spans="1:4" x14ac:dyDescent="0.2">
      <c r="A1425" s="5">
        <v>1364</v>
      </c>
      <c r="B1425" s="138">
        <f>'Expenditures 15-22'!D259</f>
        <v>6336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6336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6715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8123</v>
      </c>
      <c r="D1431" s="2" t="str">
        <f t="shared" si="21"/>
        <v>Error?</v>
      </c>
    </row>
    <row r="1432" spans="1:4" x14ac:dyDescent="0.2">
      <c r="A1432" s="5">
        <v>1371</v>
      </c>
      <c r="B1432" s="138">
        <f>'Expenditures 15-22'!D267</f>
        <v>12113</v>
      </c>
      <c r="D1432" s="2" t="str">
        <f t="shared" si="21"/>
        <v>Error?</v>
      </c>
    </row>
    <row r="1433" spans="1:4" x14ac:dyDescent="0.2">
      <c r="A1433" s="5">
        <v>1372</v>
      </c>
      <c r="B1433" s="138">
        <f>'Expenditures 15-22'!D268</f>
        <v>3602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30553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48954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76098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291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27144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8560</v>
      </c>
      <c r="C1480" s="2" t="s">
        <v>573</v>
      </c>
      <c r="D1480" s="2" t="str">
        <f t="shared" si="22"/>
        <v>Error?</v>
      </c>
    </row>
    <row r="1481" spans="1:4" x14ac:dyDescent="0.2">
      <c r="A1481" s="5">
        <v>1420</v>
      </c>
      <c r="B1481" s="138">
        <f>'Expenditures 15-22'!K238</f>
        <v>8560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3505</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3505</v>
      </c>
      <c r="C1488" s="2" t="s">
        <v>573</v>
      </c>
      <c r="D1488" s="2" t="str">
        <f t="shared" si="22"/>
        <v>Error?</v>
      </c>
    </row>
    <row r="1489" spans="1:4" x14ac:dyDescent="0.2">
      <c r="A1489" s="5">
        <v>1428</v>
      </c>
      <c r="B1489" s="138">
        <f>'Expenditures 15-22'!K259</f>
        <v>6336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6336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6715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8123</v>
      </c>
      <c r="C1495" s="2" t="s">
        <v>573</v>
      </c>
      <c r="D1495" s="2" t="str">
        <f t="shared" si="22"/>
        <v>Error?</v>
      </c>
    </row>
    <row r="1496" spans="1:4" x14ac:dyDescent="0.2">
      <c r="A1496" s="5">
        <v>1435</v>
      </c>
      <c r="B1496" s="138">
        <f>'Expenditures 15-22'!K267</f>
        <v>12113</v>
      </c>
      <c r="C1496" s="2" t="s">
        <v>573</v>
      </c>
      <c r="D1496" s="2" t="str">
        <f t="shared" si="22"/>
        <v>Error?</v>
      </c>
    </row>
    <row r="1497" spans="1:4" x14ac:dyDescent="0.2">
      <c r="A1497" s="5">
        <v>1436</v>
      </c>
      <c r="B1497" s="138">
        <f>'Expenditures 15-22'!K268</f>
        <v>3602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30553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48954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76098</v>
      </c>
      <c r="C1517" s="2" t="s">
        <v>573</v>
      </c>
      <c r="D1517" s="2" t="str">
        <f t="shared" si="22"/>
        <v>Error?</v>
      </c>
    </row>
    <row r="1518" spans="1:4" x14ac:dyDescent="0.2">
      <c r="A1518" s="5">
        <v>1457</v>
      </c>
      <c r="B1518" s="138">
        <f>'Expenditures 15-22'!K296</f>
        <v>116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27292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27292</v>
      </c>
      <c r="C1547" s="2" t="s">
        <v>573</v>
      </c>
      <c r="D1547" s="2" t="str">
        <f t="shared" si="23"/>
        <v>Error?</v>
      </c>
    </row>
    <row r="1548" spans="1:4" x14ac:dyDescent="0.2">
      <c r="A1548" s="5">
        <v>1487</v>
      </c>
      <c r="B1548" s="138">
        <f>'Expenditures 15-22'!G312</f>
        <v>27292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27292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27292</v>
      </c>
      <c r="C1559" s="2" t="s">
        <v>573</v>
      </c>
      <c r="D1559" s="2" t="str">
        <f t="shared" si="23"/>
        <v>Error?</v>
      </c>
    </row>
    <row r="1560" spans="1:4" x14ac:dyDescent="0.2">
      <c r="A1560" s="5">
        <v>1499</v>
      </c>
      <c r="B1560" s="138">
        <f>'Expenditures 15-22'!K312</f>
        <v>27292</v>
      </c>
      <c r="C1560" s="2" t="s">
        <v>573</v>
      </c>
      <c r="D1560" s="2" t="str">
        <f t="shared" si="23"/>
        <v>Error?</v>
      </c>
    </row>
    <row r="1561" spans="1:4" x14ac:dyDescent="0.2">
      <c r="A1561" s="5">
        <v>1500</v>
      </c>
      <c r="B1561" s="138">
        <f>'Expenditures 15-22'!K313</f>
        <v>83470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469894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414324</v>
      </c>
      <c r="C1630" s="2" t="s">
        <v>573</v>
      </c>
      <c r="D1630" s="2" t="str">
        <f t="shared" si="24"/>
        <v>Error?</v>
      </c>
    </row>
    <row r="1631" spans="1:4" x14ac:dyDescent="0.2">
      <c r="A1631" s="5">
        <v>1570</v>
      </c>
      <c r="B1631" s="138">
        <f>'Acct Summary 7-8'!D79</f>
        <v>67598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23124</v>
      </c>
      <c r="C1644" s="2" t="s">
        <v>573</v>
      </c>
      <c r="D1644" s="2" t="str">
        <f t="shared" si="24"/>
        <v>Error?</v>
      </c>
    </row>
    <row r="1645" spans="1:4" x14ac:dyDescent="0.2">
      <c r="A1645" s="5">
        <v>1584</v>
      </c>
      <c r="B1645" s="138">
        <f>'Acct Summary 7-8'!E79</f>
        <v>19777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21560</v>
      </c>
      <c r="C1658" s="2" t="s">
        <v>573</v>
      </c>
      <c r="D1658" s="2" t="str">
        <f t="shared" si="24"/>
        <v>Error?</v>
      </c>
    </row>
    <row r="1659" spans="1:4" x14ac:dyDescent="0.2">
      <c r="A1659" s="5">
        <v>1598</v>
      </c>
      <c r="B1659" s="138">
        <f>'Acct Summary 7-8'!F79</f>
        <v>96048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121023</v>
      </c>
      <c r="C1672" s="2" t="s">
        <v>573</v>
      </c>
      <c r="D1672" s="2" t="str">
        <f t="shared" si="25"/>
        <v>Error?</v>
      </c>
    </row>
    <row r="1673" spans="1:4" x14ac:dyDescent="0.2">
      <c r="A1673" s="5">
        <v>1612</v>
      </c>
      <c r="B1673" s="138">
        <f>'Acct Summary 7-8'!G79</f>
        <v>16124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16240</v>
      </c>
      <c r="C1686" s="2" t="s">
        <v>573</v>
      </c>
      <c r="D1686" s="2" t="str">
        <f t="shared" si="25"/>
        <v>Error?</v>
      </c>
    </row>
    <row r="1687" spans="1:4" x14ac:dyDescent="0.2">
      <c r="A1687" s="5">
        <v>1626</v>
      </c>
      <c r="B1687" s="138">
        <f>'Acct Summary 7-8'!H79</f>
        <v>118530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202000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1291804</v>
      </c>
      <c r="C1744" s="2" t="s">
        <v>573</v>
      </c>
      <c r="D1744" s="2" t="str">
        <f t="shared" si="26"/>
        <v>Error?</v>
      </c>
    </row>
    <row r="1745" spans="1:5" x14ac:dyDescent="0.2">
      <c r="A1745" s="5">
        <v>1684</v>
      </c>
      <c r="B1745" s="138">
        <f>'Tax Sched 23'!B5</f>
        <v>83049</v>
      </c>
      <c r="C1745" s="2" t="s">
        <v>573</v>
      </c>
      <c r="D1745" s="2" t="str">
        <f t="shared" si="26"/>
        <v>Error?</v>
      </c>
    </row>
    <row r="1746" spans="1:5" x14ac:dyDescent="0.2">
      <c r="A1746" s="5">
        <v>1685</v>
      </c>
      <c r="B1746" s="138">
        <f>'Tax Sched 23'!B6</f>
        <v>332308</v>
      </c>
      <c r="C1746" s="2" t="s">
        <v>573</v>
      </c>
      <c r="D1746" s="2" t="str">
        <f t="shared" si="26"/>
        <v>Error?</v>
      </c>
    </row>
    <row r="1747" spans="1:5" x14ac:dyDescent="0.2">
      <c r="A1747" s="5">
        <v>1686</v>
      </c>
      <c r="B1747" s="138">
        <f>'Tax Sched 23'!B7</f>
        <v>97701</v>
      </c>
      <c r="C1747" s="2" t="s">
        <v>573</v>
      </c>
      <c r="D1747" s="2" t="str">
        <f t="shared" si="26"/>
        <v>Error?</v>
      </c>
    </row>
    <row r="1748" spans="1:5" x14ac:dyDescent="0.2">
      <c r="A1748" s="5">
        <v>1687</v>
      </c>
      <c r="B1748" s="138">
        <f>'Tax Sched 23'!B8</f>
        <v>24433</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37135</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1915289</v>
      </c>
      <c r="C1759" s="2" t="s">
        <v>573</v>
      </c>
      <c r="D1759" s="2" t="str">
        <f t="shared" si="26"/>
        <v>Error?</v>
      </c>
    </row>
    <row r="1760" spans="1:5" x14ac:dyDescent="0.2">
      <c r="A1760" s="5">
        <v>1699</v>
      </c>
      <c r="B1760" s="138">
        <f>'Tax Sched 23'!D4</f>
        <v>1291804</v>
      </c>
      <c r="C1760" s="2" t="s">
        <v>573</v>
      </c>
      <c r="D1760" s="2" t="str">
        <f t="shared" si="26"/>
        <v>Error?</v>
      </c>
    </row>
    <row r="1761" spans="1:5" x14ac:dyDescent="0.2">
      <c r="A1761" s="5">
        <v>1700</v>
      </c>
      <c r="B1761" s="138">
        <f>'Tax Sched 23'!D5</f>
        <v>83049</v>
      </c>
      <c r="C1761" s="2" t="s">
        <v>573</v>
      </c>
      <c r="D1761" s="2" t="str">
        <f t="shared" si="26"/>
        <v>Error?</v>
      </c>
    </row>
    <row r="1762" spans="1:5" s="8" customFormat="1" x14ac:dyDescent="0.2">
      <c r="A1762" s="5">
        <v>1701</v>
      </c>
      <c r="B1762" s="138">
        <f>'Tax Sched 23'!D6</f>
        <v>332308</v>
      </c>
      <c r="C1762" s="2" t="s">
        <v>573</v>
      </c>
      <c r="D1762" s="2" t="str">
        <f t="shared" si="26"/>
        <v>Error?</v>
      </c>
      <c r="E1762" s="9"/>
    </row>
    <row r="1763" spans="1:5" x14ac:dyDescent="0.2">
      <c r="A1763" s="5">
        <v>1702</v>
      </c>
      <c r="B1763" s="138">
        <f>'Tax Sched 23'!D7</f>
        <v>97701</v>
      </c>
      <c r="C1763" s="2" t="s">
        <v>573</v>
      </c>
      <c r="D1763" s="2" t="str">
        <f t="shared" si="26"/>
        <v>Error?</v>
      </c>
    </row>
    <row r="1764" spans="1:5" x14ac:dyDescent="0.2">
      <c r="A1764" s="5">
        <v>1703</v>
      </c>
      <c r="B1764" s="138">
        <f>'Tax Sched 23'!D8</f>
        <v>24433</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37135</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1915289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1361865</v>
      </c>
      <c r="C1792" s="2" t="s">
        <v>573</v>
      </c>
      <c r="D1792" s="2" t="str">
        <f t="shared" si="27"/>
        <v>Error?</v>
      </c>
    </row>
    <row r="1793" spans="1:4" x14ac:dyDescent="0.2">
      <c r="A1793" s="5">
        <v>1732</v>
      </c>
      <c r="B1793" s="138">
        <f>'Tax Sched 23'!F5</f>
        <v>110261</v>
      </c>
      <c r="C1793" s="2" t="s">
        <v>573</v>
      </c>
      <c r="D1793" s="2" t="str">
        <f t="shared" si="27"/>
        <v>Error?</v>
      </c>
    </row>
    <row r="1794" spans="1:4" x14ac:dyDescent="0.2">
      <c r="A1794" s="5">
        <v>1733</v>
      </c>
      <c r="B1794" s="138">
        <f>'Tax Sched 23'!F6</f>
        <v>330087</v>
      </c>
      <c r="C1794" s="2" t="s">
        <v>573</v>
      </c>
      <c r="D1794" s="2" t="str">
        <f t="shared" si="27"/>
        <v>Error?</v>
      </c>
    </row>
    <row r="1795" spans="1:4" x14ac:dyDescent="0.2">
      <c r="A1795" s="5">
        <v>1734</v>
      </c>
      <c r="B1795" s="138">
        <f>'Tax Sched 23'!F7</f>
        <v>49229</v>
      </c>
      <c r="C1795" s="2" t="s">
        <v>573</v>
      </c>
      <c r="D1795" s="2" t="str">
        <f t="shared" si="27"/>
        <v>Error?</v>
      </c>
    </row>
    <row r="1796" spans="1:4" x14ac:dyDescent="0.2">
      <c r="A1796" s="5">
        <v>1735</v>
      </c>
      <c r="B1796" s="138">
        <f>'Tax Sched 23'!F8</f>
        <v>29542</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41346</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1971559</v>
      </c>
      <c r="C1807" s="2" t="s">
        <v>573</v>
      </c>
      <c r="D1807" s="2" t="str">
        <f t="shared" si="27"/>
        <v>Error?</v>
      </c>
    </row>
    <row r="1808" spans="1:4" x14ac:dyDescent="0.2">
      <c r="A1808" s="5">
        <v>1747</v>
      </c>
      <c r="B1808" s="138">
        <f>'Tax Sched 23'!E4</f>
        <v>1361865</v>
      </c>
      <c r="D1808" s="2" t="str">
        <f t="shared" si="27"/>
        <v>Error?</v>
      </c>
    </row>
    <row r="1809" spans="1:4" x14ac:dyDescent="0.2">
      <c r="A1809" s="5">
        <v>1748</v>
      </c>
      <c r="B1809" s="138">
        <f>'Tax Sched 23'!E5</f>
        <v>110261</v>
      </c>
      <c r="D1809" s="2" t="str">
        <f t="shared" si="27"/>
        <v>Error?</v>
      </c>
    </row>
    <row r="1810" spans="1:4" x14ac:dyDescent="0.2">
      <c r="A1810" s="5">
        <v>1749</v>
      </c>
      <c r="B1810" s="138">
        <f>'Tax Sched 23'!E6</f>
        <v>330087</v>
      </c>
      <c r="D1810" s="2" t="str">
        <f t="shared" si="27"/>
        <v>Error?</v>
      </c>
    </row>
    <row r="1811" spans="1:4" x14ac:dyDescent="0.2">
      <c r="A1811" s="5">
        <v>1750</v>
      </c>
      <c r="B1811" s="138">
        <f>'Tax Sched 23'!E7</f>
        <v>49229</v>
      </c>
      <c r="D1811" s="2" t="str">
        <f t="shared" si="27"/>
        <v>Error?</v>
      </c>
    </row>
    <row r="1812" spans="1:4" x14ac:dyDescent="0.2">
      <c r="A1812" s="5">
        <v>1751</v>
      </c>
      <c r="B1812" s="138">
        <f>'Tax Sched 23'!E8</f>
        <v>29542</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41346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1971559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1471000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15000</v>
      </c>
      <c r="D2008" s="2" t="str">
        <f t="shared" si="30"/>
        <v>Error?</v>
      </c>
    </row>
    <row r="2009" spans="1:4" x14ac:dyDescent="0.2">
      <c r="A2009" s="5">
        <v>1948</v>
      </c>
      <c r="B2009" s="138">
        <f>'Cap Outlay Deprec 26'!C8</f>
        <v>3641928</v>
      </c>
      <c r="D2009" s="2" t="str">
        <f t="shared" si="30"/>
        <v>Error?</v>
      </c>
    </row>
    <row r="2010" spans="1:4" x14ac:dyDescent="0.2">
      <c r="A2010" s="5">
        <v>1949</v>
      </c>
      <c r="B2010" s="138">
        <f>'Cap Outlay Deprec 26'!C10</f>
        <v>215614</v>
      </c>
      <c r="D2010" s="2" t="str">
        <f t="shared" si="30"/>
        <v>Error?</v>
      </c>
    </row>
    <row r="2011" spans="1:4" x14ac:dyDescent="0.2">
      <c r="A2011" s="5">
        <v>1950</v>
      </c>
      <c r="B2011" s="138">
        <f>'Cap Outlay Deprec 26'!C12</f>
        <v>727990</v>
      </c>
      <c r="D2011" s="2" t="str">
        <f t="shared" si="30"/>
        <v>Error?</v>
      </c>
    </row>
    <row r="2012" spans="1:4" x14ac:dyDescent="0.2">
      <c r="A2012" s="5">
        <v>1951</v>
      </c>
      <c r="B2012" s="138">
        <f>'Cap Outlay Deprec 26'!C13</f>
        <v>415949</v>
      </c>
      <c r="D2012" s="2" t="str">
        <f t="shared" si="30"/>
        <v>Error?</v>
      </c>
    </row>
    <row r="2013" spans="1:4" x14ac:dyDescent="0.2">
      <c r="A2013" s="5">
        <v>1952</v>
      </c>
      <c r="B2013" s="138">
        <f>'Cap Outlay Deprec 26'!C16</f>
        <v>5016481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14601</v>
      </c>
      <c r="D2015" s="2" t="str">
        <f t="shared" si="30"/>
        <v>Error?</v>
      </c>
    </row>
    <row r="2016" spans="1:4" x14ac:dyDescent="0.2">
      <c r="A2016" s="5">
        <v>1955</v>
      </c>
      <c r="B2016" s="138">
        <f>'Cap Outlay Deprec 26'!D10</f>
        <v>9257</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81279</v>
      </c>
      <c r="D2018" s="2" t="str">
        <f t="shared" si="30"/>
        <v>Error?</v>
      </c>
    </row>
    <row r="2019" spans="1:4" x14ac:dyDescent="0.2">
      <c r="A2019" s="5">
        <v>1958</v>
      </c>
      <c r="B2019" s="138">
        <f>'Cap Outlay Deprec 26'!D16</f>
        <v>105137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15000</v>
      </c>
      <c r="C2026" s="2" t="s">
        <v>573</v>
      </c>
      <c r="D2026" s="2" t="str">
        <f t="shared" si="30"/>
        <v>Error?</v>
      </c>
    </row>
    <row r="2027" spans="1:4" x14ac:dyDescent="0.2">
      <c r="A2027" s="5">
        <v>1966</v>
      </c>
      <c r="B2027" s="138">
        <f>'Cap Outlay Deprec 26'!F8</f>
        <v>3656529</v>
      </c>
      <c r="C2027" s="2" t="s">
        <v>573</v>
      </c>
      <c r="D2027" s="2" t="str">
        <f t="shared" si="30"/>
        <v>Error?</v>
      </c>
    </row>
    <row r="2028" spans="1:4" x14ac:dyDescent="0.2">
      <c r="A2028" s="5">
        <v>1967</v>
      </c>
      <c r="B2028" s="138">
        <f>'Cap Outlay Deprec 26'!F10</f>
        <v>224871</v>
      </c>
      <c r="C2028" s="2" t="s">
        <v>573</v>
      </c>
      <c r="D2028" s="2" t="str">
        <f t="shared" si="30"/>
        <v>Error?</v>
      </c>
    </row>
    <row r="2029" spans="1:4" x14ac:dyDescent="0.2">
      <c r="A2029" s="5">
        <v>1968</v>
      </c>
      <c r="B2029" s="138">
        <f>'Cap Outlay Deprec 26'!F12</f>
        <v>727990</v>
      </c>
      <c r="C2029" s="2" t="s">
        <v>573</v>
      </c>
      <c r="D2029" s="2" t="str">
        <f t="shared" si="30"/>
        <v>Error?</v>
      </c>
    </row>
    <row r="2030" spans="1:4" x14ac:dyDescent="0.2">
      <c r="A2030" s="5">
        <v>1969</v>
      </c>
      <c r="B2030" s="138">
        <f>'Cap Outlay Deprec 26'!F13</f>
        <v>497228</v>
      </c>
      <c r="C2030" s="2" t="s">
        <v>573</v>
      </c>
      <c r="D2030" s="2" t="str">
        <f t="shared" si="30"/>
        <v>Error?</v>
      </c>
    </row>
    <row r="2031" spans="1:4" x14ac:dyDescent="0.2">
      <c r="A2031" s="5">
        <v>1970</v>
      </c>
      <c r="B2031" s="138">
        <f>'Cap Outlay Deprec 26'!F16</f>
        <v>5121618</v>
      </c>
      <c r="C2031" s="2" t="s">
        <v>573</v>
      </c>
      <c r="D2031" s="2" t="str">
        <f t="shared" si="30"/>
        <v>Error?</v>
      </c>
    </row>
    <row r="2032" spans="1:4" x14ac:dyDescent="0.2">
      <c r="A2032" s="10">
        <v>1971</v>
      </c>
      <c r="D2032" s="2" t="str">
        <f t="shared" si="30"/>
        <v>OK</v>
      </c>
    </row>
    <row r="2033" spans="1:4" x14ac:dyDescent="0.2">
      <c r="A2033" s="5">
        <v>1972</v>
      </c>
      <c r="B2033" s="138">
        <f>'Cap Outlay Deprec 26'!H8</f>
        <v>1497330</v>
      </c>
      <c r="D2033" s="2" t="str">
        <f t="shared" si="30"/>
        <v>Error?</v>
      </c>
    </row>
    <row r="2034" spans="1:4" x14ac:dyDescent="0.2">
      <c r="A2034" s="5">
        <v>1973</v>
      </c>
      <c r="B2034" s="138">
        <f>'Cap Outlay Deprec 26'!H10</f>
        <v>186140</v>
      </c>
      <c r="D2034" s="2" t="str">
        <f t="shared" si="30"/>
        <v>Error?</v>
      </c>
    </row>
    <row r="2035" spans="1:4" x14ac:dyDescent="0.2">
      <c r="A2035" s="5">
        <v>1974</v>
      </c>
      <c r="B2035" s="138">
        <f>'Cap Outlay Deprec 26'!H12</f>
        <v>647618</v>
      </c>
      <c r="D2035" s="2" t="str">
        <f t="shared" si="30"/>
        <v>Error?</v>
      </c>
    </row>
    <row r="2036" spans="1:4" x14ac:dyDescent="0.2">
      <c r="A2036" s="5">
        <v>1975</v>
      </c>
      <c r="B2036" s="138">
        <f>'Cap Outlay Deprec 26'!H13</f>
        <v>280886</v>
      </c>
      <c r="D2036" s="2" t="str">
        <f t="shared" si="30"/>
        <v>Error?</v>
      </c>
    </row>
    <row r="2037" spans="1:4" x14ac:dyDescent="0.2">
      <c r="A2037" s="5">
        <v>1976</v>
      </c>
      <c r="B2037" s="138">
        <f>'Cap Outlay Deprec 26'!H16</f>
        <v>2611974</v>
      </c>
      <c r="C2037" s="2" t="s">
        <v>573</v>
      </c>
      <c r="D2037" s="2" t="str">
        <f t="shared" si="30"/>
        <v>Error?</v>
      </c>
    </row>
    <row r="2038" spans="1:4" x14ac:dyDescent="0.2">
      <c r="A2038" s="10">
        <v>1977</v>
      </c>
      <c r="D2038" s="2" t="str">
        <f t="shared" si="30"/>
        <v>OK</v>
      </c>
    </row>
    <row r="2039" spans="1:4" x14ac:dyDescent="0.2">
      <c r="A2039" s="5">
        <v>1978</v>
      </c>
      <c r="B2039" s="138">
        <f>'Cap Outlay Deprec 26'!I8</f>
        <v>72894</v>
      </c>
      <c r="D2039" s="2" t="str">
        <f t="shared" si="30"/>
        <v>Error?</v>
      </c>
    </row>
    <row r="2040" spans="1:4" x14ac:dyDescent="0.2">
      <c r="A2040" s="5">
        <v>1979</v>
      </c>
      <c r="B2040" s="138">
        <f>'Cap Outlay Deprec 26'!I10</f>
        <v>7368</v>
      </c>
      <c r="D2040" s="2" t="str">
        <f t="shared" si="30"/>
        <v>Error?</v>
      </c>
    </row>
    <row r="2041" spans="1:4" x14ac:dyDescent="0.2">
      <c r="A2041" s="5">
        <v>1980</v>
      </c>
      <c r="B2041" s="138">
        <f>'Cap Outlay Deprec 26'!I12</f>
        <v>24745</v>
      </c>
      <c r="D2041" s="2" t="str">
        <f t="shared" si="30"/>
        <v>Error?</v>
      </c>
    </row>
    <row r="2042" spans="1:4" x14ac:dyDescent="0.2">
      <c r="A2042" s="5">
        <v>1981</v>
      </c>
      <c r="B2042" s="138">
        <f>'Cap Outlay Deprec 26'!I13</f>
        <v>68406</v>
      </c>
      <c r="D2042" s="2" t="str">
        <f t="shared" si="30"/>
        <v>Error?</v>
      </c>
    </row>
    <row r="2043" spans="1:4" x14ac:dyDescent="0.2">
      <c r="A2043" s="5">
        <v>1982</v>
      </c>
      <c r="B2043" s="138">
        <f>'Cap Outlay Deprec 26'!I16</f>
        <v>173413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1570224</v>
      </c>
      <c r="C2051" s="2" t="s">
        <v>573</v>
      </c>
      <c r="D2051" s="2" t="str">
        <f t="shared" si="31"/>
        <v>Error?</v>
      </c>
    </row>
    <row r="2052" spans="1:4" x14ac:dyDescent="0.2">
      <c r="A2052" s="5">
        <v>1991</v>
      </c>
      <c r="B2052" s="138">
        <f>'Cap Outlay Deprec 26'!K10</f>
        <v>193508</v>
      </c>
      <c r="C2052" s="2" t="s">
        <v>573</v>
      </c>
      <c r="D2052" s="2" t="str">
        <f t="shared" si="31"/>
        <v>Error?</v>
      </c>
    </row>
    <row r="2053" spans="1:4" x14ac:dyDescent="0.2">
      <c r="A2053" s="5">
        <v>1992</v>
      </c>
      <c r="B2053" s="138">
        <f>'Cap Outlay Deprec 26'!K12</f>
        <v>672363</v>
      </c>
      <c r="C2053" s="2" t="s">
        <v>573</v>
      </c>
      <c r="D2053" s="2" t="str">
        <f t="shared" si="31"/>
        <v>Error?</v>
      </c>
    </row>
    <row r="2054" spans="1:4" x14ac:dyDescent="0.2">
      <c r="A2054" s="5">
        <v>1993</v>
      </c>
      <c r="B2054" s="138">
        <f>'Cap Outlay Deprec 26'!K13</f>
        <v>349292</v>
      </c>
      <c r="C2054" s="2" t="s">
        <v>573</v>
      </c>
      <c r="D2054" s="2" t="str">
        <f t="shared" si="31"/>
        <v>Error?</v>
      </c>
    </row>
    <row r="2055" spans="1:4" x14ac:dyDescent="0.2">
      <c r="A2055" s="5">
        <v>1994</v>
      </c>
      <c r="B2055" s="138">
        <f>'Cap Outlay Deprec 26'!K16</f>
        <v>2785387</v>
      </c>
      <c r="C2055" s="2" t="s">
        <v>573</v>
      </c>
      <c r="D2055" s="2" t="str">
        <f t="shared" si="31"/>
        <v>Error?</v>
      </c>
    </row>
    <row r="2056" spans="1:4" x14ac:dyDescent="0.2">
      <c r="A2056" s="5">
        <v>1995</v>
      </c>
      <c r="B2056" s="138">
        <f>'Cap Outlay Deprec 26'!L5</f>
        <v>15000</v>
      </c>
      <c r="C2056" s="2" t="s">
        <v>573</v>
      </c>
      <c r="D2056" s="2" t="str">
        <f t="shared" si="31"/>
        <v>Error?</v>
      </c>
    </row>
    <row r="2057" spans="1:4" x14ac:dyDescent="0.2">
      <c r="A2057" s="5">
        <v>1996</v>
      </c>
      <c r="B2057" s="138">
        <f>'Cap Outlay Deprec 26'!L8</f>
        <v>2086305</v>
      </c>
      <c r="C2057" s="2" t="s">
        <v>573</v>
      </c>
      <c r="D2057" s="2" t="str">
        <f t="shared" si="31"/>
        <v>Error?</v>
      </c>
    </row>
    <row r="2058" spans="1:4" x14ac:dyDescent="0.2">
      <c r="A2058" s="5">
        <v>1997</v>
      </c>
      <c r="B2058" s="138">
        <f>'Cap Outlay Deprec 26'!L10</f>
        <v>31363</v>
      </c>
      <c r="C2058" s="2" t="s">
        <v>573</v>
      </c>
      <c r="D2058" s="2" t="str">
        <f t="shared" si="31"/>
        <v>Error?</v>
      </c>
    </row>
    <row r="2059" spans="1:4" x14ac:dyDescent="0.2">
      <c r="A2059" s="5">
        <v>1998</v>
      </c>
      <c r="B2059" s="138">
        <f>'Cap Outlay Deprec 26'!L12</f>
        <v>55627</v>
      </c>
      <c r="C2059" s="2" t="s">
        <v>573</v>
      </c>
      <c r="D2059" s="2" t="str">
        <f t="shared" si="31"/>
        <v>Error?</v>
      </c>
    </row>
    <row r="2060" spans="1:4" x14ac:dyDescent="0.2">
      <c r="A2060" s="5">
        <v>1999</v>
      </c>
      <c r="B2060" s="138">
        <f>'Cap Outlay Deprec 26'!L13</f>
        <v>147936</v>
      </c>
      <c r="C2060" s="2" t="s">
        <v>573</v>
      </c>
      <c r="D2060" s="2" t="str">
        <f t="shared" si="31"/>
        <v>Error?</v>
      </c>
    </row>
    <row r="2061" spans="1:4" x14ac:dyDescent="0.2">
      <c r="A2061" s="5">
        <v>2000</v>
      </c>
      <c r="B2061" s="138">
        <f>'Cap Outlay Deprec 26'!L16</f>
        <v>2336231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31571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129461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3127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202000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1620672</v>
      </c>
      <c r="C2551" s="2" t="s">
        <v>573</v>
      </c>
      <c r="D2551" s="2" t="str">
        <f t="shared" si="38"/>
        <v>Error?</v>
      </c>
    </row>
    <row r="2552" spans="1:4" x14ac:dyDescent="0.2">
      <c r="A2552" s="10">
        <v>2491</v>
      </c>
      <c r="D2552" s="2" t="str">
        <f t="shared" si="38"/>
        <v>OK</v>
      </c>
    </row>
    <row r="2553" spans="1:4" x14ac:dyDescent="0.2">
      <c r="A2553" s="5">
        <v>2492</v>
      </c>
      <c r="B2553" s="138">
        <f>'Acct Summary 7-8'!C6</f>
        <v>192570</v>
      </c>
      <c r="C2553" s="2" t="s">
        <v>573</v>
      </c>
      <c r="D2553" s="2" t="str">
        <f t="shared" si="38"/>
        <v>Error?</v>
      </c>
    </row>
    <row r="2554" spans="1:4" x14ac:dyDescent="0.2">
      <c r="A2554" s="5">
        <v>2493</v>
      </c>
      <c r="B2554" s="138">
        <f>'Acct Summary 7-8'!C7</f>
        <v>127766</v>
      </c>
      <c r="C2554" s="2" t="s">
        <v>573</v>
      </c>
      <c r="D2554" s="2" t="str">
        <f t="shared" si="38"/>
        <v>Error?</v>
      </c>
    </row>
    <row r="2555" spans="1:4" x14ac:dyDescent="0.2">
      <c r="A2555" s="5">
        <v>2494</v>
      </c>
      <c r="B2555" s="138">
        <f>'Acct Summary 7-8'!C8</f>
        <v>1941008</v>
      </c>
      <c r="C2555" s="2" t="s">
        <v>573</v>
      </c>
      <c r="D2555" s="2" t="str">
        <f t="shared" si="38"/>
        <v>Error?</v>
      </c>
    </row>
    <row r="2556" spans="1:4" x14ac:dyDescent="0.2">
      <c r="A2556" s="5">
        <v>2495</v>
      </c>
      <c r="B2556" s="138">
        <f>'Acct Summary 7-8'!C12</f>
        <v>1475376</v>
      </c>
      <c r="C2556" s="2" t="s">
        <v>573</v>
      </c>
      <c r="D2556" s="2" t="str">
        <f t="shared" si="38"/>
        <v>Error?</v>
      </c>
    </row>
    <row r="2557" spans="1:4" x14ac:dyDescent="0.2">
      <c r="A2557" s="5">
        <v>2496</v>
      </c>
      <c r="B2557" s="138">
        <f>'Acct Summary 7-8'!C13</f>
        <v>391741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129461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1996578</v>
      </c>
      <c r="C2561" s="2" t="s">
        <v>573</v>
      </c>
      <c r="D2561" s="2" t="str">
        <f t="shared" si="39"/>
        <v>Error?</v>
      </c>
    </row>
    <row r="2562" spans="1:4" x14ac:dyDescent="0.2">
      <c r="A2562" s="5">
        <v>2501</v>
      </c>
      <c r="B2562" s="138">
        <f>'Acct Summary 7-8'!C20</f>
        <v>-55570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83229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83229</v>
      </c>
      <c r="C2568" s="2" t="s">
        <v>573</v>
      </c>
      <c r="D2568" s="2" t="str">
        <f t="shared" si="39"/>
        <v>Error?</v>
      </c>
    </row>
    <row r="2569" spans="1:4" x14ac:dyDescent="0.2">
      <c r="A2569" s="5">
        <v>2508</v>
      </c>
      <c r="B2569" s="138">
        <f>'Acct Summary 7-8'!D13</f>
        <v>127703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127703</v>
      </c>
      <c r="C2573" s="2" t="s">
        <v>573</v>
      </c>
      <c r="D2573" s="2" t="str">
        <f t="shared" si="39"/>
        <v>Error?</v>
      </c>
    </row>
    <row r="2574" spans="1:4" x14ac:dyDescent="0.2">
      <c r="A2574" s="5">
        <v>2513</v>
      </c>
      <c r="B2574" s="138">
        <f>'Acct Summary 7-8'!D20</f>
        <v>-44474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97754</v>
      </c>
      <c r="C2591" s="2" t="s">
        <v>573</v>
      </c>
      <c r="D2591" s="2" t="str">
        <f t="shared" si="39"/>
        <v>Error?</v>
      </c>
    </row>
    <row r="2592" spans="1:4" x14ac:dyDescent="0.2">
      <c r="A2592" s="10">
        <v>2531</v>
      </c>
      <c r="D2592" s="2" t="str">
        <f t="shared" si="39"/>
        <v>OK</v>
      </c>
    </row>
    <row r="2593" spans="1:4" x14ac:dyDescent="0.2">
      <c r="A2593" s="5">
        <v>2532</v>
      </c>
      <c r="B2593" s="138">
        <f>'Acct Summary 7-8'!F6</f>
        <v>87790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185544</v>
      </c>
      <c r="C2595" s="2" t="s">
        <v>573</v>
      </c>
      <c r="D2595" s="2" t="str">
        <f t="shared" si="39"/>
        <v>Error?</v>
      </c>
    </row>
    <row r="2596" spans="1:4" x14ac:dyDescent="0.2">
      <c r="A2596" s="5">
        <v>2535</v>
      </c>
      <c r="B2596" s="138">
        <f>'Acct Summary 7-8'!F13</f>
        <v>160569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160569</v>
      </c>
      <c r="C2600" s="2" t="s">
        <v>573</v>
      </c>
      <c r="D2600" s="2" t="str">
        <f t="shared" si="39"/>
        <v>Error?</v>
      </c>
    </row>
    <row r="2601" spans="1:4" x14ac:dyDescent="0.2">
      <c r="A2601" s="5">
        <v>2540</v>
      </c>
      <c r="B2601" s="138">
        <f>'Acct Summary 7-8'!F20</f>
        <v>24975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76214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76214</v>
      </c>
      <c r="C2606" s="2" t="s">
        <v>573</v>
      </c>
      <c r="D2606" s="2" t="str">
        <f t="shared" si="39"/>
        <v>Error?</v>
      </c>
    </row>
    <row r="2607" spans="1:4" x14ac:dyDescent="0.2">
      <c r="A2607" s="5">
        <v>2546</v>
      </c>
      <c r="B2607" s="138">
        <f>'Acct Summary 7-8'!G12</f>
        <v>27144</v>
      </c>
      <c r="C2607" s="2" t="s">
        <v>573</v>
      </c>
      <c r="D2607" s="2" t="str">
        <f t="shared" si="39"/>
        <v>Error?</v>
      </c>
    </row>
    <row r="2608" spans="1:4" x14ac:dyDescent="0.2">
      <c r="A2608" s="5">
        <v>2547</v>
      </c>
      <c r="B2608" s="138">
        <f>'Acct Summary 7-8'!G13</f>
        <v>48954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76098</v>
      </c>
      <c r="C2612" s="2" t="s">
        <v>573</v>
      </c>
      <c r="D2612" s="2" t="str">
        <f t="shared" si="39"/>
        <v>Error?</v>
      </c>
    </row>
    <row r="2613" spans="1:4" x14ac:dyDescent="0.2">
      <c r="A2613" s="5">
        <v>2552</v>
      </c>
      <c r="B2613" s="138">
        <f>'Acct Summary 7-8'!G20</f>
        <v>116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332350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332350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330567</v>
      </c>
      <c r="C2634" s="2" t="s">
        <v>573</v>
      </c>
      <c r="D2634" s="2" t="str">
        <f t="shared" si="40"/>
        <v>Error?</v>
      </c>
    </row>
    <row r="2635" spans="1:4" x14ac:dyDescent="0.2">
      <c r="A2635" s="5">
        <v>2574</v>
      </c>
      <c r="B2635" s="138">
        <f>'Acct Summary 7-8'!E17</f>
        <v>330567</v>
      </c>
      <c r="C2635" s="2" t="s">
        <v>573</v>
      </c>
      <c r="D2635" s="2" t="str">
        <f t="shared" si="40"/>
        <v>Error?</v>
      </c>
    </row>
    <row r="2636" spans="1:4" x14ac:dyDescent="0.2">
      <c r="A2636" s="5">
        <v>2575</v>
      </c>
      <c r="B2636" s="138">
        <f>'Acct Summary 7-8'!E20</f>
        <v>1783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110762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110762</v>
      </c>
      <c r="C2658" s="2" t="s">
        <v>573</v>
      </c>
      <c r="D2658" s="2" t="str">
        <f t="shared" si="40"/>
        <v>Error?</v>
      </c>
    </row>
    <row r="2659" spans="1:4" x14ac:dyDescent="0.2">
      <c r="A2659" s="5">
        <v>2598</v>
      </c>
      <c r="B2659" s="138">
        <f>'Acct Summary 7-8'!H13</f>
        <v>27292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27292</v>
      </c>
      <c r="C2661" s="2" t="s">
        <v>573</v>
      </c>
      <c r="D2661" s="2" t="str">
        <f t="shared" si="40"/>
        <v>Error?</v>
      </c>
    </row>
    <row r="2662" spans="1:4" x14ac:dyDescent="0.2">
      <c r="A2662" s="5">
        <v>2601</v>
      </c>
      <c r="B2662" s="138">
        <f>'Acct Summary 7-8'!H20</f>
        <v>83470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97890</v>
      </c>
      <c r="C2789" s="2" t="s">
        <v>573</v>
      </c>
      <c r="D2789" s="2" t="str">
        <f t="shared" si="42"/>
        <v>Error?</v>
      </c>
    </row>
    <row r="2790" spans="1:4" x14ac:dyDescent="0.2">
      <c r="A2790" s="5">
        <v>2729</v>
      </c>
      <c r="B2790" s="138">
        <f>'Expenditures 15-22'!E102</f>
        <v>97890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546401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11132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546401</v>
      </c>
      <c r="D2912" s="2" t="str">
        <f t="shared" si="44"/>
        <v>Error?</v>
      </c>
    </row>
    <row r="2913" spans="1:4" x14ac:dyDescent="0.2">
      <c r="A2913" s="5">
        <v>2852</v>
      </c>
      <c r="B2913" s="138">
        <f>'Assets-Liab 5-6'!I41</f>
        <v>546401</v>
      </c>
      <c r="C2913" s="2" t="s">
        <v>573</v>
      </c>
      <c r="D2913" s="2" t="str">
        <f t="shared" si="44"/>
        <v>Error?</v>
      </c>
    </row>
    <row r="2914" spans="1:4" x14ac:dyDescent="0.2">
      <c r="A2914" s="5">
        <v>2853</v>
      </c>
      <c r="B2914" s="138">
        <f>'Assets-Liab 5-6'!L33</f>
        <v>11132</v>
      </c>
      <c r="D2914" s="2" t="str">
        <f t="shared" si="44"/>
        <v>Error?</v>
      </c>
    </row>
    <row r="2915" spans="1:4" x14ac:dyDescent="0.2">
      <c r="A2915" s="10">
        <v>2854</v>
      </c>
      <c r="D2915" s="2" t="str">
        <f t="shared" si="44"/>
        <v>OK</v>
      </c>
    </row>
    <row r="2916" spans="1:4" x14ac:dyDescent="0.2">
      <c r="A2916" s="5">
        <v>2855</v>
      </c>
      <c r="B2916" s="138">
        <f>'Assets-Liab 5-6'!L34</f>
        <v>11132</v>
      </c>
      <c r="C2916" s="2" t="s">
        <v>573</v>
      </c>
      <c r="D2916" s="2" t="str">
        <f t="shared" si="44"/>
        <v>Error?</v>
      </c>
    </row>
    <row r="2917" spans="1:4" x14ac:dyDescent="0.2">
      <c r="A2917" s="5">
        <v>2856</v>
      </c>
      <c r="B2917" s="138">
        <f>'Assets-Liab 5-6'!L41</f>
        <v>11132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97890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31571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129461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9216</v>
      </c>
      <c r="D3055" s="2" t="str">
        <f t="shared" si="46"/>
        <v>Error?</v>
      </c>
    </row>
    <row r="3056" spans="1:4" x14ac:dyDescent="0.2">
      <c r="A3056" s="5">
        <v>2995</v>
      </c>
      <c r="B3056" s="138">
        <f>'Expenditures 15-22'!D10</f>
        <v>129</v>
      </c>
      <c r="D3056" s="2" t="str">
        <f t="shared" si="46"/>
        <v>Error?</v>
      </c>
    </row>
    <row r="3057" spans="1:4" x14ac:dyDescent="0.2">
      <c r="A3057" s="5">
        <v>2996</v>
      </c>
      <c r="B3057" s="138">
        <f>'Expenditures 15-22'!E10</f>
        <v>7404</v>
      </c>
      <c r="D3057" s="2" t="str">
        <f t="shared" si="46"/>
        <v>Error?</v>
      </c>
    </row>
    <row r="3058" spans="1:4" x14ac:dyDescent="0.2">
      <c r="A3058" s="5">
        <v>2997</v>
      </c>
      <c r="B3058" s="138">
        <f>'Expenditures 15-22'!F10</f>
        <v>16668</v>
      </c>
      <c r="D3058" s="2" t="str">
        <f t="shared" si="46"/>
        <v>Error?</v>
      </c>
    </row>
    <row r="3059" spans="1:4" x14ac:dyDescent="0.2">
      <c r="A3059" s="5">
        <v>2998</v>
      </c>
      <c r="B3059" s="138">
        <f>'Expenditures 15-22'!G10</f>
        <v>14114</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47531</v>
      </c>
      <c r="C3062" s="2" t="s">
        <v>573</v>
      </c>
      <c r="D3062" s="2" t="str">
        <f t="shared" si="46"/>
        <v>Error?</v>
      </c>
    </row>
    <row r="3063" spans="1:4" x14ac:dyDescent="0.2">
      <c r="A3063" s="10">
        <v>3002</v>
      </c>
      <c r="D3063" s="2" t="str">
        <f t="shared" si="46"/>
        <v>OK</v>
      </c>
    </row>
    <row r="3064" spans="1:4" x14ac:dyDescent="0.2">
      <c r="A3064" s="5">
        <v>3003</v>
      </c>
      <c r="B3064" s="138">
        <f>'Expenditures 15-22'!D219</f>
        <v>669</v>
      </c>
      <c r="D3064" s="2" t="str">
        <f t="shared" si="46"/>
        <v>Error?</v>
      </c>
    </row>
    <row r="3065" spans="1:4" x14ac:dyDescent="0.2">
      <c r="A3065" s="5">
        <v>3004</v>
      </c>
      <c r="B3065" s="138">
        <f>'Expenditures 15-22'!K219</f>
        <v>669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v>
      </c>
      <c r="C3225" s="2" t="s">
        <v>573</v>
      </c>
      <c r="D3225" s="2" t="str">
        <f t="shared" si="49"/>
        <v>Error?</v>
      </c>
    </row>
    <row r="3226" spans="1:4" x14ac:dyDescent="0.2">
      <c r="A3226" s="5">
        <v>3165</v>
      </c>
      <c r="B3226" s="138">
        <f>'Acct Summary 7-8'!I8</f>
        <v>22</v>
      </c>
      <c r="C3226" s="2" t="s">
        <v>573</v>
      </c>
      <c r="D3226" s="2" t="str">
        <f t="shared" si="49"/>
        <v>Error?</v>
      </c>
    </row>
    <row r="3227" spans="1:4" x14ac:dyDescent="0.2">
      <c r="A3227" s="5">
        <v>3166</v>
      </c>
      <c r="B3227" s="138">
        <f>'Acct Summary 7-8'!I20</f>
        <v>22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-55570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-44474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24975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116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1783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83470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22</v>
      </c>
      <c r="C3320" s="2" t="s">
        <v>573</v>
      </c>
      <c r="D3320" s="2" t="str">
        <f t="shared" si="50"/>
        <v>Error?</v>
      </c>
    </row>
    <row r="3321" spans="1:4" x14ac:dyDescent="0.2">
      <c r="A3321" s="5">
        <v>3260</v>
      </c>
      <c r="B3321" s="138">
        <f>'Acct Summary 7-8'!I79</f>
        <v>546379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546401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207734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21821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304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973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70088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300920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11296</v>
      </c>
      <c r="D3387" s="2" t="str">
        <f t="shared" si="51"/>
        <v>Error?</v>
      </c>
    </row>
    <row r="3388" spans="1:4" x14ac:dyDescent="0.2">
      <c r="A3388" s="5">
        <v>3327</v>
      </c>
      <c r="B3388" s="138">
        <f>'Expenditures 15-22'!D217</f>
        <v>14888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11296</v>
      </c>
      <c r="C3390" s="2" t="s">
        <v>573</v>
      </c>
      <c r="D3390" s="2" t="str">
        <f t="shared" si="51"/>
        <v>Error?</v>
      </c>
    </row>
    <row r="3391" spans="1:4" x14ac:dyDescent="0.2">
      <c r="A3391" s="5">
        <v>3330</v>
      </c>
      <c r="B3391" s="138">
        <f>'Expenditures 15-22'!K217</f>
        <v>14888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417389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23124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21560</v>
      </c>
      <c r="D3417" s="2" t="str">
        <f t="shared" si="52"/>
        <v>Error?</v>
      </c>
    </row>
    <row r="3418" spans="1:4" x14ac:dyDescent="0.2">
      <c r="A3418" s="10">
        <v>3357</v>
      </c>
      <c r="D3418" s="2" t="str">
        <f t="shared" si="52"/>
        <v>OK</v>
      </c>
    </row>
    <row r="3419" spans="1:4" x14ac:dyDescent="0.2">
      <c r="A3419" s="5">
        <v>3358</v>
      </c>
      <c r="B3419" s="138">
        <f>'Assets-Liab 5-6'!F4</f>
        <v>121023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16240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202000</v>
      </c>
      <c r="D3425" s="2" t="str">
        <f t="shared" si="52"/>
        <v>Error?</v>
      </c>
    </row>
    <row r="3426" spans="1:4" x14ac:dyDescent="0.2">
      <c r="A3426" s="10">
        <v>3365</v>
      </c>
      <c r="D3426" s="2" t="str">
        <f t="shared" si="52"/>
        <v>OK</v>
      </c>
    </row>
    <row r="3427" spans="1:4" x14ac:dyDescent="0.2">
      <c r="A3427" s="5">
        <v>3366</v>
      </c>
      <c r="B3427" s="138">
        <f>'Assets-Liab 5-6'!I4</f>
        <v>546401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11132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48859</v>
      </c>
      <c r="C3446" s="2" t="s">
        <v>573</v>
      </c>
      <c r="D3446" s="2" t="str">
        <f t="shared" si="52"/>
        <v>Error?</v>
      </c>
    </row>
    <row r="3447" spans="1:4" x14ac:dyDescent="0.2">
      <c r="A3447" s="5">
        <v>3386</v>
      </c>
      <c r="B3447" s="138">
        <f>'Tax Sched 23'!D16</f>
        <v>48859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49229</v>
      </c>
      <c r="C3449" s="2" t="s">
        <v>573</v>
      </c>
      <c r="D3449" s="2" t="str">
        <f t="shared" si="52"/>
        <v>Error?</v>
      </c>
    </row>
    <row r="3450" spans="1:4" x14ac:dyDescent="0.2">
      <c r="A3450" s="5">
        <v>3389</v>
      </c>
      <c r="B3450" s="138">
        <f>'Tax Sched 23'!E16</f>
        <v>49229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9117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9117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9117</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9117</v>
      </c>
      <c r="C3568" s="2" t="s">
        <v>573</v>
      </c>
      <c r="D3568" s="2" t="str">
        <f t="shared" si="54"/>
        <v>Error?</v>
      </c>
    </row>
    <row r="3569" spans="1:4" x14ac:dyDescent="0.2">
      <c r="A3569" s="5">
        <v>3508</v>
      </c>
      <c r="B3569" s="138">
        <f>'Acct Summary 7-8'!K4</f>
        <v>22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22</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22</v>
      </c>
      <c r="C3588" s="2" t="s">
        <v>573</v>
      </c>
      <c r="D3588" s="2" t="str">
        <f t="shared" si="55"/>
        <v>Error?</v>
      </c>
    </row>
    <row r="3589" spans="1:4" x14ac:dyDescent="0.2">
      <c r="A3589" s="5">
        <v>3528</v>
      </c>
      <c r="B3589" s="138">
        <f>'Acct Summary 7-8'!K79</f>
        <v>9095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9117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961382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2902390</v>
      </c>
      <c r="C4122" s="2" t="s">
        <v>573</v>
      </c>
      <c r="D4122" s="2" t="str">
        <f t="shared" si="63"/>
        <v>Error?</v>
      </c>
    </row>
    <row r="4123" spans="1:4" x14ac:dyDescent="0.2">
      <c r="A4123" s="5">
        <v>4062</v>
      </c>
      <c r="B4123" s="138">
        <f>'Acct Summary 7-8'!D10</f>
        <v>83229</v>
      </c>
      <c r="C4123" s="2" t="s">
        <v>573</v>
      </c>
      <c r="D4123" s="2" t="str">
        <f t="shared" si="63"/>
        <v>Error?</v>
      </c>
    </row>
    <row r="4124" spans="1:4" x14ac:dyDescent="0.2">
      <c r="A4124" s="5">
        <v>4063</v>
      </c>
      <c r="B4124" s="138">
        <f>'Acct Summary 7-8'!E10</f>
        <v>332350</v>
      </c>
      <c r="C4124" s="2" t="s">
        <v>573</v>
      </c>
      <c r="D4124" s="2" t="str">
        <f t="shared" si="63"/>
        <v>Error?</v>
      </c>
    </row>
    <row r="4125" spans="1:4" x14ac:dyDescent="0.2">
      <c r="A4125" s="5">
        <v>4064</v>
      </c>
      <c r="B4125" s="138">
        <f>'Acct Summary 7-8'!F10</f>
        <v>185544</v>
      </c>
      <c r="C4125" s="2" t="s">
        <v>573</v>
      </c>
      <c r="D4125" s="2" t="str">
        <f t="shared" si="63"/>
        <v>Error?</v>
      </c>
    </row>
    <row r="4126" spans="1:4" x14ac:dyDescent="0.2">
      <c r="A4126" s="5">
        <v>4065</v>
      </c>
      <c r="B4126" s="138">
        <f>'Acct Summary 7-8'!G10</f>
        <v>76214</v>
      </c>
      <c r="C4126" s="2" t="s">
        <v>573</v>
      </c>
      <c r="D4126" s="2" t="str">
        <f t="shared" si="63"/>
        <v>Error?</v>
      </c>
    </row>
    <row r="4127" spans="1:4" x14ac:dyDescent="0.2">
      <c r="A4127" s="5">
        <v>4066</v>
      </c>
      <c r="B4127" s="138">
        <f>'Acct Summary 7-8'!H10</f>
        <v>110762</v>
      </c>
      <c r="C4127" s="2" t="s">
        <v>573</v>
      </c>
      <c r="D4127" s="2" t="str">
        <f t="shared" si="63"/>
        <v>Error?</v>
      </c>
    </row>
    <row r="4128" spans="1:4" x14ac:dyDescent="0.2">
      <c r="A4128" s="5">
        <v>4067</v>
      </c>
      <c r="B4128" s="138">
        <f>'Acct Summary 7-8'!I10</f>
        <v>22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22</v>
      </c>
      <c r="C4130" s="2" t="s">
        <v>573</v>
      </c>
      <c r="D4130" s="2" t="str">
        <f t="shared" si="63"/>
        <v>Error?</v>
      </c>
    </row>
    <row r="4131" spans="1:4" x14ac:dyDescent="0.2">
      <c r="A4131" s="5">
        <v>4070</v>
      </c>
      <c r="B4131" s="138">
        <f>'Acct Summary 7-8'!C18</f>
        <v>961382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2957960</v>
      </c>
      <c r="C4136" s="2" t="s">
        <v>573</v>
      </c>
      <c r="D4136" s="2" t="str">
        <f t="shared" si="63"/>
        <v>Error?</v>
      </c>
    </row>
    <row r="4137" spans="1:4" x14ac:dyDescent="0.2">
      <c r="A4137" s="5">
        <v>4076</v>
      </c>
      <c r="B4137" s="138">
        <f>'Acct Summary 7-8'!D19</f>
        <v>127703</v>
      </c>
      <c r="C4137" s="2" t="s">
        <v>573</v>
      </c>
      <c r="D4137" s="2" t="str">
        <f t="shared" si="63"/>
        <v>Error?</v>
      </c>
    </row>
    <row r="4138" spans="1:4" x14ac:dyDescent="0.2">
      <c r="A4138" s="5">
        <v>4077</v>
      </c>
      <c r="B4138" s="138">
        <f>'Acct Summary 7-8'!E19</f>
        <v>330567</v>
      </c>
      <c r="C4138" s="2" t="s">
        <v>573</v>
      </c>
      <c r="D4138" s="2" t="str">
        <f t="shared" si="63"/>
        <v>Error?</v>
      </c>
    </row>
    <row r="4139" spans="1:4" x14ac:dyDescent="0.2">
      <c r="A4139" s="5">
        <v>4078</v>
      </c>
      <c r="B4139" s="138">
        <f>'Acct Summary 7-8'!F19</f>
        <v>160569</v>
      </c>
      <c r="C4139" s="2" t="s">
        <v>573</v>
      </c>
      <c r="D4139" s="2" t="str">
        <f t="shared" si="63"/>
        <v>Error?</v>
      </c>
    </row>
    <row r="4140" spans="1:4" x14ac:dyDescent="0.2">
      <c r="A4140" s="5">
        <v>4079</v>
      </c>
      <c r="B4140" s="138">
        <f>'Acct Summary 7-8'!G19</f>
        <v>76098</v>
      </c>
      <c r="C4140" s="2" t="s">
        <v>573</v>
      </c>
      <c r="D4140" s="2" t="str">
        <f t="shared" si="63"/>
        <v>Error?</v>
      </c>
    </row>
    <row r="4141" spans="1:4" x14ac:dyDescent="0.2">
      <c r="A4141" s="5">
        <v>4080</v>
      </c>
      <c r="B4141" s="138">
        <f>'Acct Summary 7-8'!H19</f>
        <v>27292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1177000</v>
      </c>
      <c r="C4171" s="2" t="s">
        <v>573</v>
      </c>
      <c r="D4171" s="2" t="str">
        <f t="shared" si="64"/>
        <v>Error?</v>
      </c>
    </row>
    <row r="4172" spans="1:4" x14ac:dyDescent="0.2">
      <c r="A4172" s="5">
        <v>4111</v>
      </c>
      <c r="B4172" s="138">
        <f>'Short-Term Long-Term Debt 24'!J49</f>
        <v>1155440</v>
      </c>
      <c r="C4172" s="2" t="s">
        <v>573</v>
      </c>
      <c r="D4172" s="2" t="str">
        <f t="shared" si="64"/>
        <v>Error?</v>
      </c>
    </row>
    <row r="4173" spans="1:4" x14ac:dyDescent="0.2">
      <c r="A4173" s="5">
        <v>4112</v>
      </c>
      <c r="B4173" s="138">
        <f>'Short-Term Long-Term Debt 24'!H49</f>
        <v>294000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1684.47</v>
      </c>
      <c r="C4265" s="2" t="s">
        <v>573</v>
      </c>
      <c r="D4265" s="2" t="str">
        <f t="shared" si="65"/>
        <v>Error?</v>
      </c>
      <c r="E4265" s="128"/>
    </row>
    <row r="4266" spans="1:5" x14ac:dyDescent="0.2">
      <c r="A4266" s="12">
        <v>4205</v>
      </c>
      <c r="B4266" s="138">
        <f>('FP Info 3'!F10)*100000</f>
        <v>136.38</v>
      </c>
      <c r="C4266" s="2" t="s">
        <v>573</v>
      </c>
      <c r="D4266" s="2" t="str">
        <f t="shared" si="65"/>
        <v>Error?</v>
      </c>
      <c r="E4266" s="128"/>
    </row>
    <row r="4267" spans="1:5" x14ac:dyDescent="0.2">
      <c r="A4267" s="12">
        <v>4206</v>
      </c>
      <c r="B4267" s="138">
        <f>('FP Info 3'!H10)*100000</f>
        <v>608.9</v>
      </c>
      <c r="C4267" s="2" t="s">
        <v>573</v>
      </c>
      <c r="D4267" s="2" t="str">
        <f t="shared" si="65"/>
        <v>Error?</v>
      </c>
      <c r="E4267" s="128"/>
    </row>
    <row r="4268" spans="1:5" x14ac:dyDescent="0.2">
      <c r="A4268" s="12">
        <v>4207</v>
      </c>
      <c r="B4268" s="138">
        <f>('FP Info 3'!J10)*100000</f>
        <v>2430</v>
      </c>
      <c r="C4268" s="2" t="s">
        <v>573</v>
      </c>
      <c r="D4268" s="2" t="str">
        <f t="shared" si="65"/>
        <v>Error?</v>
      </c>
    </row>
    <row r="4269" spans="1:5" x14ac:dyDescent="0.2">
      <c r="A4269" s="12">
        <v>4208</v>
      </c>
      <c r="B4269" s="138">
        <f>'FP Info 3'!J16</f>
        <v>1104872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80848257</v>
      </c>
      <c r="D4995" s="2" t="str">
        <f t="shared" si="77"/>
        <v>Error?</v>
      </c>
    </row>
    <row r="4996" spans="1:4" x14ac:dyDescent="0.2">
      <c r="A4996" s="12">
        <v>4935</v>
      </c>
      <c r="B4996" s="138">
        <f>'FP Info 3'!H31</f>
        <v>5578529.733</v>
      </c>
      <c r="D4996" s="2" t="str">
        <f t="shared" si="77"/>
        <v>Error?</v>
      </c>
    </row>
    <row r="4997" spans="1:4" x14ac:dyDescent="0.2">
      <c r="A4997" s="12">
        <v>4936</v>
      </c>
      <c r="B4997" s="138">
        <f>'FP Info 3'!H37</f>
        <v>1177000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1291804</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1291804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146542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146542</v>
      </c>
      <c r="C5071" s="2" t="s">
        <v>573</v>
      </c>
      <c r="D5071" s="2" t="str">
        <f t="shared" si="78"/>
        <v>Error?</v>
      </c>
    </row>
    <row r="5072" spans="1:4" x14ac:dyDescent="0.2">
      <c r="A5072" s="5">
        <v>5011</v>
      </c>
      <c r="B5072" s="138">
        <f>'Revenues 9-14'!C20</f>
        <v>63688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237</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64023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127948</v>
      </c>
      <c r="C5087" s="2" t="s">
        <v>573</v>
      </c>
      <c r="D5087" s="2" t="str">
        <f t="shared" si="78"/>
        <v>Error?</v>
      </c>
    </row>
    <row r="5088" spans="1:4" x14ac:dyDescent="0.2">
      <c r="A5088" s="5">
        <v>5027</v>
      </c>
      <c r="B5088" s="138">
        <f>'Revenues 9-14'!C65</f>
        <v>739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739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1334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33435</v>
      </c>
      <c r="C5096" s="2" t="s">
        <v>573</v>
      </c>
      <c r="D5096" s="2" t="str">
        <f t="shared" si="78"/>
        <v>Error?</v>
      </c>
    </row>
    <row r="5097" spans="1:4" x14ac:dyDescent="0.2">
      <c r="A5097" s="5">
        <v>5036</v>
      </c>
      <c r="B5097" s="138">
        <f>'Revenues 9-14'!C77</f>
        <v>11567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11767</v>
      </c>
      <c r="C5102" s="2" t="s">
        <v>573</v>
      </c>
      <c r="D5102" s="2" t="str">
        <f t="shared" si="78"/>
        <v>Error?</v>
      </c>
    </row>
    <row r="5103" spans="1:4" x14ac:dyDescent="0.2">
      <c r="A5103" s="5">
        <v>5042</v>
      </c>
      <c r="B5103" s="138">
        <f>'Revenues 9-14'!C84</f>
        <v>8205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8205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143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89</v>
      </c>
      <c r="D5119" s="2" t="str">
        <f t="shared" ref="D5119:D5182" si="79">IF(ISBLANK(B5119),"OK",IF(A5119-B5119=0,"OK","Error?"))</f>
        <v>Error?</v>
      </c>
    </row>
    <row r="5120" spans="1:4" x14ac:dyDescent="0.2">
      <c r="A5120" s="5">
        <v>5059</v>
      </c>
      <c r="B5120" s="138">
        <f>'Revenues 9-14'!C108</f>
        <v>232</v>
      </c>
      <c r="C5120" s="2" t="s">
        <v>573</v>
      </c>
      <c r="D5120" s="2" t="str">
        <f t="shared" si="79"/>
        <v>Error?</v>
      </c>
    </row>
    <row r="5121" spans="1:4" x14ac:dyDescent="0.2">
      <c r="A5121" s="5">
        <v>5060</v>
      </c>
      <c r="B5121" s="138">
        <f>'Revenues 9-14'!C109</f>
        <v>1620672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152218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152218</v>
      </c>
      <c r="C5132" s="2" t="s">
        <v>573</v>
      </c>
      <c r="D5132" s="2" t="str">
        <f t="shared" si="79"/>
        <v>Error?</v>
      </c>
    </row>
    <row r="5133" spans="1:4" x14ac:dyDescent="0.2">
      <c r="A5133" s="5">
        <v>5072</v>
      </c>
      <c r="B5133" s="138">
        <f>'Revenues 9-14'!C125</f>
        <v>34421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5368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39789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563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40352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192570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32076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6419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38495</v>
      </c>
      <c r="C5246" s="2" t="s">
        <v>573</v>
      </c>
      <c r="D5246" s="2" t="str">
        <f t="shared" si="80"/>
        <v>Error?</v>
      </c>
    </row>
    <row r="5247" spans="1:4" x14ac:dyDescent="0.2">
      <c r="A5247" s="5">
        <v>5186</v>
      </c>
      <c r="B5247" s="138">
        <f>'Revenues 9-14'!C200</f>
        <v>39430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39430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1374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48467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49841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127766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127766</v>
      </c>
      <c r="C5326" s="2" t="s">
        <v>573</v>
      </c>
      <c r="D5326" s="2" t="str">
        <f t="shared" si="82"/>
        <v>Error?</v>
      </c>
    </row>
    <row r="5327" spans="1:5" x14ac:dyDescent="0.2">
      <c r="A5327" s="5">
        <v>5266</v>
      </c>
      <c r="B5327" s="138">
        <f>'Revenues 9-14'!C268</f>
        <v>1941008</v>
      </c>
      <c r="C5327" s="2" t="s">
        <v>573</v>
      </c>
      <c r="D5327" s="2" t="str">
        <f t="shared" si="82"/>
        <v>Error?</v>
      </c>
    </row>
    <row r="5328" spans="1:5" x14ac:dyDescent="0.2">
      <c r="A5328" s="5">
        <v>5267</v>
      </c>
      <c r="B5328" s="138">
        <f>'Revenues 9-14'!D5</f>
        <v>83049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83049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110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70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70</v>
      </c>
      <c r="C5355" s="2" t="s">
        <v>573</v>
      </c>
      <c r="D5355" s="2" t="str">
        <f t="shared" si="82"/>
        <v>Error?</v>
      </c>
    </row>
    <row r="5356" spans="1:4" x14ac:dyDescent="0.2">
      <c r="A5356" s="5">
        <v>5295</v>
      </c>
      <c r="B5356" s="138">
        <f>'Revenues 9-14'!D109</f>
        <v>83229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83229</v>
      </c>
      <c r="C5508" s="2" t="s">
        <v>573</v>
      </c>
      <c r="D5508" s="2" t="str">
        <f t="shared" si="85"/>
        <v>Error?</v>
      </c>
    </row>
    <row r="5509" spans="1:4" x14ac:dyDescent="0.2">
      <c r="A5509" s="5">
        <v>5448</v>
      </c>
      <c r="B5509" s="138">
        <f>'Revenues 9-14'!E5</f>
        <v>332308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332308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332350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332350</v>
      </c>
      <c r="C5552" s="2" t="s">
        <v>573</v>
      </c>
      <c r="D5552" s="2" t="str">
        <f t="shared" si="85"/>
        <v>Error?</v>
      </c>
    </row>
    <row r="5553" spans="1:4" x14ac:dyDescent="0.2">
      <c r="A5553" s="5">
        <v>5492</v>
      </c>
      <c r="B5553" s="138">
        <f>'Revenues 9-14'!F5</f>
        <v>97701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97701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53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97754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27605</v>
      </c>
      <c r="D5615" s="2" t="str">
        <f t="shared" si="86"/>
        <v>Error?</v>
      </c>
    </row>
    <row r="5616" spans="1:4" x14ac:dyDescent="0.2">
      <c r="A5616" s="10">
        <v>5555</v>
      </c>
      <c r="D5616" s="2" t="str">
        <f t="shared" si="86"/>
        <v>OK</v>
      </c>
    </row>
    <row r="5617" spans="1:5" x14ac:dyDescent="0.2">
      <c r="A5617" s="5">
        <v>5556</v>
      </c>
      <c r="B5617" s="138">
        <f>'Revenues 9-14'!F153</f>
        <v>60185</v>
      </c>
      <c r="D5617" s="2" t="str">
        <f t="shared" si="86"/>
        <v>Error?</v>
      </c>
    </row>
    <row r="5618" spans="1:5" x14ac:dyDescent="0.2">
      <c r="A5618" s="5">
        <v>5557</v>
      </c>
      <c r="B5618" s="138">
        <f>'Revenues 9-14'!F155</f>
        <v>87790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87790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87790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185544</v>
      </c>
      <c r="C5720" s="2" t="s">
        <v>573</v>
      </c>
      <c r="D5720" s="2" t="str">
        <f t="shared" si="88"/>
        <v>Error?</v>
      </c>
    </row>
    <row r="5721" spans="1:4" x14ac:dyDescent="0.2">
      <c r="A5721" s="5">
        <v>5660</v>
      </c>
      <c r="B5721" s="138">
        <f>'Revenues 9-14'!G5</f>
        <v>24433</v>
      </c>
      <c r="D5721" s="2" t="str">
        <f t="shared" si="88"/>
        <v>Error?</v>
      </c>
    </row>
    <row r="5722" spans="1:4" x14ac:dyDescent="0.2">
      <c r="A5722" s="5">
        <v>5661</v>
      </c>
      <c r="B5722" s="138">
        <f>'Revenues 9-14'!G7</f>
        <v>0</v>
      </c>
      <c r="D5722" s="2" t="str">
        <f t="shared" si="88"/>
        <v>Error?</v>
      </c>
    </row>
    <row r="5723" spans="1:4" x14ac:dyDescent="0.2">
      <c r="A5723" s="5">
        <v>5662</v>
      </c>
      <c r="B5723" s="138">
        <f>'Revenues 9-14'!G8</f>
        <v>48859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73292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2913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2913</v>
      </c>
      <c r="C5730" s="2" t="s">
        <v>573</v>
      </c>
      <c r="D5730" s="2" t="str">
        <f t="shared" si="88"/>
        <v>Error?</v>
      </c>
    </row>
    <row r="5731" spans="1:4" x14ac:dyDescent="0.2">
      <c r="A5731" s="5">
        <v>5670</v>
      </c>
      <c r="B5731" s="138">
        <f>'Revenues 9-14'!G65</f>
        <v>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76214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110762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110762</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22</v>
      </c>
      <c r="C6023" s="2" t="s">
        <v>573</v>
      </c>
      <c r="D6023" s="2" t="str">
        <f t="shared" si="93"/>
        <v>Error?</v>
      </c>
    </row>
    <row r="6024" spans="1:5" x14ac:dyDescent="0.2">
      <c r="A6024" s="5">
        <v>5963</v>
      </c>
      <c r="B6024" s="138">
        <f>'Revenues 9-14'!G109</f>
        <v>76214</v>
      </c>
      <c r="C6024" s="2" t="s">
        <v>573</v>
      </c>
      <c r="D6024" s="2" t="str">
        <f t="shared" si="93"/>
        <v>Error?</v>
      </c>
    </row>
    <row r="6025" spans="1:5" x14ac:dyDescent="0.2">
      <c r="A6025" s="5">
        <v>5964</v>
      </c>
      <c r="B6025" s="138">
        <f>'Revenues 9-14'!H109</f>
        <v>110762</v>
      </c>
      <c r="C6025" s="2" t="s">
        <v>573</v>
      </c>
      <c r="D6025" s="2" t="str">
        <f t="shared" si="93"/>
        <v>Error?</v>
      </c>
    </row>
    <row r="6026" spans="1:5" x14ac:dyDescent="0.2">
      <c r="A6026" s="5">
        <v>5965</v>
      </c>
      <c r="B6026" s="138">
        <f>'Revenues 9-14'!I109</f>
        <v>22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32101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6256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207.16499999999999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7572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7572</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7572</v>
      </c>
      <c r="D6216" s="2" t="str">
        <f t="shared" si="96"/>
        <v>Error?</v>
      </c>
      <c r="E6216" s="2" t="s">
        <v>190</v>
      </c>
    </row>
    <row r="6217" spans="1:5" x14ac:dyDescent="0.2">
      <c r="A6217">
        <v>6156</v>
      </c>
      <c r="B6217" s="138">
        <f>'Assets-Liab 5-6'!J4</f>
        <v>7572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37135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37135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37135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38302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38302</v>
      </c>
      <c r="D6229" s="2" t="str">
        <f t="shared" si="96"/>
        <v>Error?</v>
      </c>
      <c r="E6229" s="2" t="s">
        <v>190</v>
      </c>
    </row>
    <row r="6230" spans="1:5" x14ac:dyDescent="0.2">
      <c r="A6230">
        <v>6169</v>
      </c>
      <c r="B6230" s="138">
        <f>'Acct Summary 7-8'!J20</f>
        <v>-1167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-1167</v>
      </c>
      <c r="D6263" s="2" t="str">
        <f t="shared" si="96"/>
        <v>Error?</v>
      </c>
      <c r="E6263" s="2" t="s">
        <v>190</v>
      </c>
    </row>
    <row r="6264" spans="1:5" x14ac:dyDescent="0.2">
      <c r="A6264">
        <v>6203</v>
      </c>
      <c r="B6264" s="138">
        <f>'Acct Summary 7-8'!J79</f>
        <v>8739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7572</v>
      </c>
      <c r="D6266" s="2" t="str">
        <f t="shared" si="96"/>
        <v>Error?</v>
      </c>
      <c r="E6266" s="2" t="s">
        <v>190</v>
      </c>
    </row>
    <row r="6267" spans="1:5" x14ac:dyDescent="0.2">
      <c r="A6267">
        <v>6206</v>
      </c>
      <c r="B6267" s="138">
        <f>'Acct Summary 7-8'!C82</f>
        <v>-55570</v>
      </c>
      <c r="D6267" s="2" t="str">
        <f t="shared" si="96"/>
        <v>Error?</v>
      </c>
      <c r="E6267" s="2" t="s">
        <v>190</v>
      </c>
    </row>
    <row r="6268" spans="1:5" x14ac:dyDescent="0.2">
      <c r="A6268">
        <v>6207</v>
      </c>
      <c r="B6268" s="138">
        <f>'Acct Summary 7-8'!D82</f>
        <v>-44474</v>
      </c>
      <c r="D6268" s="2" t="str">
        <f t="shared" si="96"/>
        <v>Error?</v>
      </c>
      <c r="E6268" s="2" t="s">
        <v>190</v>
      </c>
    </row>
    <row r="6269" spans="1:5" x14ac:dyDescent="0.2">
      <c r="A6269">
        <v>6208</v>
      </c>
      <c r="B6269" s="138">
        <f>'Acct Summary 7-8'!E82</f>
        <v>1783</v>
      </c>
      <c r="D6269" s="2" t="str">
        <f t="shared" si="96"/>
        <v>Error?</v>
      </c>
      <c r="E6269" s="2" t="s">
        <v>190</v>
      </c>
    </row>
    <row r="6270" spans="1:5" x14ac:dyDescent="0.2">
      <c r="A6270">
        <v>6209</v>
      </c>
      <c r="B6270" s="138">
        <f>'Acct Summary 7-8'!F82</f>
        <v>24975</v>
      </c>
      <c r="D6270" s="2" t="str">
        <f t="shared" si="96"/>
        <v>Error?</v>
      </c>
      <c r="E6270" s="2" t="s">
        <v>190</v>
      </c>
    </row>
    <row r="6271" spans="1:5" x14ac:dyDescent="0.2">
      <c r="A6271">
        <v>6210</v>
      </c>
      <c r="B6271" s="138">
        <f>'Acct Summary 7-8'!G82</f>
        <v>116</v>
      </c>
      <c r="D6271" s="2" t="str">
        <f t="shared" ref="D6271:D6334" si="97">IF(ISBLANK(B6271),"OK",IF(A6271-B6271=0,"OK","Error?"))</f>
        <v>Error?</v>
      </c>
      <c r="E6271" s="2" t="s">
        <v>190</v>
      </c>
    </row>
    <row r="6272" spans="1:5" x14ac:dyDescent="0.2">
      <c r="A6272">
        <v>6211</v>
      </c>
      <c r="B6272" s="138">
        <f>'Acct Summary 7-8'!H82</f>
        <v>83470</v>
      </c>
      <c r="D6272" s="2" t="str">
        <f t="shared" si="97"/>
        <v>Error?</v>
      </c>
      <c r="E6272" s="2" t="s">
        <v>190</v>
      </c>
    </row>
    <row r="6273" spans="1:5" x14ac:dyDescent="0.2">
      <c r="A6273">
        <v>6212</v>
      </c>
      <c r="B6273" s="138">
        <f>'Acct Summary 7-8'!I82</f>
        <v>22</v>
      </c>
      <c r="D6273" s="2" t="str">
        <f t="shared" si="97"/>
        <v>Error?</v>
      </c>
      <c r="E6273" s="2" t="s">
        <v>190</v>
      </c>
    </row>
    <row r="6274" spans="1:5" x14ac:dyDescent="0.2">
      <c r="A6274">
        <v>6213</v>
      </c>
      <c r="B6274" s="138">
        <f>'Acct Summary 7-8'!J82</f>
        <v>-1167</v>
      </c>
      <c r="D6274" s="2" t="str">
        <f t="shared" si="97"/>
        <v>Error?</v>
      </c>
      <c r="E6274" s="2" t="s">
        <v>190</v>
      </c>
    </row>
    <row r="6275" spans="1:5" x14ac:dyDescent="0.2">
      <c r="A6275">
        <v>6214</v>
      </c>
      <c r="B6275" s="138">
        <f>'Acct Summary 7-8'!K82</f>
        <v>22</v>
      </c>
      <c r="D6275" s="2" t="str">
        <f t="shared" si="97"/>
        <v>Error?</v>
      </c>
      <c r="E6275" s="2" t="s">
        <v>190</v>
      </c>
    </row>
    <row r="6276" spans="1:5" x14ac:dyDescent="0.2">
      <c r="A6276">
        <v>6215</v>
      </c>
      <c r="B6276" s="138">
        <f>'Acct Summary 7-8'!C83</f>
        <v>-0.1341220880277271</v>
      </c>
      <c r="D6276" s="2" t="str">
        <f t="shared" si="97"/>
        <v>Error?</v>
      </c>
      <c r="E6276" s="2" t="s">
        <v>190</v>
      </c>
    </row>
    <row r="6277" spans="1:5" x14ac:dyDescent="0.2">
      <c r="A6277">
        <v>6216</v>
      </c>
      <c r="B6277" s="138">
        <f>'Acct Summary 7-8'!D83</f>
        <v>-1.9232831690019028</v>
      </c>
      <c r="D6277" s="2" t="str">
        <f t="shared" si="97"/>
        <v>Error?</v>
      </c>
      <c r="E6277" s="2" t="s">
        <v>190</v>
      </c>
    </row>
    <row r="6278" spans="1:5" x14ac:dyDescent="0.2">
      <c r="A6278">
        <v>6217</v>
      </c>
      <c r="B6278" s="138">
        <f>'Acct Summary 7-8'!E83</f>
        <v>8.2699443413729132E-2</v>
      </c>
      <c r="D6278" s="2" t="str">
        <f t="shared" si="97"/>
        <v>Error?</v>
      </c>
      <c r="E6278" s="2" t="s">
        <v>190</v>
      </c>
    </row>
    <row r="6279" spans="1:5" x14ac:dyDescent="0.2">
      <c r="A6279">
        <v>6218</v>
      </c>
      <c r="B6279" s="138">
        <f>'Acct Summary 7-8'!F83</f>
        <v>0.20636573213356138</v>
      </c>
      <c r="D6279" s="2" t="str">
        <f t="shared" si="97"/>
        <v>Error?</v>
      </c>
      <c r="E6279" s="2" t="s">
        <v>190</v>
      </c>
    </row>
    <row r="6280" spans="1:5" x14ac:dyDescent="0.2">
      <c r="A6280">
        <v>6219</v>
      </c>
      <c r="B6280" s="138">
        <f>'Acct Summary 7-8'!G83</f>
        <v>7.1428571428571426E-3</v>
      </c>
      <c r="D6280" s="2" t="str">
        <f t="shared" si="97"/>
        <v>Error?</v>
      </c>
      <c r="E6280" s="2" t="s">
        <v>190</v>
      </c>
    </row>
    <row r="6281" spans="1:5" x14ac:dyDescent="0.2">
      <c r="A6281">
        <v>6220</v>
      </c>
      <c r="B6281" s="138">
        <f>'Acct Summary 7-8'!H83</f>
        <v>0.4132178217821782</v>
      </c>
      <c r="D6281" s="2" t="str">
        <f t="shared" si="97"/>
        <v>Error?</v>
      </c>
      <c r="E6281" s="2" t="s">
        <v>190</v>
      </c>
    </row>
    <row r="6282" spans="1:5" x14ac:dyDescent="0.2">
      <c r="A6282">
        <v>6221</v>
      </c>
      <c r="B6282" s="138">
        <f>'Acct Summary 7-8'!I83</f>
        <v>4.0263469503167088E-5</v>
      </c>
      <c r="D6282" s="2" t="str">
        <f t="shared" si="97"/>
        <v>Error?</v>
      </c>
      <c r="E6282" s="2" t="s">
        <v>190</v>
      </c>
    </row>
    <row r="6283" spans="1:5" x14ac:dyDescent="0.2">
      <c r="A6283">
        <v>6222</v>
      </c>
      <c r="B6283" s="138">
        <f>'Acct Summary 7-8'!J83</f>
        <v>-0.15412044374009509</v>
      </c>
      <c r="D6283" s="2" t="str">
        <f t="shared" si="97"/>
        <v>Error?</v>
      </c>
      <c r="E6283" s="2" t="s">
        <v>190</v>
      </c>
    </row>
    <row r="6284" spans="1:5" x14ac:dyDescent="0.2">
      <c r="A6284">
        <v>6223</v>
      </c>
      <c r="B6284" s="138">
        <f>'Acct Summary 7-8'!K83</f>
        <v>2.4130744762531535E-3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37135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37135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37135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38302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37135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38302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38302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38302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38302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38302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38302</v>
      </c>
      <c r="D7224" s="2" t="str">
        <f t="shared" si="111"/>
        <v>Error?</v>
      </c>
    </row>
    <row r="7225" spans="1:4" x14ac:dyDescent="0.2">
      <c r="A7225">
        <v>7164</v>
      </c>
      <c r="B7225" s="138">
        <f>'Expenditures 15-22'!K343</f>
        <v>-1167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173413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110762</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51704</v>
      </c>
      <c r="D7797" s="2" t="str">
        <f t="shared" si="127"/>
        <v>Error?</v>
      </c>
      <c r="E7797" s="4" t="s">
        <v>1903</v>
      </c>
    </row>
    <row r="7798" spans="1:5" x14ac:dyDescent="0.2">
      <c r="A7798">
        <v>7737</v>
      </c>
      <c r="B7798" s="138">
        <f>'Contracts Paid in CY 29'!F141</f>
        <v>25000</v>
      </c>
      <c r="D7798" s="2" t="str">
        <f t="shared" si="127"/>
        <v>Error?</v>
      </c>
      <c r="E7798" s="4" t="s">
        <v>1903</v>
      </c>
    </row>
    <row r="7799" spans="1:5" x14ac:dyDescent="0.2">
      <c r="A7799">
        <v>7738</v>
      </c>
      <c r="B7799" s="138">
        <f>'Contracts Paid in CY 29'!G141</f>
        <v>26704</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T13" sqref="T13:AA1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1191</v>
      </c>
      <c r="B2" s="2380"/>
      <c r="C2" s="2380"/>
      <c r="D2" s="2380"/>
      <c r="E2" s="2380"/>
      <c r="F2" s="2380"/>
      <c r="G2" s="2380"/>
      <c r="H2" s="2380"/>
      <c r="I2" s="2380"/>
      <c r="J2" s="2380"/>
      <c r="K2" s="2380"/>
      <c r="L2" s="2380"/>
    </row>
    <row r="3" spans="1:29" ht="13.5" customHeight="1" x14ac:dyDescent="0.2">
      <c r="A3" s="2411" t="s">
        <v>1190</v>
      </c>
      <c r="B3" s="2411"/>
      <c r="C3" s="2411"/>
      <c r="D3" s="2411"/>
      <c r="E3" s="2411"/>
      <c r="F3" s="2411"/>
      <c r="G3" s="2411"/>
      <c r="H3" s="2411"/>
      <c r="I3" s="2411"/>
      <c r="J3" s="2411"/>
      <c r="K3" s="2411"/>
      <c r="L3" s="2411"/>
    </row>
    <row r="4" spans="1:29" ht="13.5" customHeight="1" x14ac:dyDescent="0.2">
      <c r="A4" s="2380" t="s">
        <v>1988</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2" t="str">
        <f>COVER!A17</f>
        <v>West Lincoln-Broadwell ESD 92</v>
      </c>
      <c r="B7" s="2403"/>
      <c r="C7" s="2403"/>
      <c r="D7" s="2404"/>
      <c r="E7" s="2405">
        <f>COVER!A13</f>
        <v>17054092004</v>
      </c>
      <c r="F7" s="2406"/>
      <c r="G7" s="2412" t="str">
        <f>COVER!T23</f>
        <v>065-015457</v>
      </c>
      <c r="H7" s="2413"/>
      <c r="I7" s="2413"/>
      <c r="J7" s="2413"/>
      <c r="K7" s="2413"/>
      <c r="L7" s="241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5"/>
      <c r="B9" s="2416"/>
      <c r="C9" s="2416"/>
      <c r="D9" s="2416"/>
      <c r="E9" s="2416"/>
      <c r="F9" s="2417"/>
      <c r="G9" s="2386" t="str">
        <f>COVER!T13</f>
        <v>Pamela J. Simpson, CPA</v>
      </c>
      <c r="H9" s="2418"/>
      <c r="I9" s="2418"/>
      <c r="J9" s="2418"/>
      <c r="K9" s="2418"/>
      <c r="L9" s="2419"/>
    </row>
    <row r="10" spans="1:29" ht="13.5" customHeight="1" x14ac:dyDescent="0.2">
      <c r="A10" s="2392" t="str">
        <f>COVER!A38</f>
        <v>Heather Baker, Superintendent/Principal</v>
      </c>
      <c r="B10" s="2393"/>
      <c r="C10" s="2393"/>
      <c r="D10" s="2393"/>
      <c r="E10" s="2393"/>
      <c r="F10" s="2394"/>
      <c r="G10" s="2386" t="str">
        <f>COVER!T17</f>
        <v>920 West Pershing Road</v>
      </c>
      <c r="H10" s="2387"/>
      <c r="I10" s="2387"/>
      <c r="J10" s="2387"/>
      <c r="K10" s="2387"/>
      <c r="L10" s="2388"/>
    </row>
    <row r="11" spans="1:29" ht="13.5" customHeight="1" x14ac:dyDescent="0.2">
      <c r="A11" s="1184" t="s">
        <v>1519</v>
      </c>
      <c r="B11" s="1185"/>
      <c r="C11" s="1186"/>
      <c r="D11" s="1191"/>
      <c r="E11" s="1186"/>
      <c r="F11" s="1190"/>
      <c r="G11" s="2386" t="str">
        <f>COVER!T19</f>
        <v>Decatur</v>
      </c>
      <c r="H11" s="2387"/>
      <c r="I11" s="2387"/>
      <c r="J11" s="2387"/>
      <c r="K11" s="2387"/>
      <c r="L11" s="2388"/>
    </row>
    <row r="12" spans="1:29" ht="13.5" customHeight="1" x14ac:dyDescent="0.2">
      <c r="A12" s="2395" t="s">
        <v>1518</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1520</v>
      </c>
      <c r="H13" s="2382"/>
      <c r="I13" s="2398" t="str">
        <f>COVER!T25</f>
        <v>pjscpa31a@aol.com</v>
      </c>
      <c r="J13" s="2399"/>
      <c r="K13" s="2399"/>
      <c r="L13" s="2400"/>
    </row>
    <row r="14" spans="1:29" ht="13.5" customHeight="1" x14ac:dyDescent="0.2">
      <c r="A14" s="2386" t="str">
        <f>COVER!A19</f>
        <v>2695 Woodlawn Road</v>
      </c>
      <c r="B14" s="2387"/>
      <c r="C14" s="2387"/>
      <c r="D14" s="2387"/>
      <c r="E14" s="2387"/>
      <c r="F14" s="2388"/>
      <c r="G14" s="1195" t="s">
        <v>1185</v>
      </c>
      <c r="H14" s="1193"/>
      <c r="I14" s="1193"/>
      <c r="J14" s="1193"/>
      <c r="K14" s="1193"/>
      <c r="L14" s="1194"/>
    </row>
    <row r="15" spans="1:29" ht="13.5" customHeight="1" x14ac:dyDescent="0.2">
      <c r="A15" s="2386" t="str">
        <f>COVER!A21</f>
        <v>Lincoln</v>
      </c>
      <c r="B15" s="2387"/>
      <c r="C15" s="2387"/>
      <c r="D15" s="2387"/>
      <c r="E15" s="2387"/>
      <c r="F15" s="2388"/>
      <c r="G15" s="2383" t="str">
        <f>COVER!T15</f>
        <v>Pamela J. Simpson</v>
      </c>
      <c r="H15" s="2384"/>
      <c r="I15" s="2384"/>
      <c r="J15" s="2384"/>
      <c r="K15" s="2384"/>
      <c r="L15" s="2385"/>
    </row>
    <row r="16" spans="1:29" ht="12.2" customHeight="1" x14ac:dyDescent="0.2">
      <c r="A16" s="2408">
        <f>COVER!A25</f>
        <v>62656</v>
      </c>
      <c r="B16" s="2409"/>
      <c r="C16" s="2409"/>
      <c r="D16" s="2409"/>
      <c r="E16" s="2409"/>
      <c r="F16" s="2410"/>
      <c r="G16" s="2420"/>
      <c r="H16" s="2421"/>
      <c r="I16" s="2421"/>
      <c r="J16" s="2421"/>
      <c r="K16" s="2421"/>
      <c r="L16" s="2422"/>
    </row>
    <row r="17" spans="1:13" ht="12.2" customHeight="1" x14ac:dyDescent="0.2">
      <c r="A17" s="2423"/>
      <c r="B17" s="2409"/>
      <c r="C17" s="2409"/>
      <c r="D17" s="2409"/>
      <c r="E17" s="2409"/>
      <c r="F17" s="2410"/>
      <c r="G17" s="1195" t="s">
        <v>1184</v>
      </c>
      <c r="H17" s="1193"/>
      <c r="I17" s="1193"/>
      <c r="J17" s="1193"/>
      <c r="K17" s="1197" t="s">
        <v>1183</v>
      </c>
      <c r="L17" s="1190"/>
      <c r="M17" s="1183"/>
    </row>
    <row r="18" spans="1:13" ht="12.2" customHeight="1" x14ac:dyDescent="0.2">
      <c r="A18" s="2392"/>
      <c r="B18" s="2393"/>
      <c r="C18" s="2393"/>
      <c r="D18" s="2393"/>
      <c r="E18" s="2393"/>
      <c r="F18" s="2394"/>
      <c r="G18" s="2402">
        <f>COVER!T21</f>
        <v>2178721908</v>
      </c>
      <c r="H18" s="2403"/>
      <c r="I18" s="2403"/>
      <c r="J18" s="2403"/>
      <c r="K18" s="2402">
        <f>COVER!X21</f>
        <v>2178721911</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T13" sqref="T13:AA1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West Lincoln-Broadwell ESD 92</v>
      </c>
      <c r="B1" s="2401"/>
      <c r="C1" s="2401"/>
      <c r="D1" s="2401"/>
    </row>
    <row r="2" spans="1:11" s="1212" customFormat="1" ht="12.75" x14ac:dyDescent="0.2">
      <c r="A2" s="2425">
        <f>'Single Audit Cover'!E7</f>
        <v>17054092004</v>
      </c>
      <c r="B2" s="2426"/>
      <c r="C2" s="2426"/>
      <c r="D2" s="2426"/>
    </row>
    <row r="3" spans="1:11" s="1212" customFormat="1" ht="12.75" x14ac:dyDescent="0.2">
      <c r="A3" s="2424" t="s">
        <v>1513</v>
      </c>
      <c r="B3" s="2401"/>
      <c r="C3" s="2401"/>
      <c r="D3" s="240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T13" sqref="T13:AA13"/>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West Lincoln-Broadwell ESD 92</v>
      </c>
      <c r="B1" s="2428"/>
      <c r="C1" s="2428"/>
      <c r="D1" s="2428"/>
      <c r="E1" s="2428"/>
    </row>
    <row r="2" spans="1:5" x14ac:dyDescent="0.2">
      <c r="A2" s="2429">
        <f>'Single Audit Cover'!E7</f>
        <v>17054092004</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127766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6256</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0</v>
      </c>
    </row>
    <row r="19" spans="1:4" ht="13.5" thickBot="1" x14ac:dyDescent="0.25">
      <c r="A19" s="1262" t="s">
        <v>1235</v>
      </c>
      <c r="D19" s="1263">
        <f>SUM(D10:D17)</f>
        <v>134022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134022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134022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T13" sqref="T13:AA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West Lincoln-Broadwell ESD 92</v>
      </c>
      <c r="C1" s="2432"/>
      <c r="D1" s="2432"/>
      <c r="E1" s="2432"/>
      <c r="F1" s="2432"/>
      <c r="G1" s="2432"/>
      <c r="H1" s="2432"/>
      <c r="I1" s="2432"/>
      <c r="J1" s="2432"/>
      <c r="K1" s="2432"/>
      <c r="L1" s="2432"/>
      <c r="M1" s="2432"/>
    </row>
    <row r="2" spans="2:14" ht="15" x14ac:dyDescent="0.2">
      <c r="B2" s="2433">
        <f>'Single Audit Cover'!E7</f>
        <v>17054092004</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1989</v>
      </c>
      <c r="K8" s="1316" t="s">
        <v>1261</v>
      </c>
      <c r="L8" s="1317" t="s">
        <v>1257</v>
      </c>
      <c r="M8" s="1318" t="s">
        <v>30</v>
      </c>
    </row>
    <row r="9" spans="2:14" ht="14.25" x14ac:dyDescent="0.2">
      <c r="B9" s="1322" t="s">
        <v>1259</v>
      </c>
      <c r="C9" s="1310" t="s">
        <v>1735</v>
      </c>
      <c r="D9" s="1311" t="s">
        <v>1736</v>
      </c>
      <c r="E9" s="1319" t="s">
        <v>1839</v>
      </c>
      <c r="F9" s="1320" t="s">
        <v>1989</v>
      </c>
      <c r="G9" s="1321" t="s">
        <v>1839</v>
      </c>
      <c r="H9" s="1314" t="s">
        <v>1582</v>
      </c>
      <c r="I9" s="1316" t="s">
        <v>1989</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T13" sqref="T13:AA1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West Lincoln-Broadwell ESD 92</v>
      </c>
      <c r="B1" s="2445"/>
      <c r="C1" s="2445"/>
      <c r="D1" s="2445"/>
      <c r="E1" s="2445"/>
      <c r="F1" s="2445"/>
    </row>
    <row r="2" spans="1:7" ht="13.5" customHeight="1" x14ac:dyDescent="0.2">
      <c r="A2" s="2433">
        <f>'Single Audit Cover'!E7</f>
        <v>17054092004</v>
      </c>
      <c r="B2" s="2433"/>
      <c r="C2" s="2433"/>
      <c r="D2" s="2433"/>
      <c r="E2" s="2433"/>
      <c r="F2" s="2433"/>
      <c r="G2" s="1272"/>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3" t="s">
        <v>1728</v>
      </c>
      <c r="C6" s="317"/>
      <c r="D6" s="317"/>
    </row>
    <row r="7" spans="1:7" ht="60.95" customHeight="1" x14ac:dyDescent="0.2">
      <c r="A7" s="2444" t="s">
        <v>1729</v>
      </c>
      <c r="B7" s="2444"/>
      <c r="C7" s="2444"/>
      <c r="D7" s="2444"/>
      <c r="E7" s="2444"/>
      <c r="F7" s="244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4" t="s">
        <v>1731</v>
      </c>
      <c r="B13" s="2444"/>
      <c r="C13" s="2444"/>
      <c r="D13" s="2444"/>
      <c r="E13" s="2444"/>
      <c r="F13" s="2444"/>
    </row>
    <row r="14" spans="1:7" ht="9.75" customHeight="1" x14ac:dyDescent="0.2">
      <c r="C14" s="1257"/>
      <c r="D14" s="1257"/>
    </row>
    <row r="15" spans="1:7" ht="13.5" customHeight="1" x14ac:dyDescent="0.2">
      <c r="C15" s="1846" t="s">
        <v>1270</v>
      </c>
      <c r="D15" s="2442" t="s">
        <v>1269</v>
      </c>
      <c r="E15" s="2442"/>
      <c r="F15" s="2442"/>
    </row>
    <row r="16" spans="1:7" ht="13.5" customHeight="1" x14ac:dyDescent="0.2">
      <c r="A16" s="1279"/>
      <c r="B16" s="1273" t="s">
        <v>1268</v>
      </c>
      <c r="C16" s="1846" t="s">
        <v>1267</v>
      </c>
      <c r="D16" s="2443" t="s">
        <v>1588</v>
      </c>
      <c r="E16" s="2443"/>
      <c r="F16" s="2443"/>
    </row>
    <row r="17" spans="1:6" ht="20.45" customHeight="1" x14ac:dyDescent="0.2">
      <c r="A17" s="1280"/>
      <c r="B17" s="1281"/>
      <c r="C17" s="1282"/>
      <c r="D17" s="2437"/>
      <c r="E17" s="2437"/>
      <c r="F17" s="2437"/>
    </row>
    <row r="18" spans="1:6" ht="20.65" customHeight="1" x14ac:dyDescent="0.2">
      <c r="A18" s="1280"/>
      <c r="B18" s="1281"/>
      <c r="C18" s="1282"/>
      <c r="D18" s="2437"/>
      <c r="E18" s="2437"/>
      <c r="F18" s="2437"/>
    </row>
    <row r="19" spans="1:6" ht="20.65" customHeight="1" x14ac:dyDescent="0.2">
      <c r="A19" s="1280"/>
      <c r="B19" s="1281"/>
      <c r="C19" s="1282"/>
      <c r="D19" s="2437"/>
      <c r="E19" s="2437"/>
      <c r="F19" s="2437"/>
    </row>
    <row r="20" spans="1:6" ht="20.65" customHeight="1" x14ac:dyDescent="0.2">
      <c r="A20" s="1280"/>
      <c r="B20" s="1281"/>
      <c r="C20" s="1282"/>
      <c r="D20" s="2437"/>
      <c r="E20" s="2437"/>
      <c r="F20" s="2437"/>
    </row>
    <row r="21" spans="1:6" ht="20.65" customHeight="1" x14ac:dyDescent="0.2">
      <c r="A21" s="1280"/>
      <c r="B21" s="1281"/>
      <c r="C21" s="1282"/>
      <c r="D21" s="2437"/>
      <c r="E21" s="2437"/>
      <c r="F21" s="2437"/>
    </row>
    <row r="22" spans="1:6" ht="20.65" customHeight="1" x14ac:dyDescent="0.2">
      <c r="A22" s="1280"/>
      <c r="B22" s="1281"/>
      <c r="C22" s="1282"/>
      <c r="D22" s="2437"/>
      <c r="E22" s="2437"/>
      <c r="F22" s="2437"/>
    </row>
    <row r="23" spans="1:6" ht="20.65" customHeight="1" x14ac:dyDescent="0.2">
      <c r="A23" s="1280"/>
      <c r="B23" s="1281"/>
      <c r="C23" s="1282"/>
      <c r="D23" s="2437"/>
      <c r="E23" s="2437"/>
      <c r="F23" s="2437"/>
    </row>
    <row r="24" spans="1:6" ht="20.65" customHeight="1" x14ac:dyDescent="0.2">
      <c r="A24" s="1280"/>
      <c r="B24" s="1281"/>
      <c r="C24" s="1282"/>
      <c r="D24" s="2437"/>
      <c r="E24" s="2437"/>
      <c r="F24" s="2437"/>
    </row>
    <row r="25" spans="1:6" ht="20.65" customHeight="1" x14ac:dyDescent="0.2">
      <c r="A25" s="1280"/>
      <c r="B25" s="1281"/>
      <c r="C25" s="1282"/>
      <c r="D25" s="2437"/>
      <c r="E25" s="2437"/>
      <c r="F25" s="2437"/>
    </row>
    <row r="26" spans="1:6" ht="20.65" customHeight="1" x14ac:dyDescent="0.2">
      <c r="A26" s="1280"/>
      <c r="B26" s="1281"/>
      <c r="C26" s="1282"/>
      <c r="D26" s="2437"/>
      <c r="E26" s="2437"/>
      <c r="F26" s="2437"/>
    </row>
    <row r="27" spans="1:6" ht="20.65" customHeight="1" x14ac:dyDescent="0.2">
      <c r="A27" s="1280"/>
      <c r="B27" s="1281"/>
      <c r="C27" s="1282"/>
      <c r="D27" s="2437"/>
      <c r="E27" s="2437"/>
      <c r="F27" s="2437"/>
    </row>
    <row r="28" spans="1:6" ht="20.65" customHeight="1" x14ac:dyDescent="0.2">
      <c r="A28" s="1280"/>
      <c r="B28" s="1281"/>
      <c r="C28" s="1282"/>
      <c r="D28" s="2437"/>
      <c r="E28" s="2437"/>
      <c r="F28" s="2437"/>
    </row>
    <row r="29" spans="1:6" ht="20.65" customHeight="1" x14ac:dyDescent="0.2">
      <c r="A29" s="1280"/>
      <c r="B29" s="1281"/>
      <c r="C29" s="1282"/>
      <c r="D29" s="2437"/>
      <c r="E29" s="2437"/>
      <c r="F29" s="2437"/>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8" t="s">
        <v>1732</v>
      </c>
      <c r="B32" s="2438"/>
      <c r="C32" s="2438"/>
      <c r="D32" s="2438"/>
      <c r="E32" s="2438"/>
      <c r="F32" s="2438"/>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9">
        <f>+C33+C34</f>
        <v>0</v>
      </c>
      <c r="F34" s="2440"/>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1" t="s">
        <v>1590</v>
      </c>
      <c r="C49" s="2441"/>
      <c r="D49" s="2441"/>
      <c r="E49" s="1396"/>
    </row>
    <row r="50" spans="1:5" s="1297" customFormat="1" ht="3.75" customHeight="1" x14ac:dyDescent="0.2">
      <c r="A50" s="1296"/>
      <c r="B50" s="1845"/>
      <c r="C50" s="1845"/>
      <c r="D50" s="1845"/>
      <c r="E50" s="1396"/>
    </row>
    <row r="51" spans="1:5" s="1297" customFormat="1" ht="20.25" customHeight="1" x14ac:dyDescent="0.2">
      <c r="A51" s="1298">
        <v>6</v>
      </c>
      <c r="B51" s="2436" t="s">
        <v>1551</v>
      </c>
      <c r="C51" s="2436"/>
      <c r="D51" s="2436"/>
    </row>
    <row r="52" spans="1:5" ht="14.25" customHeight="1" x14ac:dyDescent="0.2">
      <c r="A52" s="1298"/>
      <c r="B52" s="2436"/>
      <c r="C52" s="2436"/>
      <c r="D52" s="243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T13" sqref="T13:AA13"/>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West Lincoln-Broadwell ESD 92</v>
      </c>
      <c r="C1" s="2460"/>
      <c r="D1" s="2460"/>
      <c r="E1" s="2460"/>
      <c r="F1" s="2460"/>
      <c r="G1" s="2460"/>
      <c r="H1" s="2460"/>
      <c r="I1" s="2460"/>
      <c r="J1" s="1406"/>
    </row>
    <row r="2" spans="2:10" s="317" customFormat="1" ht="12.75" customHeight="1" x14ac:dyDescent="0.2">
      <c r="B2" s="2461">
        <f>'Single Audit Cover'!E7</f>
        <v>17054092004</v>
      </c>
      <c r="C2" s="2462"/>
      <c r="D2" s="2462"/>
      <c r="E2" s="2462"/>
      <c r="F2" s="2462"/>
      <c r="G2" s="2462"/>
      <c r="H2" s="2462"/>
      <c r="I2" s="2462"/>
      <c r="J2" s="1406"/>
    </row>
    <row r="3" spans="2:10" s="317" customFormat="1" ht="12.75" customHeight="1" x14ac:dyDescent="0.2">
      <c r="B3" s="2463" t="s">
        <v>1285</v>
      </c>
      <c r="C3" s="2464"/>
      <c r="D3" s="2464"/>
      <c r="E3" s="2464"/>
      <c r="F3" s="2464"/>
      <c r="G3" s="2464"/>
      <c r="H3" s="2464"/>
      <c r="I3" s="2464"/>
      <c r="J3" s="140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3" t="s">
        <v>1284</v>
      </c>
      <c r="C7" s="2464"/>
      <c r="D7" s="2464"/>
      <c r="E7" s="2464"/>
      <c r="F7" s="2464"/>
      <c r="G7" s="2464"/>
      <c r="H7" s="2464"/>
      <c r="I7" s="246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5"/>
      <c r="D11" s="246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6"/>
      <c r="E29" s="2466"/>
      <c r="F29" s="2466"/>
      <c r="G29" s="2466"/>
      <c r="H29" s="2466"/>
      <c r="I29" s="2466"/>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7" t="s">
        <v>1751</v>
      </c>
      <c r="D37" s="2468"/>
      <c r="E37" s="2468"/>
      <c r="F37" s="2469"/>
      <c r="G37" s="2467" t="s">
        <v>1592</v>
      </c>
      <c r="H37" s="2468"/>
      <c r="I37" s="2469"/>
    </row>
    <row r="38" spans="2:9" ht="16.5" customHeight="1" x14ac:dyDescent="0.2">
      <c r="B38" s="1428"/>
      <c r="C38" s="2455"/>
      <c r="D38" s="2456"/>
      <c r="E38" s="2456"/>
      <c r="F38" s="2457"/>
      <c r="G38" s="2470"/>
      <c r="H38" s="2471"/>
      <c r="I38" s="2472"/>
    </row>
    <row r="39" spans="2:9" ht="16.5" customHeight="1" x14ac:dyDescent="0.2">
      <c r="B39" s="1428"/>
      <c r="C39" s="2455"/>
      <c r="D39" s="2456"/>
      <c r="E39" s="2456"/>
      <c r="F39" s="2457"/>
      <c r="G39" s="2458"/>
      <c r="H39" s="2458"/>
      <c r="I39" s="2458"/>
    </row>
    <row r="40" spans="2:9" ht="16.5" customHeight="1" x14ac:dyDescent="0.2">
      <c r="B40" s="1428"/>
      <c r="C40" s="2455"/>
      <c r="D40" s="2456"/>
      <c r="E40" s="2456"/>
      <c r="F40" s="2457"/>
      <c r="G40" s="2458"/>
      <c r="H40" s="2458"/>
      <c r="I40" s="2458"/>
    </row>
    <row r="41" spans="2:9" ht="16.5" customHeight="1" x14ac:dyDescent="0.2">
      <c r="B41" s="1428"/>
      <c r="C41" s="2455"/>
      <c r="D41" s="2456"/>
      <c r="E41" s="2456"/>
      <c r="F41" s="2457"/>
      <c r="G41" s="2458"/>
      <c r="H41" s="2458"/>
      <c r="I41" s="2458"/>
    </row>
    <row r="42" spans="2:9" ht="16.5" customHeight="1" x14ac:dyDescent="0.2">
      <c r="B42" s="1428"/>
      <c r="C42" s="2455"/>
      <c r="D42" s="2456"/>
      <c r="E42" s="2456"/>
      <c r="F42" s="2457"/>
      <c r="G42" s="2458"/>
      <c r="H42" s="2458"/>
      <c r="I42" s="2458"/>
    </row>
    <row r="43" spans="2:9" ht="16.5" customHeight="1" x14ac:dyDescent="0.2">
      <c r="B43" s="1428"/>
      <c r="C43" s="2448" t="s">
        <v>1593</v>
      </c>
      <c r="D43" s="2449"/>
      <c r="E43" s="2449"/>
      <c r="F43" s="2450"/>
      <c r="G43" s="2451">
        <f>SUM(G38:I42)</f>
        <v>0</v>
      </c>
      <c r="H43" s="2451"/>
      <c r="I43" s="2451"/>
    </row>
    <row r="44" spans="2:9" ht="12.75" customHeight="1" x14ac:dyDescent="0.2"/>
    <row r="45" spans="2:9" ht="12.75" customHeight="1" x14ac:dyDescent="0.2">
      <c r="B45" s="1419" t="s">
        <v>2063</v>
      </c>
      <c r="D45" s="2452">
        <v>0</v>
      </c>
      <c r="E45" s="245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4"/>
      <c r="F49" s="2454"/>
      <c r="G49" s="245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T13" sqref="T13:AA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West Lincoln-Broadwell ESD 92</v>
      </c>
      <c r="C1" s="2459"/>
      <c r="D1" s="2459"/>
      <c r="E1" s="2459"/>
      <c r="F1" s="2459"/>
      <c r="G1" s="2459"/>
      <c r="H1" s="2459"/>
      <c r="I1" s="2459"/>
      <c r="J1" s="2459"/>
      <c r="K1" s="2459"/>
      <c r="L1" s="1371"/>
      <c r="M1" s="1371"/>
    </row>
    <row r="2" spans="1:13" ht="12" customHeight="1" x14ac:dyDescent="0.2">
      <c r="B2" s="2461">
        <f>'Single Audit Cover'!E7</f>
        <v>17054092004</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T13" sqref="T13:AA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West Lincoln-Broadwell ESD 92</v>
      </c>
      <c r="C1" s="2482"/>
      <c r="D1" s="2482"/>
      <c r="E1" s="2482"/>
      <c r="F1" s="2482"/>
      <c r="G1" s="2482"/>
      <c r="H1" s="2482"/>
      <c r="I1" s="2482"/>
      <c r="J1" s="2482"/>
      <c r="K1" s="2482"/>
      <c r="L1" s="1449"/>
    </row>
    <row r="2" spans="1:12" ht="12.75" customHeight="1" x14ac:dyDescent="0.2">
      <c r="B2" s="2483">
        <f>'Single Audit Cover'!E7</f>
        <v>17054092004</v>
      </c>
      <c r="C2" s="2483"/>
      <c r="D2" s="2483"/>
      <c r="E2" s="2483"/>
      <c r="F2" s="2483"/>
      <c r="G2" s="2483"/>
      <c r="H2" s="2483"/>
      <c r="I2" s="2483"/>
      <c r="J2" s="2483"/>
      <c r="K2" s="2483"/>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1990</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6"/>
      <c r="G12" s="2466"/>
      <c r="H12" s="2466"/>
      <c r="I12" s="2466"/>
      <c r="J12" s="2466"/>
      <c r="K12" s="246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9"/>
      <c r="E14" s="2479"/>
      <c r="F14" s="2479"/>
      <c r="H14" s="1459" t="s">
        <v>1303</v>
      </c>
      <c r="I14" s="2480"/>
      <c r="J14" s="2480"/>
      <c r="K14" s="248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0"/>
      <c r="E16" s="2480"/>
      <c r="F16" s="2480"/>
      <c r="G16" s="2480"/>
      <c r="H16" s="2480"/>
      <c r="I16" s="2480"/>
      <c r="J16" s="2480"/>
      <c r="K16" s="2480"/>
      <c r="L16" s="322"/>
    </row>
    <row r="17" spans="2:12" ht="13.5" customHeight="1" x14ac:dyDescent="0.2">
      <c r="B17" s="1384" t="s">
        <v>1301</v>
      </c>
      <c r="C17" s="1384"/>
      <c r="D17" s="2481"/>
      <c r="E17" s="2481"/>
      <c r="F17" s="2481"/>
      <c r="G17" s="2481"/>
      <c r="H17" s="2481"/>
      <c r="I17" s="2481"/>
      <c r="J17" s="2481"/>
      <c r="K17" s="248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T13" sqref="T13:AA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West Lincoln-Broadwell ESD 92</v>
      </c>
      <c r="C1" s="2459"/>
      <c r="D1" s="2459"/>
      <c r="E1" s="1469"/>
    </row>
    <row r="2" spans="2:5" s="1279" customFormat="1" ht="12.75" customHeight="1" x14ac:dyDescent="0.2">
      <c r="B2" s="2461">
        <f>'Single Audit Cover'!E7</f>
        <v>17054092004</v>
      </c>
      <c r="C2" s="2461"/>
      <c r="D2" s="2461"/>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purl.org/dc/terms/"/>
    <ds:schemaRef ds:uri="http://schemas.microsoft.com/office/2006/metadata/properties"/>
    <ds:schemaRef ds:uri="6ce3111e-7420-4802-b50a-75d4e9a0b980"/>
    <ds:schemaRef ds:uri="http://purl.org/dc/dcmitype/"/>
    <ds:schemaRef ds:uri="http://schemas.microsoft.com/office/infopath/2007/PartnerControls"/>
    <ds:schemaRef ds:uri="http://schemas.microsoft.com/office/2006/documentManagement/types"/>
    <ds:schemaRef ds:uri="d21dc803-237d-4c68-8692-8d731fd29118"/>
    <ds:schemaRef ds:uri="http://schemas.openxmlformats.org/package/2006/metadata/core-properties"/>
    <ds:schemaRef ds:uri="4d435f69-8686-490b-bd6d-b153bf22ab5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BAXTER CHRISTOPHER</cp:lastModifiedBy>
  <cp:lastPrinted>2019-10-29T19:51:22Z</cp:lastPrinted>
  <dcterms:created xsi:type="dcterms:W3CDTF">2003-10-29T19:06:34Z</dcterms:created>
  <dcterms:modified xsi:type="dcterms:W3CDTF">2019-12-02T19:33:42Z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