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F95E826-C114-48D4-B6E1-F0B3F4265ADF}"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B2977" i="106" s="1"/>
  <c r="D2977" i="106" s="1"/>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F19" i="7" l="1"/>
  <c r="B1807" i="106" s="1"/>
  <c r="D1807" i="106" s="1"/>
  <c r="L13" i="11"/>
  <c r="B2060" i="106" s="1"/>
  <c r="D2060" i="106" s="1"/>
  <c r="C342" i="29"/>
  <c r="B7216" i="106" s="1"/>
  <c r="D7216" i="106" s="1"/>
  <c r="L367" i="29"/>
  <c r="J41" i="3"/>
  <c r="C352" i="29"/>
  <c r="K76" i="4"/>
  <c r="B3586" i="106" s="1"/>
  <c r="D3586" i="106" s="1"/>
  <c r="L5" i="11"/>
  <c r="B2056" i="106" s="1"/>
  <c r="D2056" i="106" s="1"/>
  <c r="J352" i="29"/>
  <c r="J367" i="29" s="1"/>
  <c r="B7245" i="106" s="1"/>
  <c r="D7245" i="106" s="1"/>
  <c r="D6103" i="106"/>
  <c r="H365" i="29"/>
  <c r="B7242" i="106" s="1"/>
  <c r="D7242" i="106" s="1"/>
  <c r="B1274" i="106"/>
  <c r="D1274" i="106" s="1"/>
  <c r="G15" i="145"/>
  <c r="I210" i="29"/>
  <c r="B7071" i="106" s="1"/>
  <c r="D7071" i="106" s="1"/>
  <c r="I129" i="29"/>
  <c r="B7037" i="106" s="1"/>
  <c r="D7037" i="106" s="1"/>
  <c r="K184" i="29"/>
  <c r="F13" i="4" s="1"/>
  <c r="B2596" i="106" s="1"/>
  <c r="D2596" i="106" s="1"/>
  <c r="G210" i="29"/>
  <c r="F36" i="34"/>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K342" i="29"/>
  <c r="F13" i="34" s="1"/>
  <c r="L114" i="29"/>
  <c r="B5778" i="106"/>
  <c r="D5778" i="106" s="1"/>
  <c r="G6" i="4"/>
  <c r="B2604" i="106" s="1"/>
  <c r="D2604" i="106" s="1"/>
  <c r="B1365" i="106"/>
  <c r="D1365" i="106" s="1"/>
  <c r="F65" i="34"/>
  <c r="C114" i="29"/>
  <c r="B757" i="106" s="1"/>
  <c r="D757" i="106" s="1"/>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B3575" i="106" s="1"/>
  <c r="D357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K19" i="4"/>
  <c r="B4144" i="106" s="1"/>
  <c r="D4144"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3576" i="106" l="1"/>
  <c r="D3576"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<sst xmlns="http://schemas.openxmlformats.org/spreadsheetml/2006/main" count="5059" uniqueCount="2090">
  <si>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</si>
  <si>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</si>
  <si>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</si>
  <si>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</si>
  <si>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</si>
  <si>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</si>
  <si>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</si>
  <si>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</si>
  <si>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</si>
  <si>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</si>
  <si>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</si>
  <si>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</si>
  <si>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</si>
  <si>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</si>
  <si>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</si>
  <si>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</si>
  <si>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</si>
  <si>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</si>
  <si>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</si>
  <si>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</si>
  <si>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</si>
  <si>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</si>
  <si>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</si>
  <si>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</si>
  <si>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</si>
  <si>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</si>
  <si>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</si>
  <si>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</si>
  <si>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</si>
  <si>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</si>
  <si>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</si>
  <si>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</si>
  <si>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</si>
  <si>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</si>
  <si>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</si>
  <si>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</si>
  <si>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</si>
  <si>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</si>
  <si>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</si>
  <si>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</si>
  <si>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</si>
  <si>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</si>
  <si>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</si>
  <si>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</si>
  <si>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</si>
  <si>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</si>
  <si>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</si>
  <si>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</si>
  <si>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</si>
  <si>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</si>
  <si>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</si>
  <si>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</si>
  <si>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</si>
  <si>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</si>
  <si>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</si>
  <si>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</si>
  <si>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</si>
  <si>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</si>
  <si>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</si>
  <si>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</si>
  <si>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</si>
  <si>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</si>
  <si>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</si>
  <si>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</si>
  <si>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</si>
  <si>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</si>
  <si>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</si>
  <si>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</si>
  <si>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</si>
  <si>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</si>
  <si>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</si>
  <si>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</si>
  <si>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</si>
  <si>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</si>
  <si>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</si>
  <si>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</si>
  <si>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</si>
  <si>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</si>
  <si>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</si>
  <si>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</si>
  <si>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</si>
  <si>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</si>
  <si>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</si>
  <si>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</si>
  <si>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</si>
  <si>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</si>
  <si>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</si>
  <si>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</si>
  <si>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</si>
  <si>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</si>
  <si>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</si>
  <si>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</si>
  <si>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</si>
  <si>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</si>
  <si>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</si>
  <si>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</si>
  <si>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</si>
  <si>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</si>
  <si>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</si>
  <si>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</si>
  <si>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</si>
  <si>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</si>
  <si>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</si>
  <si>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</si>
  <si>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</si>
  <si>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</si>
  <si>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</si>
  <si>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</si>
  <si>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</si>
  <si>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</si>
  <si>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</si>
  <si>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</si>
  <si>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</si>
  <si>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</si>
  <si>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</si>
  <si>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</si>
  <si>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</si>
  <si>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</si>
  <si>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</si>
  <si>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</si>
  <si>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</si>
  <si>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</si>
  <si>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</si>
  <si>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</si>
  <si>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</si>
  <si>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</si>
  <si>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</si>
  <si>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</si>
  <si>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</si>
  <si>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</si>
  <si>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</si>
  <si>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</si>
  <si>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</si>
  <si>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</si>
  <si>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</si>
  <si>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</si>
  <si>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</si>
  <si>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</si>
  <si>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</si>
  <si>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</si>
  <si>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</si>
  <si>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</si>
  <si>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</si>
  <si>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</si>
  <si>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</si>
  <si>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</si>
  <si>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</si>
  <si>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</si>
  <si>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</si>
  <si>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</si>
  <si>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</si>
  <si>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</si>
  <si>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</si>
  <si>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</si>
  <si>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</si>
  <si>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</si>
  <si>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</si>
  <si>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</si>
  <si>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</si>
  <si>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</si>
  <si>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</si>
  <si>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</si>
  <si>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</si>
  <si>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</si>
  <si>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</si>
  <si>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</si>
  <si>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</si>
  <si>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</si>
  <si>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</si>
  <si>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</si>
  <si>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</si>
  <si>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</si>
  <si>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</si>
  <si>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</si>
  <si>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</si>
  <si>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</si>
  <si>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</si>
  <si>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</si>
  <si>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</si>
  <si>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</si>
  <si>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</si>
  <si>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</si>
  <si>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</si>
  <si>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</si>
  <si>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</si>
  <si>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</si>
  <si>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</si>
  <si>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</si>
  <si>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</si>
  <si>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</si>
  <si>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</si>
  <si>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</si>
  <si>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</si>
  <si>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</si>
  <si>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</si>
  <si>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</si>
  <si>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</si>
  <si>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</si>
  <si>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</si>
  <si>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</si>
  <si>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</si>
  <si>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</si>
  <si>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</si>
  <si>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</si>
  <si>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</si>
  <si>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</si>
  <si>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</si>
  <si>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</si>
  <si>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</si>
  <si>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</si>
  <si>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</si>
  <si>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</si>
  <si>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</si>
  <si>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</si>
  <si>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</si>
  <si>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</si>
  <si>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</si>
  <si>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</si>
  <si>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</si>
  <si>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</si>
  <si>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</si>
  <si>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</si>
  <si>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</si>
  <si>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</si>
  <si>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</si>
  <si>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</si>
  <si>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</si>
  <si>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</si>
  <si>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</si>
  <si>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</si>
  <si>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</si>
  <si>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</si>
  <si>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</si>
  <si>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</si>
  <si>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</si>
  <si>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</si>
  <si>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</si>
  <si>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</si>
  <si>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</si>
  <si>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</si>
  <si>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</si>
  <si>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</si>
  <si>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</si>
  <si>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</si>
  <si>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</si>
  <si>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</si>
  <si>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</si>
  <si>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</si>
  <si>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</si>
  <si>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</si>
  <si>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</si>
  <si>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</si>
  <si>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</si>
  <si>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</si>
  <si>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</si>
  <si>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</si>
  <si>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</si>
  <si>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</si>
  <si>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</si>
  <si>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</si>
  <si>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</si>
  <si>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</si>
  <si>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</si>
  <si>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</si>
  <si>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</si>
  <si>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</si>
  <si>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</si>
  <si>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</si>
  <si>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</si>
  <si>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</si>
  <si>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</si>
  <si>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</si>
  <si>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</si>
  <si>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</si>
  <si>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</si>
  <si>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</si>
  <si>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</si>
  <si>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</si>
  <si>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</si>
  <si>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</si>
  <si>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</si>
  <si>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</si>
  <si>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</si>
  <si>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</si>
  <si>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</si>
  <si>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</si>
  <si>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</si>
  <si>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</si>
  <si>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</si>
  <si>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</si>
  <si>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</si>
  <si>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</si>
  <si>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</si>
  <si>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</si>
  <si>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</si>
  <si>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</si>
  <si>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</si>
  <si>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</si>
  <si>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</si>
  <si>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</si>
  <si>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</si>
  <si>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</si>
  <si>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</si>
  <si>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</si>
  <si>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</si>
  <si>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</si>
  <si>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</si>
  <si>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</si>
  <si>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</si>
  <si>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</si>
  <si>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</si>
  <si>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</si>
  <si>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</si>
  <si>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</si>
  <si>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</si>
  <si>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</si>
  <si>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</si>
  <si>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</si>
  <si>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</si>
  <si>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</si>
  <si>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</si>
  <si>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</si>
  <si>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</si>
  <si>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</si>
  <si>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</si>
  <si>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</si>
  <si>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</si>
  <si>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</si>
  <si>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</si>
  <si>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</si>
  <si>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</si>
  <si>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</si>
  <si>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</si>
  <si>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</si>
  <si>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</si>
  <si>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</si>
  <si>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</si>
  <si>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</si>
  <si>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</si>
  <si>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</si>
  <si>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</si>
  <si>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</si>
  <si>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</si>
  <si>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</si>
  <si>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</si>
  <si>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</si>
  <si>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</si>
  <si>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</si>
  <si>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</si>
  <si>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</si>
  <si>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</si>
  <si>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</si>
  <si>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</si>
  <si>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</si>
  <si>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</si>
  <si>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</si>
  <si>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</si>
  <si>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</si>
  <si>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</si>
  <si>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</si>
  <si>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</si>
  <si>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</si>
  <si>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</si>
  <si>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</si>
  <si>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</si>
  <si>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</si>
  <si>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</si>
  <si>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</si>
  <si>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</si>
  <si>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</si>
  <si>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</si>
  <si>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</si>
  <si>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</si>
  <si>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</si>
  <si>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</si>
  <si>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</si>
  <si>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</si>
  <si>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</si>
  <si>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</si>
  <si>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</si>
  <si>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</si>
  <si>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</si>
  <si>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</si>
  <si>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</si>
  <si>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</si>
  <si>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</si>
  <si>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</si>
  <si>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</si>
  <si>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</si>
  <si>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</si>
  <si>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</si>
  <si>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</si>
  <si>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</si>
  <si>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</si>
  <si>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</si>
  <si>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</si>
  <si>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</si>
  <si>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</si>
  <si>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</si>
  <si>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</si>
  <si>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</si>
  <si>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</si>
  <si>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</si>
  <si>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</si>
  <si>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</si>
  <si>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</si>
  <si>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</si>
  <si>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</si>
  <si>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</si>
  <si>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</si>
  <si>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</si>
  <si>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</si>
  <si>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</si>
  <si>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</si>
  <si>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</si>
  <si>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</si>
  <si>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</si>
  <si>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</si>
  <si>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</si>
  <si>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</si>
  <si>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</si>
  <si>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</si>
  <si>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</si>
  <si>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</si>
  <si>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</si>
  <si>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</si>
  <si>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</si>
  <si>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</si>
  <si>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</si>
  <si>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</si>
  <si>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</si>
  <si>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</si>
  <si>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</si>
  <si>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</si>
  <si>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</si>
  <si>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</si>
  <si>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</si>
  <si>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</si>
  <si>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</si>
  <si>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</si>
  <si>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</si>
  <si>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</si>
  <si>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</si>
  <si>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</si>
  <si>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</si>
  <si>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</si>
  <si>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</si>
  <si>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</si>
  <si>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</si>
  <si>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</si>
  <si>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</si>
  <si>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</si>
  <si>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</si>
  <si>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</si>
  <si>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</si>
  <si>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</si>
  <si>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</si>
  <si>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</si>
  <si>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</si>
  <si>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</si>
  <si>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</si>
  <si>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</si>
  <si>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</si>
  <si>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</si>
  <si>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</si>
  <si>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</si>
  <si>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</si>
  <si>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</si>
  <si>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</si>
  <si>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</si>
  <si>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</si>
  <si>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</si>
  <si>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</si>
  <si>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</si>
  <si>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</si>
  <si>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</si>
  <si>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</si>
  <si>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</si>
  <si>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</si>
  <si>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</si>
  <si>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</si>
  <si>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</si>
  <si>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</si>
  <si>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</si>
  <si>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</si>
  <si>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</si>
  <si>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</si>
  <si>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</si>
  <si>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</si>
  <si>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</si>
  <si>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</si>
  <si>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</si>
  <si>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</si>
  <si>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</si>
  <si>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</si>
  <si>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</si>
  <si>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</si>
  <si>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</si>
  <si>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</si>
  <si>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</si>
  <si>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</si>
  <si>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</si>
  <si>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</si>
  <si>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</si>
  <si>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</si>
  <si>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</si>
  <si>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</si>
  <si>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</si>
  <si>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</si>
  <si>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</si>
  <si>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</si>
  <si>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</si>
  <si>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</si>
  <si>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</si>
  <si>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</si>
  <si>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</si>
  <si>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</si>
  <si>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</si>
  <si>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</si>
  <si>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</si>
  <si>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</si>
  <si>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</si>
  <si>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</si>
  <si>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</si>
  <si>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</si>
  <si>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</si>
  <si>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</si>
  <si>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</si>
  <si>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</si>
  <si>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</si>
  <si>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</si>
  <si>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</si>
  <si>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</si>
  <si>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</si>
  <si>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</si>
  <si>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</si>
  <si>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</si>
  <si>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</si>
  <si>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</si>
  <si>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</si>
  <si>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</si>
  <si>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</si>
  <si>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</si>
  <si>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</si>
  <si>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</si>
  <si>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</si>
  <si>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</si>
  <si>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</si>
  <si>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</si>
  <si>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</si>
  <si>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</si>
  <si>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</si>
  <si>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</si>
  <si>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</si>
  <si>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</si>
  <si>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</si>
  <si>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</si>
  <si>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</si>
  <si>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</si>
  <si>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</si>
  <si>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</si>
  <si>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</si>
  <si>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</si>
  <si>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</si>
  <si>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</si>
  <si>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</si>
  <si>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</si>
  <si>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</si>
  <si>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</si>
  <si>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</si>
  <si>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</si>
  <si>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</si>
  <si>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</si>
  <si>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</si>
  <si>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</si>
  <si>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</si>
  <si>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</si>
  <si>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</si>
  <si>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</si>
  <si>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</si>
  <si>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</si>
  <si>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</si>
  <si>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</si>
  <si>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</si>
  <si>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</si>
  <si>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</si>
  <si>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</si>
  <si>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</si>
  <si>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</si>
  <si>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</si>
  <si>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</si>
  <si>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</si>
  <si>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</si>
  <si>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</si>
  <si>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</si>
  <si>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</si>
  <si>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</si>
  <si>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</si>
  <si>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</si>
  <si>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</si>
  <si>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</si>
  <si>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</si>
  <si>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</si>
  <si>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</si>
  <si>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</si>
  <si>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</si>
  <si>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</si>
  <si>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</si>
  <si>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</si>
  <si>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</si>
  <si>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</si>
  <si>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</si>
  <si>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</si>
  <si>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</si>
  <si>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</si>
  <si>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</si>
  <si>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</si>
  <si>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</si>
  <si>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</si>
  <si>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</si>
  <si>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</si>
  <si>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</si>
  <si>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</si>
  <si>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</si>
  <si>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</si>
  <si>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</si>
  <si>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</si>
  <si>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</si>
  <si>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</si>
  <si>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</si>
  <si>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</si>
  <si>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</si>
  <si>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</si>
  <si>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</si>
  <si>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</si>
  <si>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</si>
  <si>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</si>
  <si>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</si>
  <si>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</si>
  <si>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</si>
  <si>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</si>
  <si>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</si>
  <si>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</si>
  <si>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</si>
  <si>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</si>
  <si>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</si>
  <si>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</si>
  <si>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</si>
  <si>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</si>
  <si>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</si>
  <si>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</si>
  <si>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</si>
  <si>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</si>
  <si>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</si>
  <si>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</si>
  <si>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</si>
  <si>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</si>
  <si>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</si>
  <si>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</si>
  <si>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</si>
  <si>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</si>
  <si>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</si>
  <si>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</si>
  <si>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</si>
  <si>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</si>
  <si>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</si>
  <si>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</si>
  <si>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</si>
  <si>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</si>
  <si>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</si>
  <si>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</si>
  <si>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</si>
  <si>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</si>
  <si>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</si>
  <si>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</si>
  <si>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</si>
  <si>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</si>
  <si>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</si>
  <si>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</si>
  <si>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</si>
  <si>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</si>
  <si>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</si>
  <si>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</si>
  <si>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</si>
  <si>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</si>
  <si>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</si>
  <si>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</si>
  <si>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</si>
  <si>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</si>
  <si>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</si>
  <si>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</si>
  <si>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</si>
  <si>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</si>
  <si>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</si>
  <si>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</si>
  <si>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</si>
  <si>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</si>
  <si>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</si>
  <si>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</si>
  <si>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</si>
  <si>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</si>
  <si>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</si>
  <si>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</si>
  <si>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</si>
  <si>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</si>
  <si>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</si>
  <si>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</si>
  <si>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</si>
  <si>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</si>
  <si>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</si>
  <si>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</si>
  <si>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</si>
  <si>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</si>
  <si>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</si>
  <si>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</si>
  <si>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</si>
  <si>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</si>
  <si>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</si>
  <si>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</si>
  <si>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</si>
  <si>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</si>
  <si>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</si>
  <si>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</si>
  <si>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</si>
  <si>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</si>
  <si>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</si>
  <si>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</si>
  <si>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</si>
  <si>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</si>
  <si>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</si>
  <si>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</si>
  <si>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</si>
  <si>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</si>
  <si>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</si>
  <si>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</si>
  <si>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</si>
  <si>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</si>
  <si>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</si>
  <si>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</si>
  <si>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</si>
  <si>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</si>
  <si>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</si>
  <si>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</si>
  <si>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</si>
  <si>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</si>
  <si>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</si>
  <si>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</si>
  <si>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</si>
  <si>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</si>
  <si>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</si>
  <si>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</si>
  <si>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</si>
  <si>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</si>
  <si>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</si>
  <si>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</si>
  <si>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</si>
  <si>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</si>
  <si>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</si>
  <si>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</si>
  <si>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</si>
  <si>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</si>
  <si>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</si>
  <si>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</si>
  <si>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</si>
  <si>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</si>
  <si>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</si>
  <si>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</si>
  <si>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</si>
  <si>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</si>
  <si>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</si>
  <si>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</si>
  <si>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</si>
  <si>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</si>
  <si>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</si>
  <si>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</si>
  <si>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</si>
  <si>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</si>
  <si>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</si>
  <si>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</si>
  <si>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</si>
  <si>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</si>
  <si>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</si>
  <si>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</si>
  <si>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</si>
  <si>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</si>
  <si>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</si>
  <si>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</si>
  <si>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</si>
  <si>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</si>
  <si>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</si>
  <si>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</si>
  <si>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</si>
  <si>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</si>
  <si>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</si>
  <si>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</si>
  <si>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</si>
  <si>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</si>
  <si>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</si>
  <si>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</si>
  <si>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</si>
  <si>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</si>
  <si>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</si>
  <si>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</si>
  <si>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</si>
  <si>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</si>
  <si>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</si>
  <si>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</si>
  <si>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</si>
  <si>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</si>
  <si>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</si>
  <si>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</si>
  <si>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</si>
  <si>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</si>
  <si>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</si>
  <si>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</si>
  <si>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</si>
  <si>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</si>
  <si>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</si>
  <si>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</si>
  <si>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</si>
  <si>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</si>
  <si>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</si>
  <si>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</si>
  <si>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</si>
  <si>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</si>
  <si>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</si>
  <si>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</si>
  <si>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</si>
  <si>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</si>
  <si>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</si>
  <si>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</si>
  <si>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</si>
  <si>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</si>
  <si>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</si>
  <si>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</si>
  <si>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</si>
  <si>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</si>
  <si>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</si>
  <si>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</si>
  <si>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</si>
  <si>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</si>
  <si>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</si>
  <si>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</si>
  <si>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</si>
  <si>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</si>
  <si>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</si>
  <si>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</si>
  <si>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</si>
  <si>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</si>
  <si>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</si>
  <si>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</si>
  <si>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</si>
  <si>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</si>
  <si>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</si>
  <si>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</si>
  <si>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</si>
  <si>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</si>
  <si>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</si>
  <si>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</si>
  <si>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</si>
  <si>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</si>
  <si>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</si>
  <si>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</si>
  <si>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</si>
  <si>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</si>
  <si>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</si>
  <si>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</si>
  <si>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</si>
  <si>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</si>
  <si>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</si>
  <si>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</si>
  <si>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</si>
  <si>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</si>
  <si>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</si>
  <si>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</si>
  <si>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</si>
  <si>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</si>
  <si>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</si>
  <si>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</si>
  <si>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</si>
  <si>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</si>
  <si>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</si>
  <si>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</si>
  <si>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</si>
  <si>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</si>
  <si>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</si>
  <si>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</si>
  <si>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</si>
  <si>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</si>
  <si>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</si>
  <si>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</si>
  <si>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</si>
  <si>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</si>
  <si>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</si>
  <si>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</si>
  <si>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</si>
  <si>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</si>
  <si>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</si>
  <si>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</si>
  <si>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</si>
  <si>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</si>
  <si>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</si>
  <si>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</si>
  <si>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</si>
  <si>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</si>
  <si>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</si>
  <si>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</si>
  <si>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</si>
  <si>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</si>
  <si>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</si>
  <si>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</si>
  <si>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</si>
  <si>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</si>
  <si>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</si>
  <si>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</si>
  <si>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</si>
  <si>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</si>
  <si>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</si>
  <si>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</si>
  <si>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</si>
  <si>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</si>
  <si>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</si>
  <si>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</si>
  <si>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</si>
  <si>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</si>
  <si>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</si>
  <si>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</si>
  <si>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</si>
  <si>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</si>
  <si>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</si>
  <si>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</si>
  <si>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</si>
  <si>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</si>
  <si>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</si>
  <si>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</si>
  <si>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</si>
  <si>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</si>
  <si>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</si>
  <si>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</si>
  <si>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</si>
  <si>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</si>
  <si>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</si>
  <si>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</si>
  <si>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</si>
  <si>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</si>
  <si>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</si>
  <si>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</si>
  <si>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</si>
  <si>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</si>
  <si>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</si>
  <si>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</si>
  <si>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</si>
  <si>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</si>
  <si>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</si>
  <si>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</si>
  <si>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</si>
  <si>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</si>
  <si>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</si>
  <si>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</si>
  <si>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</si>
  <si>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</si>
  <si>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</si>
  <si>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</si>
  <si>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</si>
  <si>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</si>
  <si>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</si>
  <si>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</si>
  <si>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</si>
  <si>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</si>
  <si>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</si>
  <si>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</si>
  <si>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</si>
  <si>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</si>
  <si>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</si>
  <si>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</si>
  <si>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</si>
  <si>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</si>
  <si>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</si>
  <si>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</si>
  <si>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</si>
  <si>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</si>
  <si>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</si>
  <si>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</si>
  <si>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</si>
  <si>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</si>
  <si>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</si>
  <si>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</si>
  <si>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</si>
  <si>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</si>
  <si>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</si>
  <si>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</si>
  <si>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</si>
  <si>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</si>
  <si>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</si>
  <si>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</si>
  <si>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</si>
  <si>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</si>
  <si>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</si>
  <si>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</si>
  <si>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</si>
  <si>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</si>
  <si>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</si>
  <si>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</si>
  <si>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</si>
  <si>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</si>
  <si>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</si>
  <si>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</si>
  <si>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</si>
  <si>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</si>
  <si>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</si>
  <si>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</si>
  <si>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</si>
  <si>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</si>
  <si>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</si>
  <si>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</si>
  <si>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</si>
  <si>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</si>
  <si>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</si>
  <si>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</si>
  <si>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</si>
  <si>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</si>
  <si>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</si>
  <si>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</si>
  <si>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</si>
  <si>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</si>
  <si>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</si>
  <si>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</si>
  <si>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</si>
  <si>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</si>
  <si>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</si>
  <si>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</si>
  <si>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</si>
  <si>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</si>
  <si>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</si>
  <si>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</si>
  <si>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</si>
  <si>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</si>
  <si>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</si>
  <si>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</si>
  <si>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</si>
  <si>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</si>
  <si>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</si>
  <si>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</si>
  <si>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</si>
  <si>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</si>
  <si>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</si>
  <si>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</si>
  <si>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</si>
  <si>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</si>
  <si>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</si>
  <si>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</si>
  <si>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</si>
  <si>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</si>
  <si>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</si>
  <si>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</si>
  <si>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</si>
  <si>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</si>
  <si>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</si>
  <si>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</si>
  <si>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</si>
  <si>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</si>
  <si>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</si>
  <si>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</si>
  <si>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</si>
  <si>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</si>
  <si>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</si>
  <si>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</si>
  <si>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</si>
  <si>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</si>
  <si>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</si>
  <si>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</si>
  <si>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</si>
  <si>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</si>
  <si>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</si>
  <si>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</si>
  <si>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</si>
  <si>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</si>
  <si>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</si>
  <si>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</si>
  <si>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</si>
  <si>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</si>
  <si>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</si>
  <si>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</si>
  <si>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</si>
  <si>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</si>
  <si>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</si>
  <si>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</si>
  <si>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</si>
  <si>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</si>
  <si>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</si>
  <si>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</si>
  <si>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</si>
  <si>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</si>
  <si>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</si>
  <si>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</si>
  <si>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</si>
  <si>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</si>
  <si>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</si>
  <si>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</si>
  <si>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</si>
  <si>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</si>
  <si>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</si>
  <si>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</si>
  <si>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</si>
  <si>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</si>
  <si>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</si>
  <si>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</si>
  <si>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</si>
  <si>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</si>
  <si>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</si>
  <si>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</si>
  <si>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</si>
  <si>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</si>
  <si>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</si>
  <si>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</si>
  <si>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</si>
  <si>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</si>
  <si>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</si>
  <si>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</si>
  <si>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</si>
  <si>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</si>
  <si>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</si>
  <si>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</si>
  <si>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</si>
  <si>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</si>
  <si>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</si>
  <si>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</si>
  <si>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</si>
  <si>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</si>
  <si>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</si>
  <si>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</si>
  <si>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</si>
  <si>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</si>
  <si>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</si>
  <si>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</si>
  <si>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</si>
  <si>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</si>
  <si>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</si>
  <si>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</si>
  <si>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</si>
  <si>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</si>
  <si>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</si>
  <si>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</si>
  <si>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</si>
  <si>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</si>
  <si>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</si>
  <si>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</si>
  <si>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</si>
  <si>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</si>
  <si>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</si>
  <si>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</si>
  <si>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</si>
  <si>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</si>
  <si>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</si>
  <si>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</si>
  <si>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</si>
  <si>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</si>
  <si>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</si>
  <si>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</si>
  <si>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</si>
  <si>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</si>
  <si>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</si>
  <si>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</si>
  <si>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</si>
  <si>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</si>
  <si>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</si>
  <si>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</si>
  <si>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</si>
  <si>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</si>
  <si>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</si>
  <si>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</si>
  <si>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</si>
  <si>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</si>
  <si>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</si>
  <si>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</si>
  <si>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</si>
  <si>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</si>
  <si>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</si>
  <si>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</si>
  <si>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</si>
  <si>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</si>
  <si>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</si>
  <si>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</si>
  <si>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</si>
  <si>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</si>
  <si>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</si>
  <si>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</si>
  <si>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</si>
  <si>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</si>
  <si>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</si>
  <si>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</si>
  <si>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</si>
  <si>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</si>
  <si>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</si>
  <si>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</si>
  <si>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</si>
  <si>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</si>
  <si>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</si>
  <si>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</si>
  <si>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</si>
  <si>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</si>
  <si>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</si>
  <si>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</si>
  <si>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</si>
  <si>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</si>
  <si>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</si>
  <si>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</si>
  <si>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</si>
  <si>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</si>
  <si>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</si>
  <si>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</si>
  <si>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</si>
  <si>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</si>
  <si>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</si>
  <si>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</si>
  <si>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</si>
  <si>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</si>
  <si>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</si>
  <si>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</si>
  <si>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</si>
  <si>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</si>
  <si>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</si>
  <si>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</si>
  <si>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</si>
  <si>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</si>
  <si>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</si>
  <si>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</si>
  <si>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</si>
  <si>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</si>
  <si>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</si>
  <si>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</si>
  <si>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</si>
  <si>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</si>
  <si>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</si>
  <si>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</si>
  <si>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</si>
  <si>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</si>
  <si>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</si>
  <si>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</si>
  <si>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</si>
  <si>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</si>
  <si>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</si>
  <si>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</si>
  <si>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</si>
  <si>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</si>
  <si>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</si>
  <si>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</si>
  <si>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</si>
  <si>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</si>
  <si>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</si>
  <si>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</si>
  <si>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</si>
  <si>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</si>
  <si>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</si>
  <si>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</si>
  <si>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</si>
  <si>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</si>
  <si>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</si>
  <si>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</si>
  <si>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</si>
  <si>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</si>
  <si>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</si>
  <si>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</si>
  <si>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</si>
  <si>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</si>
  <si>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</si>
  <si>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</si>
  <si>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</si>
  <si>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</si>
  <si>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</si>
  <si>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</si>
  <si>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</si>
  <si>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</si>
  <si>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</si>
  <si>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</si>
  <si>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</si>
  <si>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</si>
  <si>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</si>
  <si>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</si>
  <si>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</si>
  <si>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</si>
  <si>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</si>
  <si>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</si>
  <si>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</si>
  <si>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</si>
  <si>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</si>
  <si>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</si>
  <si>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</si>
  <si>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</si>
  <si>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</si>
  <si>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</si>
  <si>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</si>
  <si>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</si>
  <si>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</si>
  <si>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</si>
  <si>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</si>
  <si>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</si>
  <si>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</si>
  <si>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</si>
  <si>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</si>
  <si>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</si>
  <si>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</si>
  <si>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</si>
  <si>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</si>
  <si>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</si>
  <si>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</si>
  <si>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</si>
  <si>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</si>
  <si>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</si>
  <si>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</si>
  <si>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</si>
  <si>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</si>
  <si>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</si>
  <si>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</si>
  <si>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</si>
  <si>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</si>
  <si>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</si>
  <si>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</si>
  <si>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</si>
  <si>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</si>
  <si>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</si>
  <si>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</si>
  <si>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</si>
  <si>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</si>
  <si>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</si>
  <si>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</si>
  <si>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</si>
  <si>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</si>
  <si>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</si>
  <si>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</si>
  <si>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</si>
  <si>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</si>
  <si>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</si>
  <si>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</si>
  <si>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</si>
  <si>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</si>
  <si>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</si>
  <si>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</si>
  <si>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</si>
  <si>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</si>
  <si>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</si>
  <si>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</si>
  <si>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</si>
  <si>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</si>
  <si>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</si>
  <si>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</si>
  <si>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</si>
  <si>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</si>
  <si>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</si>
  <si>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</si>
  <si>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</si>
  <si>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</si>
  <si>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</si>
  <si>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</si>
  <si>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</si>
  <si>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</si>
  <si>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</si>
  <si>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</si>
  <si>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</si>
  <si>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</si>
  <si>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</si>
  <si>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</si>
  <si>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</si>
  <si>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</si>
  <si>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</si>
  <si>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</si>
  <si>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</si>
  <si>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</si>
  <si>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</si>
  <si>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</si>
  <si>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</si>
  <si>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</si>
  <si>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</si>
  <si>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</si>
  <si>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</si>
  <si>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</si>
  <si>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</si>
  <si>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</si>
  <si>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</si>
  <si>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</si>
  <si>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</si>
  <si>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</si>
  <si>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</si>
  <si>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</si>
  <si>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</si>
  <si>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</si>
  <si>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</si>
  <si>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</si>
  <si>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</si>
  <si>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</si>
  <si>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</si>
  <si>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</si>
  <si>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</si>
  <si>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</si>
  <si>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</si>
  <si>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</si>
  <si>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</si>
  <si>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</si>
  <si>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</si>
  <si>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</si>
  <si>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</si>
  <si>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</si>
  <si>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</si>
  <si>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</si>
  <si>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</si>
  <si>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</si>
  <si>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</si>
  <si>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</si>
  <si>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</si>
  <si>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</si>
  <si>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</si>
  <si>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</si>
  <si>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</si>
  <si>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</si>
  <si>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</si>
  <si>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</si>
  <si>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</si>
  <si>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</si>
  <si>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</si>
  <si>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</si>
  <si>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</si>
  <si>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</si>
  <si>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</si>
  <si>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</si>
  <si>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</si>
  <si>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</si>
  <si>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</si>
  <si>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</si>
  <si>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</si>
  <si>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</si>
  <si>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</si>
  <si>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</si>
  <si>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</si>
  <si>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</si>
  <si>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</si>
  <si>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</si>
  <si>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</si>
  <si>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</si>
  <si>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</si>
  <si>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</si>
  <si>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</si>
  <si>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</si>
  <si>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</si>
  <si>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</si>
  <si>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</si>
  <si>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</si>
  <si>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</si>
  <si>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</si>
  <si>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</si>
  <si>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</si>
  <si>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</si>
  <si>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</si>
  <si>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</si>
  <si>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</si>
  <si>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</si>
  <si>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</si>
  <si>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</si>
  <si>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</si>
  <si>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</si>
  <si>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</si>
  <si>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</si>
  <si>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</si>
  <si>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</si>
  <si>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</si>
  <si>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</si>
  <si>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</si>
  <si>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</si>
  <si>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</si>
  <si>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</si>
  <si>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</si>
  <si>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</si>
  <si>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</si>
  <si>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</si>
  <si>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</si>
  <si>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</si>
  <si>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</si>
  <si>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</si>
  <si>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</si>
  <si>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</si>
  <si>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</si>
  <si>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</si>
  <si>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</si>
  <si>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</si>
  <si>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</si>
  <si>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</si>
  <si>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</si>
  <si>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</si>
  <si>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</si>
  <si>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</si>
  <si>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</si>
  <si>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</si>
  <si>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</si>
  <si>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</si>
  <si>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</si>
  <si>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</si>
  <si>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</si>
  <si>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</si>
  <si>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</si>
  <si>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</si>
  <si>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</si>
  <si>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</si>
  <si>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</si>
  <si>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</si>
  <si>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</si>
  <si>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</si>
  <si>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</si>
  <si>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</si>
  <si>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</si>
  <si>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</si>
  <si>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</si>
  <si>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</si>
  <si>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</si>
  <si>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</si>
  <si>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</si>
  <si>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</si>
  <si>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</si>
  <si>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</si>
  <si>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</si>
  <si>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</si>
  <si>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</si>
  <si>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</si>
  <si>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</si>
  <si>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</si>
  <si>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</si>
  <si>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</si>
  <si>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</si>
  <si>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</si>
  <si>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</si>
  <si>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</si>
  <si>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</si>
  <si>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</si>
  <si>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</si>
  <si>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</si>
  <si>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</si>
  <si>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</si>
  <si>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</si>
  <si>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</si>
  <si>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</si>
  <si>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</si>
  <si>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</si>
  <si>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</si>
  <si>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</si>
  <si>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</si>
  <si>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</si>
  <si>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</si>
  <si>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</si>
  <si>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</si>
  <si>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</si>
  <si>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</si>
  <si>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</si>
  <si>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</si>
  <si>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</si>
  <si>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</si>
  <si>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</si>
  <si>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</si>
  <si>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</si>
  <si>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</si>
  <si>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</si>
  <si>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</si>
  <si>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</si>
  <si>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</si>
  <si>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</si>
  <si>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</si>
  <si>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</si>
  <si>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</si>
  <si>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</si>
  <si>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</si>
  <si>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</si>
  <si>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</si>
  <si>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</si>
  <si>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</si>
  <si>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</si>
  <si>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</si>
  <si>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</si>
  <si>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</si>
  <si>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</si>
  <si>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</si>
  <si>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</si>
  <si>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</si>
  <si>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</si>
  <si>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</si>
  <si>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</si>
  <si>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</si>
  <si>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</si>
  <si>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</si>
  <si>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</si>
  <si>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</si>
  <si>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</si>
  <si>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</si>
  <si>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</si>
  <si>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</si>
  <si>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</si>
  <si>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</si>
  <si>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</si>
  <si>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</si>
  <si>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</si>
  <si>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</si>
  <si>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</si>
  <si>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</si>
  <si>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</si>
  <si>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</si>
  <si>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</si>
  <si>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</si>
  <si>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</si>
  <si>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</si>
  <si>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</si>
  <si>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</si>
  <si>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</si>
  <si>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</si>
  <si>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</si>
  <si>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</si>
  <si>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</si>
  <si>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</si>
  <si>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</si>
  <si>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</si>
  <si>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</si>
  <si>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</si>
  <si>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</si>
  <si>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</si>
  <si>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</si>
  <si>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</si>
  <si>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</si>
  <si>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</si>
  <si>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</si>
  <si>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</si>
  <si>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</si>
  <si>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</si>
  <si>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</si>
  <si>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</si>
  <si>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</si>
  <si>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</si>
  <si>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</si>
  <si>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</si>
  <si>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</si>
  <si>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</si>
  <si>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</si>
  <si>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</si>
  <si>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</si>
  <si>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</si>
  <si>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</si>
  <si>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</si>
  <si>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</si>
  <si>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</si>
  <si>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</si>
  <si>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</si>
  <si>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</si>
  <si>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</si>
  <si>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</si>
  <si>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</si>
  <si>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</si>
  <si>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</si>
  <si>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</si>
  <si>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</si>
  <si>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</si>
  <si>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</si>
  <si>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</si>
  <si>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</si>
  <si>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</si>
  <si>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</si>
  <si>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</si>
  <si>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</si>
  <si>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</si>
  <si>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</si>
  <si>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</si>
  <si>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</si>
  <si>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</si>
  <si>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</si>
  <si>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</si>
  <si>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</si>
  <si>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</si>
  <si>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</si>
  <si>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</si>
  <si>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</si>
  <si>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</si>
  <si>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</si>
  <si>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</si>
  <si>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</si>
  <si>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</si>
  <si>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</si>
  <si>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</si>
  <si>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</si>
  <si>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</si>
  <si>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</si>
  <si>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</si>
  <si>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</si>
  <si>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</si>
  <si>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</si>
  <si>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</si>
  <si>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</si>
  <si>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</si>
  <si>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</si>
  <si>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</si>
  <si>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</si>
  <si>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</si>
  <si>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</si>
  <si>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</si>
  <si>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</si>
  <si>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</si>
  <si>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</si>
  <si>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</si>
  <si>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</si>
  <si>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</si>
  <si>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</si>
  <si>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</si>
  <si>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</si>
  <si>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</si>
  <si>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</si>
  <si>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</si>
  <si>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</si>
  <si>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</si>
  <si>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</si>
  <si>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</si>
  <si>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</si>
  <si>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</si>
  <si>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</si>
  <si>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</si>
  <si>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</si>
  <si>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</si>
  <si>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</si>
  <si>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</si>
  <si>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</si>
  <si>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</si>
  <si>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</si>
  <si>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</si>
  <si>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</si>
  <si>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</si>
  <si>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</si>
  <si>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</si>
  <si>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</si>
  <si>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</si>
  <si>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</si>
  <si>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</si>
  <si>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</si>
  <si>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</si>
  <si>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</si>
  <si>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</si>
  <si>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</si>
  <si>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</si>
  <si>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</si>
  <si>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</si>
  <si>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</si>
  <si>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</si>
  <si>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</si>
  <si>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</si>
  <si>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</si>
  <si>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</si>
  <si>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</si>
  <si>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</si>
  <si>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</si>
  <si>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</si>
  <si>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</si>
  <si>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</si>
  <si>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</si>
  <si>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</si>
  <si>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</si>
  <si>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</si>
  <si>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</si>
  <si>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</si>
  <si>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</si>
  <si>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</si>
  <si>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</si>
  <si>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</si>
  <si>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</si>
  <si>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</si>
  <si>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</si>
  <si>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</si>
  <si>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</si>
  <si>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</si>
  <si>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</si>
  <si>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</si>
  <si>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</si>
  <si>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</si>
  <si>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</si>
  <si>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</si>
  <si>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</si>
  <si>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</si>
  <si>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</si>
  <si>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</si>
  <si>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</si>
  <si>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</si>
  <si>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</si>
  <si>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</si>
  <si>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</si>
  <si>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</si>
  <si>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</si>
  <si>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</si>
  <si>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</si>
  <si>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</si>
  <si>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</si>
  <si>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</si>
  <si>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</si>
  <si>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</si>
  <si>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</si>
  <si>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</si>
  <si>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</si>
  <si>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</si>
  <si>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</si>
  <si>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</si>
  <si>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</si>
  <si>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</si>
  <si>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</si>
  <si>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</si>
  <si>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</si>
  <si>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</si>
  <si>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</si>
  <si>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</si>
  <si>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</si>
  <si>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</si>
  <si>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</si>
  <si>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</si>
  <si>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</si>
  <si>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</si>
  <si>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</si>
  <si>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</si>
  <si>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</si>
  <si>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</si>
  <si>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</si>
  <si>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</si>
  <si>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</si>
  <si>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</si>
  <si>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</si>
  <si>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</si>
  <si>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</si>
  <si>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</si>
  <si>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</si>
  <si>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</si>
  <si>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</si>
  <si>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</si>
  <si>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</si>
  <si>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</si>
  <si>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</si>
  <si>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</si>
  <si>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</si>
  <si>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</si>
  <si>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</si>
  <si>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</si>
  <si>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</si>
  <si>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</si>
  <si>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</si>
  <si>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</si>
  <si>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</si>
  <si>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</si>
  <si>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</si>
  <si>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</si>
  <si>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</si>
  <si>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</si>
  <si>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</si>
  <si>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</si>
  <si>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</si>
  <si>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</si>
  <si>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</si>
  <si>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</si>
  <si>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</si>
  <si>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</si>
  <si>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</si>
  <si>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</si>
  <si>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</si>
  <si>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</si>
  <si>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</si>
  <si>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</si>
  <si>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</si>
  <si>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</si>
  <si>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</si>
  <si>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</si>
  <si>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</si>
  <si>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</si>
  <si>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</si>
  <si>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</si>
  <si>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</si>
  <si>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</si>
  <si>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</si>
  <si>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</si>
  <si>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</si>
  <si>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</si>
  <si>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</si>
  <si>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</si>
  <si>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</si>
  <si>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</si>
  <si>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</si>
  <si>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</si>
  <si>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</si>
  <si>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</si>
  <si>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</si>
  <si>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</si>
  <si>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</si>
  <si>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</si>
  <si>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</si>
  <si>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</si>
  <si>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</si>
  <si>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</si>
  <si>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</si>
  <si>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</si>
  <si>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</si>
  <si>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</si>
  <si>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</si>
  <si>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</si>
  <si>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</si>
  <si>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</si>
  <si>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</si>
  <si>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</si>
  <si>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</si>
  <si>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</si>
  <si>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</si>
  <si>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</si>
  <si>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</si>
  <si>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</si>
  <si>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</si>
  <si>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</si>
  <si>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</si>
  <si>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</si>
  <si>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</si>
  <si>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</si>
  <si>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</si>
  <si>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</si>
  <si>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</si>
  <si>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</si>
  <si>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</si>
  <si>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</si>
  <si>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</si>
  <si>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</si>
  <si>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</si>
  <si>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</si>
  <si>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</si>
  <si>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</si>
  <si>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</si>
  <si>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</si>
  <si>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</si>
  <si>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</si>
  <si>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</si>
  <si>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</si>
  <si>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</si>
  <si>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</si>
  <si>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</si>
  <si>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</si>
  <si>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</si>
  <si>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</si>
  <si>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</si>
  <si>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</si>
  <si>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</si>
  <si>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</si>
  <si>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</si>
  <si>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</si>
  <si>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</si>
  <si>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</si>
  <si>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</si>
  <si>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</si>
  <si>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</si>
  <si>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</si>
  <si>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</si>
  <si>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</si>
  <si>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</si>
  <si>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</si>
  <si>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</si>
  <si>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</si>
  <si>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</si>
  <si>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</si>
  <si>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</si>
  <si>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</si>
  <si>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</si>
  <si>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</si>
  <si>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</si>
  <si>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</si>
  <si>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</si>
  <si>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</si>
  <si>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</si>
  <si>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</si>
  <si>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</si>
  <si>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</si>
  <si>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</si>
  <si>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</si>
  <si>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</si>
  <si>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</si>
  <si>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</si>
  <si>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</si>
  <si>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</si>
  <si>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</si>
  <si>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</si>
  <si>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</si>
  <si>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</si>
  <si>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</si>
  <si>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</si>
  <si>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</si>
  <si>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</si>
  <si>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</si>
  <si>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</si>
  <si>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</si>
  <si>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</si>
  <si>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</si>
  <si>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</si>
  <si>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</si>
  <si>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</si>
  <si>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</si>
  <si>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</si>
  <si>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</si>
  <si>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</si>
  <si>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</si>
  <si>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</si>
  <si>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</si>
  <si>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</si>
  <si>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</si>
  <si>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</si>
  <si>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</si>
  <si>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</si>
  <si>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</si>
  <si>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</si>
  <si>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</si>
  <si>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</si>
  <si>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</si>
  <si>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</si>
  <si>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</si>
  <si>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</si>
  <si>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</si>
  <si>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</si>
  <si>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</si>
  <si>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</si>
  <si>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</si>
  <si>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</si>
  <si>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</si>
  <si>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</si>
  <si>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</si>
  <si>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</si>
  <si>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</si>
  <si>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</si>
  <si>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</si>
  <si>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</si>
  <si>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</si>
  <si>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</si>
  <si>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</si>
  <si>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</si>
  <si>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</si>
  <si>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</si>
  <si>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</si>
  <si>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</si>
  <si>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</si>
  <si>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</si>
  <si>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</si>
  <si>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</si>
  <si>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</si>
  <si>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</si>
  <si>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</si>
  <si>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</si>
  <si>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</si>
  <si>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</si>
  <si>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</si>
  <si>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</si>
  <si>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</si>
  <si>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</si>
  <si>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</si>
  <si>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</si>
  <si>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</si>
  <si>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</si>
  <si>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</si>
  <si>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</si>
  <si>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</si>
  <si>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</si>
  <si>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</si>
  <si>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</si>
  <si>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</si>
  <si>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</si>
  <si>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</si>
  <si>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</si>
  <si>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</si>
  <si>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</si>
  <si>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</si>
  <si>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</si>
  <si>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Middletown</t>
  </si>
  <si>
    <t>Marc Campbell</t>
  </si>
  <si>
    <t>mcampbell@nhm88.com</t>
  </si>
  <si>
    <t>75 1250th Street</t>
  </si>
  <si>
    <t>62666-9701</t>
  </si>
  <si>
    <t>mcampbell@nhm88,com</t>
  </si>
  <si>
    <t>Logan</t>
  </si>
  <si>
    <t>Pamela J. Simpson</t>
  </si>
  <si>
    <t>Pamela J. Simpson, CPA</t>
  </si>
  <si>
    <t>920 West Pershing Road</t>
  </si>
  <si>
    <t>Decatur</t>
  </si>
  <si>
    <t>IL</t>
  </si>
  <si>
    <t>065-015457</t>
  </si>
  <si>
    <t>pjscpa31a@aol.com</t>
  </si>
  <si>
    <t>General Obligation School Bond Services</t>
  </si>
  <si>
    <t>Marc Campbell, Superintendent</t>
  </si>
  <si>
    <t>(217) 445-2421</t>
  </si>
  <si>
    <t>ED-Food Services-Supplies-Materials</t>
  </si>
  <si>
    <t>10-2560-400</t>
  </si>
  <si>
    <t>Lincoln High School</t>
  </si>
  <si>
    <t>30-5400-600   Agent/Bond register fee $500</t>
  </si>
  <si>
    <t>10-1999            Refunds from IRS for 941 - 4th quarter 2018     $130</t>
  </si>
  <si>
    <t>10-1999            Refunds from vendors for overpayments         $172</t>
  </si>
  <si>
    <t>#5 - District used IMRF funds to pay non-IMRF expenditures in prior year and deficit remains.                                                                                                                                     #23 - District does not maintain detailed depreciation schedules.</t>
  </si>
  <si>
    <t>New Holland-Middletown ED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</si>
</sst>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2" t="s">
        <v>405</v>
      </c>
      <c r="J1" s="1983"/>
      <c r="K1" s="1983"/>
      <c r="L1" s="1983"/>
      <c r="M1" s="1983"/>
      <c r="N1" s="1983"/>
      <c r="O1" s="1983"/>
      <c r="P1" s="1983"/>
      <c r="Q1" s="1983"/>
      <c r="R1" s="1983"/>
      <c r="S1" s="1983"/>
    </row>
    <row r="2" spans="1:28" ht="12" customHeight="1" x14ac:dyDescent="0.2">
      <c r="A2" s="47" t="s">
        <v>1993</v>
      </c>
      <c r="D2" s="48"/>
      <c r="I2" s="1984" t="s">
        <v>979</v>
      </c>
      <c r="J2" s="1983"/>
      <c r="K2" s="1983"/>
      <c r="L2" s="1983"/>
      <c r="M2" s="1983"/>
      <c r="N2" s="1983"/>
      <c r="O2" s="1983"/>
      <c r="P2" s="1983"/>
      <c r="Q2" s="1983"/>
      <c r="R2" s="1983"/>
      <c r="S2" s="1983"/>
    </row>
    <row r="3" spans="1:28" ht="12" customHeight="1" x14ac:dyDescent="0.2">
      <c r="A3" s="155" t="s">
        <v>1945</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2064</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2064</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17054088002</v>
      </c>
      <c r="B13" s="2018"/>
      <c r="C13" s="2018"/>
      <c r="D13" s="2018"/>
      <c r="E13" s="2018"/>
      <c r="F13" s="2018"/>
      <c r="G13" s="2018"/>
      <c r="H13" s="2019"/>
      <c r="I13" s="31"/>
      <c r="J13" s="30"/>
      <c r="K13" s="28"/>
      <c r="L13" s="30"/>
      <c r="M13" s="30"/>
      <c r="N13" s="30"/>
      <c r="O13" s="30"/>
      <c r="P13" s="30"/>
      <c r="Q13" s="30"/>
      <c r="R13" s="30"/>
      <c r="S13" s="30"/>
      <c r="T13" s="2022" t="s">
        <v>2073</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2071</v>
      </c>
      <c r="B15" s="2020"/>
      <c r="C15" s="2020"/>
      <c r="D15" s="2020"/>
      <c r="E15" s="2020"/>
      <c r="F15" s="2020"/>
      <c r="G15" s="2020"/>
      <c r="H15" s="2021"/>
      <c r="T15" s="2026" t="s">
        <v>2072</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2089</v>
      </c>
      <c r="B17" s="1977"/>
      <c r="C17" s="1977"/>
      <c r="D17" s="1977"/>
      <c r="E17" s="1977"/>
      <c r="F17" s="1977"/>
      <c r="G17" s="1977"/>
      <c r="H17" s="2002"/>
      <c r="T17" s="2033" t="s">
        <v>2074</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2068</v>
      </c>
      <c r="B19" s="1962"/>
      <c r="C19" s="1962"/>
      <c r="D19" s="1962"/>
      <c r="E19" s="1962"/>
      <c r="F19" s="1962"/>
      <c r="G19" s="1962"/>
      <c r="H19" s="1942"/>
      <c r="I19" s="30"/>
      <c r="J19" s="99"/>
      <c r="K19" s="40"/>
      <c r="L19" s="38"/>
      <c r="M19" s="112" t="s">
        <v>315</v>
      </c>
      <c r="P19" s="27"/>
      <c r="Q19" s="27"/>
      <c r="R19" s="27"/>
      <c r="S19" s="31"/>
      <c r="T19" s="2016" t="s">
        <v>2075</v>
      </c>
      <c r="U19" s="1941"/>
      <c r="V19" s="1941"/>
      <c r="W19" s="1942"/>
      <c r="X19" s="2031" t="s">
        <v>2076</v>
      </c>
      <c r="Y19" s="2032"/>
      <c r="Z19" s="2029">
        <v>62526</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2065</v>
      </c>
      <c r="B21" s="1941"/>
      <c r="C21" s="1941"/>
      <c r="D21" s="1941"/>
      <c r="E21" s="1941"/>
      <c r="F21" s="1941"/>
      <c r="G21" s="1941"/>
      <c r="H21" s="1942"/>
      <c r="I21" s="1996" t="s">
        <v>678</v>
      </c>
      <c r="J21" s="1991"/>
      <c r="K21" s="1991"/>
      <c r="L21" s="1991"/>
      <c r="M21" s="1991"/>
      <c r="N21" s="1991"/>
      <c r="O21" s="1991"/>
      <c r="P21" s="1991"/>
      <c r="Q21" s="1991"/>
      <c r="R21" s="1991"/>
      <c r="S21" s="1997"/>
      <c r="T21" s="2040">
        <v>2178721908</v>
      </c>
      <c r="U21" s="2041"/>
      <c r="V21" s="2041"/>
      <c r="W21" s="2041"/>
      <c r="X21" s="2046">
        <v>2178721911</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2070</v>
      </c>
      <c r="B23" s="1994"/>
      <c r="C23" s="1994"/>
      <c r="D23" s="1994"/>
      <c r="E23" s="1994"/>
      <c r="F23" s="1994"/>
      <c r="G23" s="1994"/>
      <c r="H23" s="1995"/>
      <c r="T23" s="1976" t="s">
        <v>2077</v>
      </c>
      <c r="U23" s="2039"/>
      <c r="V23" s="2039"/>
      <c r="W23" s="2039"/>
      <c r="X23" s="2043">
        <v>44469</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t="s">
        <v>2069</v>
      </c>
      <c r="B25" s="1941"/>
      <c r="C25" s="1941"/>
      <c r="D25" s="1941"/>
      <c r="E25" s="1941"/>
      <c r="F25" s="1941"/>
      <c r="G25" s="1941"/>
      <c r="H25" s="1942"/>
      <c r="I25" s="113"/>
      <c r="J25" s="1965"/>
      <c r="K25" s="1965"/>
      <c r="L25" s="1965"/>
      <c r="M25" s="1965"/>
      <c r="N25" s="1965"/>
      <c r="O25" s="1965"/>
      <c r="P25" s="1965"/>
      <c r="Q25" s="1965"/>
      <c r="R25" s="1965"/>
      <c r="S25" s="1966"/>
      <c r="T25" s="2036" t="s">
        <v>2078</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2066</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2067</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v>2174452421</v>
      </c>
      <c r="B42" s="1960"/>
      <c r="C42" s="1961"/>
      <c r="D42" s="1959">
        <v>2174452632</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42" sqref="I42:O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I42" sqref="I42:O4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t="s">
        <v>2064</v>
      </c>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2088</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2073</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I42" sqref="I42:O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33797938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2.5652500000000002E-2</v>
      </c>
      <c r="E10" s="356" t="s">
        <v>1005</v>
      </c>
      <c r="F10" s="355">
        <v>5.2665999999999998E-3</v>
      </c>
      <c r="G10" s="356" t="s">
        <v>1005</v>
      </c>
      <c r="H10" s="355">
        <v>1.0947999999999999E-3</v>
      </c>
      <c r="I10" s="356" t="s">
        <v>1006</v>
      </c>
      <c r="J10" s="1732">
        <f>ROUND(D10+F10+H10,5)</f>
        <v>3.2009999999999997E-2</v>
      </c>
      <c r="K10" s="222"/>
      <c r="L10" s="355">
        <v>4.2910000000000002E-4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1533900</v>
      </c>
      <c r="E16" s="356"/>
      <c r="F16" s="1733">
        <f>SUM('Acct Summary 7-8'!C17,'Acct Summary 7-8'!D17,'Acct Summary 7-8'!F17)</f>
        <v>1298760</v>
      </c>
      <c r="G16" s="356"/>
      <c r="H16" s="1733">
        <f>SUM(D16-F16)</f>
        <v>235140</v>
      </c>
      <c r="I16" s="222"/>
      <c r="J16" s="1733">
        <f>SUM('Acct Summary 7-8'!C81,'Acct Summary 7-8'!D81,'Acct Summary 7-8'!F81,'Acct Summary 7-8'!I81)</f>
        <v>2271489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2332057.7220000001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274000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I42" sqref="I42:O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New Holland-Middletown ED 88</v>
      </c>
      <c r="E7" s="391"/>
      <c r="G7" s="252"/>
      <c r="H7" s="387"/>
      <c r="I7" s="387"/>
      <c r="J7" s="387"/>
      <c r="K7" s="387"/>
      <c r="L7" s="329"/>
      <c r="M7" s="329"/>
      <c r="N7" s="329"/>
      <c r="O7" s="329"/>
      <c r="P7" s="329"/>
    </row>
    <row r="8" spans="1:18" ht="12.75" x14ac:dyDescent="0.2">
      <c r="A8" s="329"/>
      <c r="B8" s="329"/>
      <c r="C8" s="389" t="s">
        <v>1125</v>
      </c>
      <c r="D8" s="392">
        <f>COVER!A13</f>
        <v>17054088002</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2271489</v>
      </c>
      <c r="I12" s="404"/>
      <c r="J12" s="404"/>
      <c r="K12" s="405">
        <f>TRUNC((H12/H13*100000),5)/100000</f>
        <v>1.4808585957</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1533900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1298760</v>
      </c>
      <c r="I17" s="404"/>
      <c r="J17" s="416"/>
      <c r="K17" s="405">
        <f>TRUNC((H17/H18*100000),5)/100000</f>
        <v>0.84670447869999999</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1533900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2271489</v>
      </c>
      <c r="I24" s="422"/>
      <c r="J24" s="422"/>
      <c r="K24" s="423">
        <f>TRUNC(((H24/H25*100000)/100000),2)</f>
        <v>629.62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3607.6666700000001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919591.19606999995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274000</v>
      </c>
      <c r="I32" s="420"/>
      <c r="J32" s="420"/>
      <c r="K32" s="423">
        <f>TRUNC(100-((((H32/H33*100))*100)/100),2)</f>
        <v>88.25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2332057.7220000001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6" activePane="bottomLeft" state="frozen"/>
      <selection activeCell="I42" sqref="I42:O42"/>
      <selection pane="bottomLeft" activeCell="I42" sqref="I42:O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1005939</v>
      </c>
      <c r="D4" s="466">
        <v>642155</v>
      </c>
      <c r="E4" s="466"/>
      <c r="F4" s="466">
        <v>33589</v>
      </c>
      <c r="G4" s="466"/>
      <c r="H4" s="466">
        <v>109194</v>
      </c>
      <c r="I4" s="466"/>
      <c r="J4" s="467">
        <v>78723</v>
      </c>
      <c r="K4" s="466">
        <v>10237</v>
      </c>
      <c r="L4" s="466">
        <v>15583</v>
      </c>
      <c r="M4" s="468"/>
      <c r="N4" s="469"/>
    </row>
    <row r="5" spans="1:14" x14ac:dyDescent="0.2">
      <c r="A5" s="463" t="s">
        <v>992</v>
      </c>
      <c r="B5" s="470">
        <v>120</v>
      </c>
      <c r="C5" s="465">
        <v>511681</v>
      </c>
      <c r="D5" s="466">
        <v>77565</v>
      </c>
      <c r="E5" s="466"/>
      <c r="F5" s="466">
        <v>560</v>
      </c>
      <c r="G5" s="466">
        <v>11794</v>
      </c>
      <c r="H5" s="466"/>
      <c r="I5" s="466"/>
      <c r="J5" s="467"/>
      <c r="K5" s="471">
        <v>4452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225000</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1742620</v>
      </c>
      <c r="D13" s="1737">
        <f t="shared" ref="D13:L13" si="0">SUM(D4:D12)</f>
        <v>719720</v>
      </c>
      <c r="E13" s="1737">
        <f t="shared" si="0"/>
        <v>0</v>
      </c>
      <c r="F13" s="1737">
        <f t="shared" si="0"/>
        <v>34149</v>
      </c>
      <c r="G13" s="1737">
        <f t="shared" si="0"/>
        <v>11794</v>
      </c>
      <c r="H13" s="1737">
        <f t="shared" si="0"/>
        <v>109194</v>
      </c>
      <c r="I13" s="1737">
        <f t="shared" si="0"/>
        <v>0</v>
      </c>
      <c r="J13" s="1737">
        <f t="shared" si="0"/>
        <v>78723</v>
      </c>
      <c r="K13" s="1737">
        <f t="shared" si="0"/>
        <v>14689</v>
      </c>
      <c r="L13" s="1737">
        <f t="shared" si="0"/>
        <v>15583</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v>
      </c>
      <c r="N16" s="484"/>
    </row>
    <row r="17" spans="1:14" s="485" customFormat="1" ht="12.75" customHeight="1" x14ac:dyDescent="0.2">
      <c r="A17" s="482" t="s">
        <v>1403</v>
      </c>
      <c r="B17" s="483">
        <v>230</v>
      </c>
      <c r="C17" s="477"/>
      <c r="D17" s="477"/>
      <c r="E17" s="477"/>
      <c r="F17" s="477"/>
      <c r="G17" s="477"/>
      <c r="H17" s="477"/>
      <c r="I17" s="477"/>
      <c r="J17" s="477"/>
      <c r="K17" s="477"/>
      <c r="L17" s="477"/>
      <c r="M17" s="467">
        <v>1001427</v>
      </c>
      <c r="N17" s="484"/>
    </row>
    <row r="18" spans="1:14" s="485" customFormat="1" ht="12.75" customHeight="1" x14ac:dyDescent="0.2">
      <c r="A18" s="482" t="s">
        <v>1404</v>
      </c>
      <c r="B18" s="483">
        <v>240</v>
      </c>
      <c r="C18" s="477"/>
      <c r="D18" s="477"/>
      <c r="E18" s="477"/>
      <c r="F18" s="477"/>
      <c r="G18" s="477"/>
      <c r="H18" s="477"/>
      <c r="I18" s="477"/>
      <c r="J18" s="477"/>
      <c r="K18" s="477"/>
      <c r="L18" s="477"/>
      <c r="M18" s="467">
        <v>253278</v>
      </c>
      <c r="N18" s="484"/>
    </row>
    <row r="19" spans="1:14" s="485" customFormat="1" ht="12.75" customHeight="1" x14ac:dyDescent="0.2">
      <c r="A19" s="482" t="s">
        <v>1405</v>
      </c>
      <c r="B19" s="483">
        <v>250</v>
      </c>
      <c r="C19" s="477"/>
      <c r="D19" s="477"/>
      <c r="E19" s="477"/>
      <c r="F19" s="477"/>
      <c r="G19" s="477"/>
      <c r="H19" s="477"/>
      <c r="I19" s="477"/>
      <c r="J19" s="477"/>
      <c r="K19" s="477"/>
      <c r="L19" s="477"/>
      <c r="M19" s="467">
        <v>100749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-31666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305666</v>
      </c>
    </row>
    <row r="23" spans="1:14" ht="13.5" customHeight="1" thickBot="1" x14ac:dyDescent="0.25">
      <c r="A23" s="1736" t="s">
        <v>643</v>
      </c>
      <c r="B23" s="1741"/>
      <c r="C23" s="468"/>
      <c r="D23" s="468"/>
      <c r="E23" s="468"/>
      <c r="F23" s="468"/>
      <c r="G23" s="468"/>
      <c r="H23" s="468"/>
      <c r="I23" s="468"/>
      <c r="J23" s="468"/>
      <c r="K23" s="468"/>
      <c r="L23" s="468"/>
      <c r="M23" s="1688">
        <f>SUM(M15:M22)</f>
        <v>1360454</v>
      </c>
      <c r="N23" s="1688">
        <f>SUM(N21:N22)</f>
        <v>274000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v>225000</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v>31666</v>
      </c>
      <c r="F27" s="467"/>
      <c r="G27" s="467">
        <v>9706</v>
      </c>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15583</v>
      </c>
      <c r="M33" s="468"/>
      <c r="N33" s="469"/>
    </row>
    <row r="34" spans="1:14" ht="13.5" customHeight="1" thickBot="1" x14ac:dyDescent="0.25">
      <c r="A34" s="1738" t="s">
        <v>654</v>
      </c>
      <c r="B34" s="1739"/>
      <c r="C34" s="1740">
        <f>SUM(C25:C33)</f>
        <v>0</v>
      </c>
      <c r="D34" s="1740">
        <f t="shared" ref="D34:K34" si="1">SUM(D25:D33)</f>
        <v>225000</v>
      </c>
      <c r="E34" s="1740">
        <f t="shared" si="1"/>
        <v>31666</v>
      </c>
      <c r="F34" s="1740">
        <f t="shared" si="1"/>
        <v>0</v>
      </c>
      <c r="G34" s="1740">
        <f t="shared" si="1"/>
        <v>9706</v>
      </c>
      <c r="H34" s="1740">
        <f t="shared" si="1"/>
        <v>0</v>
      </c>
      <c r="I34" s="1740">
        <f t="shared" si="1"/>
        <v>0</v>
      </c>
      <c r="J34" s="1740">
        <f t="shared" si="1"/>
        <v>0</v>
      </c>
      <c r="K34" s="1740">
        <f t="shared" si="1"/>
        <v>0</v>
      </c>
      <c r="L34" s="1721">
        <f>SUM(L33)</f>
        <v>15583</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274000</v>
      </c>
    </row>
    <row r="37" spans="1:14" ht="13.5" thickBot="1" x14ac:dyDescent="0.25">
      <c r="A37" s="1736" t="s">
        <v>653</v>
      </c>
      <c r="B37" s="1741"/>
      <c r="C37" s="477"/>
      <c r="D37" s="477"/>
      <c r="E37" s="477"/>
      <c r="F37" s="477"/>
      <c r="G37" s="477"/>
      <c r="H37" s="477"/>
      <c r="I37" s="477"/>
      <c r="J37" s="477"/>
      <c r="K37" s="477"/>
      <c r="L37" s="480"/>
      <c r="M37" s="468"/>
      <c r="N37" s="1688">
        <f>SUM(N36:N36)</f>
        <v>274000</v>
      </c>
    </row>
    <row r="38" spans="1:14" s="329" customFormat="1" ht="13.5" customHeight="1" thickTop="1" x14ac:dyDescent="0.2">
      <c r="A38" s="496" t="s">
        <v>420</v>
      </c>
      <c r="B38" s="483">
        <v>714</v>
      </c>
      <c r="C38" s="466"/>
      <c r="D38" s="466"/>
      <c r="E38" s="466"/>
      <c r="F38" s="466"/>
      <c r="G38" s="466">
        <v>-23301</v>
      </c>
      <c r="H38" s="466">
        <v>109194</v>
      </c>
      <c r="I38" s="466"/>
      <c r="J38" s="467">
        <v>78723</v>
      </c>
      <c r="K38" s="466">
        <v>14689</v>
      </c>
      <c r="L38" s="481"/>
      <c r="M38" s="497"/>
      <c r="N38" s="497"/>
    </row>
    <row r="39" spans="1:14" s="329" customFormat="1" ht="13.5" customHeight="1" x14ac:dyDescent="0.2">
      <c r="A39" s="496" t="s">
        <v>342</v>
      </c>
      <c r="B39" s="483">
        <v>730</v>
      </c>
      <c r="C39" s="466">
        <v>1742620</v>
      </c>
      <c r="D39" s="466">
        <v>494720</v>
      </c>
      <c r="E39" s="466">
        <v>-31666</v>
      </c>
      <c r="F39" s="466">
        <v>34149</v>
      </c>
      <c r="G39" s="466">
        <v>25389</v>
      </c>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1360454</v>
      </c>
      <c r="N40" s="497"/>
    </row>
    <row r="41" spans="1:14" ht="13.5" customHeight="1" thickBot="1" x14ac:dyDescent="0.25">
      <c r="A41" s="1736" t="s">
        <v>655</v>
      </c>
      <c r="B41" s="1706"/>
      <c r="C41" s="1688">
        <f>(SUM(C34,C37,C38,C39))</f>
        <v>1742620</v>
      </c>
      <c r="D41" s="1688">
        <f t="shared" ref="D41:L41" si="2">SUM(D34,D37,D38:D39)</f>
        <v>719720</v>
      </c>
      <c r="E41" s="1688">
        <f t="shared" si="2"/>
        <v>0</v>
      </c>
      <c r="F41" s="1688">
        <f t="shared" si="2"/>
        <v>34149</v>
      </c>
      <c r="G41" s="1688">
        <f t="shared" si="2"/>
        <v>11794</v>
      </c>
      <c r="H41" s="1688">
        <f t="shared" si="2"/>
        <v>109194</v>
      </c>
      <c r="I41" s="1688">
        <f t="shared" si="2"/>
        <v>0</v>
      </c>
      <c r="J41" s="1688">
        <f t="shared" si="2"/>
        <v>78723</v>
      </c>
      <c r="K41" s="1688">
        <f t="shared" si="2"/>
        <v>14689</v>
      </c>
      <c r="L41" s="1688">
        <f t="shared" si="2"/>
        <v>15583</v>
      </c>
      <c r="M41" s="1688">
        <f>SUM(M40)</f>
        <v>1360454</v>
      </c>
      <c r="N41" s="1688">
        <f>SUM(N37)</f>
        <v>274000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42" sqref="I42:O42"/>
      <selection pane="bottomLeft" activeCell="I42" sqref="I42:O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965396</v>
      </c>
      <c r="D4" s="1742">
        <f>'Revenues 9-14'!D109</f>
        <v>180697</v>
      </c>
      <c r="E4" s="1742">
        <f>'Revenues 9-14'!E109</f>
        <v>0</v>
      </c>
      <c r="F4" s="1742">
        <f>'Revenues 9-14'!F109</f>
        <v>38872</v>
      </c>
      <c r="G4" s="1742">
        <f>'Revenues 9-14'!G109</f>
        <v>24637</v>
      </c>
      <c r="H4" s="1742">
        <f>'Revenues 9-14'!H109</f>
        <v>44492</v>
      </c>
      <c r="I4" s="1742">
        <f>'Revenues 9-14'!I109</f>
        <v>14951</v>
      </c>
      <c r="J4" s="1742">
        <f>'Revenues 9-14'!J109</f>
        <v>27732</v>
      </c>
      <c r="K4" s="1742">
        <f>'Revenues 9-14'!K109</f>
        <v>14959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186343</v>
      </c>
      <c r="D6" s="1743">
        <f>'Revenues 9-14'!D170</f>
        <v>0</v>
      </c>
      <c r="E6" s="1743">
        <f>'Revenues 9-14'!E170</f>
        <v>0</v>
      </c>
      <c r="F6" s="1743">
        <f>'Revenues 9-14'!F170</f>
        <v>41882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105759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1257498</v>
      </c>
      <c r="D8" s="1688">
        <f t="shared" ref="D8:K8" si="0">SUM(D4:D7)</f>
        <v>180697</v>
      </c>
      <c r="E8" s="1688">
        <f t="shared" si="0"/>
        <v>0</v>
      </c>
      <c r="F8" s="1688">
        <f t="shared" si="0"/>
        <v>80754</v>
      </c>
      <c r="G8" s="1688">
        <f t="shared" si="0"/>
        <v>24637</v>
      </c>
      <c r="H8" s="1688">
        <f t="shared" si="0"/>
        <v>44492</v>
      </c>
      <c r="I8" s="1688">
        <f t="shared" si="0"/>
        <v>14951</v>
      </c>
      <c r="J8" s="1688">
        <f t="shared" si="0"/>
        <v>27732</v>
      </c>
      <c r="K8" s="1688">
        <f t="shared" si="0"/>
        <v>14959</v>
      </c>
      <c r="L8" s="347"/>
    </row>
    <row r="9" spans="1:13" ht="15.75" thickTop="1" x14ac:dyDescent="0.2">
      <c r="A9" s="514" t="s">
        <v>1653</v>
      </c>
      <c r="B9" s="515">
        <v>3998</v>
      </c>
      <c r="C9" s="481">
        <v>426477</v>
      </c>
      <c r="D9" s="516"/>
      <c r="E9" s="481"/>
      <c r="F9" s="481"/>
      <c r="G9" s="517"/>
      <c r="H9" s="481"/>
      <c r="I9" s="509" t="s">
        <v>1169</v>
      </c>
      <c r="J9" s="478"/>
      <c r="K9" s="481"/>
      <c r="L9" s="347"/>
    </row>
    <row r="10" spans="1:13" s="519" customFormat="1" ht="13.5" thickBot="1" x14ac:dyDescent="0.25">
      <c r="A10" s="1736" t="s">
        <v>1173</v>
      </c>
      <c r="B10" s="1709"/>
      <c r="C10" s="1688">
        <f>SUM(C8:C9)</f>
        <v>1683975</v>
      </c>
      <c r="D10" s="1688">
        <f t="shared" ref="D10:K10" si="1">SUM(D8:D9)</f>
        <v>180697</v>
      </c>
      <c r="E10" s="1688">
        <f t="shared" si="1"/>
        <v>0</v>
      </c>
      <c r="F10" s="1688">
        <f t="shared" si="1"/>
        <v>80754</v>
      </c>
      <c r="G10" s="1688">
        <f t="shared" si="1"/>
        <v>24637</v>
      </c>
      <c r="H10" s="1688">
        <f t="shared" si="1"/>
        <v>44492</v>
      </c>
      <c r="I10" s="1688">
        <f t="shared" si="1"/>
        <v>14951</v>
      </c>
      <c r="J10" s="1688">
        <f t="shared" si="1"/>
        <v>27732</v>
      </c>
      <c r="K10" s="1688">
        <f t="shared" si="1"/>
        <v>14959</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643897</v>
      </c>
      <c r="D12" s="520" t="s">
        <v>1169</v>
      </c>
      <c r="E12" s="468" t="s">
        <v>1169</v>
      </c>
      <c r="F12" s="468" t="s">
        <v>1169</v>
      </c>
      <c r="G12" s="1742">
        <f>'Expenditures 15-22'!K229</f>
        <v>9918</v>
      </c>
      <c r="H12" s="521"/>
      <c r="I12" s="468" t="s">
        <v>1169</v>
      </c>
      <c r="J12" s="468" t="s">
        <v>1169</v>
      </c>
      <c r="K12" s="521" t="s">
        <v>1169</v>
      </c>
      <c r="L12" s="347"/>
    </row>
    <row r="13" spans="1:13" ht="15.75" customHeight="1" x14ac:dyDescent="0.2">
      <c r="A13" s="1576" t="s">
        <v>457</v>
      </c>
      <c r="B13" s="1578">
        <v>2000</v>
      </c>
      <c r="C13" s="1743">
        <f>'Expenditures 15-22'!K74</f>
        <v>277334</v>
      </c>
      <c r="D13" s="1743">
        <f>'Expenditures 15-22'!K129</f>
        <v>163854</v>
      </c>
      <c r="E13" s="469" t="s">
        <v>1169</v>
      </c>
      <c r="F13" s="1743">
        <f>'Expenditures 15-22'!K184</f>
        <v>84735</v>
      </c>
      <c r="G13" s="1743">
        <f>'Expenditures 15-22'!K279</f>
        <v>27036</v>
      </c>
      <c r="H13" s="1743">
        <f>'Expenditures 15-22'!K303</f>
        <v>0</v>
      </c>
      <c r="I13" s="468" t="s">
        <v>1169</v>
      </c>
      <c r="J13" s="1743">
        <f>'Expenditures 15-22'!K330</f>
        <v>33609</v>
      </c>
      <c r="K13" s="1747">
        <f>'Expenditures 15-22'!K352</f>
        <v>3017</v>
      </c>
      <c r="L13" s="347"/>
    </row>
    <row r="14" spans="1:13" ht="15.75" customHeight="1" x14ac:dyDescent="0.2">
      <c r="A14" s="1576" t="s">
        <v>449</v>
      </c>
      <c r="B14" s="1578">
        <v>3000</v>
      </c>
      <c r="C14" s="1743">
        <f>'Expenditures 15-22'!K75</f>
        <v>421</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128519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31722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1050171</v>
      </c>
      <c r="D17" s="1688">
        <f t="shared" si="2"/>
        <v>163854</v>
      </c>
      <c r="E17" s="1688">
        <f t="shared" si="2"/>
        <v>31722</v>
      </c>
      <c r="F17" s="1688">
        <f t="shared" si="2"/>
        <v>84735</v>
      </c>
      <c r="G17" s="1688">
        <f t="shared" si="2"/>
        <v>36954</v>
      </c>
      <c r="H17" s="1688">
        <f t="shared" si="2"/>
        <v>0</v>
      </c>
      <c r="I17" s="468"/>
      <c r="J17" s="1688">
        <f>SUM(J12:J16)</f>
        <v>33609</v>
      </c>
      <c r="K17" s="1688">
        <f>SUM(K12:K16)</f>
        <v>3017</v>
      </c>
      <c r="L17" s="347"/>
    </row>
    <row r="18" spans="1:12" ht="15" customHeight="1" thickTop="1" x14ac:dyDescent="0.2">
      <c r="A18" s="1744" t="s">
        <v>1654</v>
      </c>
      <c r="B18" s="1745">
        <v>4180</v>
      </c>
      <c r="C18" s="1742">
        <f t="shared" ref="C18:H18" si="3">C9</f>
        <v>426477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1476648</v>
      </c>
      <c r="D19" s="1688">
        <f t="shared" si="4"/>
        <v>163854</v>
      </c>
      <c r="E19" s="1688">
        <f t="shared" si="4"/>
        <v>31722</v>
      </c>
      <c r="F19" s="1688">
        <f t="shared" si="4"/>
        <v>84735</v>
      </c>
      <c r="G19" s="1688">
        <f t="shared" si="4"/>
        <v>36954</v>
      </c>
      <c r="H19" s="1688">
        <f t="shared" si="4"/>
        <v>0</v>
      </c>
      <c r="I19" s="468"/>
      <c r="J19" s="1688">
        <f>SUM(J17:J18)</f>
        <v>33609</v>
      </c>
      <c r="K19" s="1688">
        <f>SUM(K17:K18)</f>
        <v>3017</v>
      </c>
      <c r="L19" s="347"/>
    </row>
    <row r="20" spans="1:12" ht="16.5" thickTop="1" thickBot="1" x14ac:dyDescent="0.25">
      <c r="A20" s="2125" t="s">
        <v>1655</v>
      </c>
      <c r="B20" s="2126"/>
      <c r="C20" s="1746">
        <f>C8-C17</f>
        <v>207327</v>
      </c>
      <c r="D20" s="1746">
        <f t="shared" ref="D20:K20" si="5">D8-D17</f>
        <v>16843</v>
      </c>
      <c r="E20" s="1746">
        <f t="shared" si="5"/>
        <v>-31722</v>
      </c>
      <c r="F20" s="1746">
        <f t="shared" si="5"/>
        <v>-3981</v>
      </c>
      <c r="G20" s="1746">
        <f t="shared" si="5"/>
        <v>-12317</v>
      </c>
      <c r="H20" s="1746">
        <f t="shared" si="5"/>
        <v>44492</v>
      </c>
      <c r="I20" s="1746">
        <f t="shared" si="5"/>
        <v>14951</v>
      </c>
      <c r="J20" s="1746">
        <f t="shared" si="5"/>
        <v>-5877</v>
      </c>
      <c r="K20" s="1746">
        <f t="shared" si="5"/>
        <v>11942</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v>14951</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14951</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14951</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14951</v>
      </c>
      <c r="J76" s="1703">
        <f t="shared" si="7"/>
        <v>0</v>
      </c>
      <c r="K76" s="1703">
        <f t="shared" si="7"/>
        <v>0</v>
      </c>
      <c r="L76" s="524"/>
    </row>
    <row r="77" spans="1:12" ht="14.25" thickTop="1" thickBot="1" x14ac:dyDescent="0.25">
      <c r="A77" s="2117" t="s">
        <v>1177</v>
      </c>
      <c r="B77" s="2118"/>
      <c r="C77" s="1703">
        <f t="shared" ref="C77:K77" si="8">C44-C76</f>
        <v>14951</v>
      </c>
      <c r="D77" s="1703">
        <f t="shared" si="8"/>
        <v>0</v>
      </c>
      <c r="E77" s="1703">
        <f t="shared" si="8"/>
        <v>0</v>
      </c>
      <c r="F77" s="1703">
        <f t="shared" si="8"/>
        <v>0</v>
      </c>
      <c r="G77" s="1703">
        <f t="shared" si="8"/>
        <v>0</v>
      </c>
      <c r="H77" s="1703">
        <f t="shared" si="8"/>
        <v>0</v>
      </c>
      <c r="I77" s="1703">
        <f t="shared" si="8"/>
        <v>-14951</v>
      </c>
      <c r="J77" s="1703">
        <f t="shared" si="8"/>
        <v>0</v>
      </c>
      <c r="K77" s="1703">
        <f t="shared" si="8"/>
        <v>0</v>
      </c>
      <c r="L77" s="347"/>
    </row>
    <row r="78" spans="1:12" ht="21.75" customHeight="1" thickTop="1" thickBot="1" x14ac:dyDescent="0.25">
      <c r="A78" s="2121" t="s">
        <v>597</v>
      </c>
      <c r="B78" s="2122"/>
      <c r="C78" s="1702">
        <f t="shared" ref="C78:K78" si="9">C20+C77</f>
        <v>222278</v>
      </c>
      <c r="D78" s="1702">
        <f t="shared" si="9"/>
        <v>16843</v>
      </c>
      <c r="E78" s="1702">
        <f t="shared" si="9"/>
        <v>-31722</v>
      </c>
      <c r="F78" s="1702">
        <f t="shared" si="9"/>
        <v>-3981</v>
      </c>
      <c r="G78" s="1702">
        <f t="shared" si="9"/>
        <v>-12317</v>
      </c>
      <c r="H78" s="1702">
        <f t="shared" si="9"/>
        <v>44492</v>
      </c>
      <c r="I78" s="1702">
        <f t="shared" si="9"/>
        <v>0</v>
      </c>
      <c r="J78" s="1702">
        <f t="shared" si="9"/>
        <v>-5877</v>
      </c>
      <c r="K78" s="1702">
        <f t="shared" si="9"/>
        <v>11942</v>
      </c>
      <c r="L78" s="533"/>
    </row>
    <row r="79" spans="1:12" ht="13.5" thickTop="1" x14ac:dyDescent="0.2">
      <c r="A79" s="1494" t="s">
        <v>1949</v>
      </c>
      <c r="B79" s="534"/>
      <c r="C79" s="478">
        <v>1520342</v>
      </c>
      <c r="D79" s="535"/>
      <c r="E79" s="535">
        <v>56</v>
      </c>
      <c r="F79" s="535">
        <v>38130</v>
      </c>
      <c r="G79" s="535">
        <v>14405</v>
      </c>
      <c r="H79" s="535">
        <v>64702</v>
      </c>
      <c r="I79" s="535">
        <v>0</v>
      </c>
      <c r="J79" s="535">
        <v>84600</v>
      </c>
      <c r="K79" s="535"/>
      <c r="L79" s="347"/>
    </row>
    <row r="80" spans="1:12" x14ac:dyDescent="0.2">
      <c r="A80" s="2127" t="s">
        <v>1795</v>
      </c>
      <c r="B80" s="2128"/>
      <c r="C80" s="467"/>
      <c r="D80" s="467">
        <v>477877</v>
      </c>
      <c r="E80" s="467"/>
      <c r="F80" s="467"/>
      <c r="G80" s="467"/>
      <c r="H80" s="467"/>
      <c r="I80" s="467"/>
      <c r="J80" s="467"/>
      <c r="K80" s="467">
        <v>2747</v>
      </c>
      <c r="L80" s="347"/>
    </row>
    <row r="81" spans="1:12" ht="13.5" thickBot="1" x14ac:dyDescent="0.25">
      <c r="A81" s="2119" t="s">
        <v>1950</v>
      </c>
      <c r="B81" s="2120"/>
      <c r="C81" s="1688">
        <f>(SUM(C78:C80))</f>
        <v>1742620</v>
      </c>
      <c r="D81" s="1688">
        <f>SUM(D78:D80)</f>
        <v>494720</v>
      </c>
      <c r="E81" s="1688">
        <f t="shared" ref="E81:K81" si="10">SUM(E78:E80)</f>
        <v>-31666</v>
      </c>
      <c r="F81" s="1688">
        <f t="shared" si="10"/>
        <v>34149</v>
      </c>
      <c r="G81" s="1688">
        <f t="shared" si="10"/>
        <v>2088</v>
      </c>
      <c r="H81" s="1688">
        <f t="shared" si="10"/>
        <v>109194</v>
      </c>
      <c r="I81" s="1688">
        <f t="shared" si="10"/>
        <v>0</v>
      </c>
      <c r="J81" s="1688">
        <f t="shared" si="10"/>
        <v>78723</v>
      </c>
      <c r="K81" s="1688">
        <f t="shared" si="10"/>
        <v>14689</v>
      </c>
      <c r="L81" s="347"/>
    </row>
    <row r="82" spans="1:12" ht="0.75" customHeight="1" thickTop="1" thickBot="1" x14ac:dyDescent="0.25">
      <c r="A82" s="536" t="s">
        <v>343</v>
      </c>
      <c r="B82" s="537"/>
      <c r="C82" s="538">
        <f>(C81-C79)</f>
        <v>222278</v>
      </c>
      <c r="D82" s="538">
        <f t="shared" ref="D82:K82" si="11">(D81-D79)</f>
        <v>494720</v>
      </c>
      <c r="E82" s="538">
        <f t="shared" si="11"/>
        <v>-31722</v>
      </c>
      <c r="F82" s="538">
        <f t="shared" si="11"/>
        <v>-3981</v>
      </c>
      <c r="G82" s="538">
        <f t="shared" si="11"/>
        <v>-12317</v>
      </c>
      <c r="H82" s="538">
        <f t="shared" si="11"/>
        <v>44492</v>
      </c>
      <c r="I82" s="538">
        <f t="shared" si="11"/>
        <v>0</v>
      </c>
      <c r="J82" s="538">
        <f t="shared" si="11"/>
        <v>-5877</v>
      </c>
      <c r="K82" s="538">
        <f t="shared" si="11"/>
        <v>14689</v>
      </c>
    </row>
    <row r="83" spans="1:12" ht="14.25" hidden="1" thickTop="1" thickBot="1" x14ac:dyDescent="0.25">
      <c r="A83" s="539" t="s">
        <v>344</v>
      </c>
      <c r="B83" s="464"/>
      <c r="C83" s="540">
        <f>C82/C81</f>
        <v>0.12755391307341818</v>
      </c>
      <c r="D83" s="540">
        <f t="shared" ref="D83:K83" si="12">D82/D81</f>
        <v>1</v>
      </c>
      <c r="E83" s="540">
        <f t="shared" si="12"/>
        <v>1.0017684582833324</v>
      </c>
      <c r="F83" s="540">
        <f t="shared" si="12"/>
        <v>-0.11657735219186506</v>
      </c>
      <c r="G83" s="540">
        <f t="shared" si="12"/>
        <v>-5.898946360153257</v>
      </c>
      <c r="H83" s="540">
        <f t="shared" si="12"/>
        <v>0.40745828525376854</v>
      </c>
      <c r="I83" s="540" t="e">
        <f t="shared" si="12"/>
        <v>#DIV/0!</v>
      </c>
      <c r="J83" s="540">
        <f t="shared" si="12"/>
        <v>-7.4654167143020464E-2</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I42" sqref="I42:O42"/>
      <selection pane="bottomLeft" activeCell="I42" sqref="I42:O4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871892</v>
      </c>
      <c r="D5" s="481">
        <v>180354</v>
      </c>
      <c r="E5" s="466"/>
      <c r="F5" s="548">
        <v>38862</v>
      </c>
      <c r="G5" s="466">
        <v>21921</v>
      </c>
      <c r="H5" s="466"/>
      <c r="I5" s="466">
        <v>14949</v>
      </c>
      <c r="J5" s="467">
        <v>25914</v>
      </c>
      <c r="K5" s="466">
        <v>14949</v>
      </c>
    </row>
    <row r="6" spans="1:12" ht="15" x14ac:dyDescent="0.2">
      <c r="A6" s="463" t="s">
        <v>1662</v>
      </c>
      <c r="B6" s="470">
        <v>1130</v>
      </c>
      <c r="C6" s="466">
        <v>8971</v>
      </c>
      <c r="D6" s="466"/>
      <c r="E6" s="475"/>
      <c r="F6" s="475"/>
      <c r="G6" s="468"/>
      <c r="H6" s="468"/>
      <c r="I6" s="468"/>
      <c r="J6" s="468"/>
      <c r="K6" s="468"/>
    </row>
    <row r="7" spans="1:12" x14ac:dyDescent="0.2">
      <c r="A7" s="463" t="s">
        <v>110</v>
      </c>
      <c r="B7" s="549">
        <v>1140</v>
      </c>
      <c r="C7" s="466">
        <v>4784</v>
      </c>
      <c r="D7" s="466"/>
      <c r="E7" s="468"/>
      <c r="F7" s="467"/>
      <c r="G7" s="467"/>
      <c r="H7" s="467"/>
      <c r="I7" s="468"/>
      <c r="J7" s="468"/>
      <c r="K7" s="468"/>
    </row>
    <row r="8" spans="1:12" x14ac:dyDescent="0.2">
      <c r="A8" s="463" t="s">
        <v>413</v>
      </c>
      <c r="B8" s="470">
        <v>1150</v>
      </c>
      <c r="C8" s="475"/>
      <c r="D8" s="475"/>
      <c r="E8" s="477"/>
      <c r="F8" s="477"/>
      <c r="G8" s="481">
        <v>1794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885647</v>
      </c>
      <c r="D12" s="1707">
        <f t="shared" si="0"/>
        <v>180354</v>
      </c>
      <c r="E12" s="1707">
        <f t="shared" si="0"/>
        <v>0</v>
      </c>
      <c r="F12" s="1707">
        <f t="shared" si="0"/>
        <v>38862</v>
      </c>
      <c r="G12" s="1707">
        <f t="shared" si="0"/>
        <v>23715</v>
      </c>
      <c r="H12" s="1707">
        <f t="shared" si="0"/>
        <v>0</v>
      </c>
      <c r="I12" s="1707">
        <f t="shared" si="0"/>
        <v>14949</v>
      </c>
      <c r="J12" s="1707">
        <f t="shared" si="0"/>
        <v>25914</v>
      </c>
      <c r="K12" s="1688">
        <f t="shared" si="0"/>
        <v>14949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60842</v>
      </c>
      <c r="D16" s="466"/>
      <c r="E16" s="466"/>
      <c r="F16" s="466"/>
      <c r="G16" s="466">
        <v>890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60842</v>
      </c>
      <c r="D18" s="1710">
        <f t="shared" ref="D18:K18" si="1">SUM(D14:D17)</f>
        <v>0</v>
      </c>
      <c r="E18" s="1710">
        <f t="shared" si="1"/>
        <v>0</v>
      </c>
      <c r="F18" s="1710">
        <f t="shared" si="1"/>
        <v>0</v>
      </c>
      <c r="G18" s="1710">
        <f t="shared" si="1"/>
        <v>890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6448</v>
      </c>
      <c r="D65" s="466">
        <v>218</v>
      </c>
      <c r="E65" s="466"/>
      <c r="F65" s="467">
        <v>10</v>
      </c>
      <c r="G65" s="466">
        <v>32</v>
      </c>
      <c r="H65" s="466"/>
      <c r="I65" s="466">
        <v>2</v>
      </c>
      <c r="J65" s="467">
        <v>1</v>
      </c>
      <c r="K65" s="466">
        <v>10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6448</v>
      </c>
      <c r="D67" s="1688">
        <f t="shared" ref="D67:K67" si="2">SUM(D65:D66)</f>
        <v>218</v>
      </c>
      <c r="E67" s="1688">
        <f t="shared" si="2"/>
        <v>0</v>
      </c>
      <c r="F67" s="1688">
        <f t="shared" si="2"/>
        <v>10</v>
      </c>
      <c r="G67" s="1688">
        <f t="shared" si="2"/>
        <v>32</v>
      </c>
      <c r="H67" s="1688">
        <f t="shared" si="2"/>
        <v>0</v>
      </c>
      <c r="I67" s="1688">
        <f t="shared" si="2"/>
        <v>2</v>
      </c>
      <c r="J67" s="1688">
        <f t="shared" si="2"/>
        <v>1</v>
      </c>
      <c r="K67" s="1688">
        <f t="shared" si="2"/>
        <v>10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-1711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306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-1405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1607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1607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2620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2620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40</v>
      </c>
      <c r="D95" s="551">
        <v>125</v>
      </c>
      <c r="E95" s="521"/>
      <c r="F95" s="521"/>
      <c r="G95" s="521"/>
      <c r="H95" s="521"/>
      <c r="I95" s="521"/>
      <c r="J95" s="521"/>
      <c r="K95" s="521"/>
    </row>
    <row r="96" spans="1:11" ht="12.75" customHeight="1" x14ac:dyDescent="0.2">
      <c r="A96" s="463" t="s">
        <v>391</v>
      </c>
      <c r="B96" s="470">
        <v>1920</v>
      </c>
      <c r="C96" s="551">
        <v>2688</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6355</v>
      </c>
      <c r="D99" s="466"/>
      <c r="E99" s="466"/>
      <c r="F99" s="466"/>
      <c r="G99" s="466"/>
      <c r="H99" s="466"/>
      <c r="I99" s="468"/>
      <c r="J99" s="467">
        <v>1817</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v>252</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44492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302</v>
      </c>
      <c r="D107" s="466"/>
      <c r="E107" s="466"/>
      <c r="F107" s="466"/>
      <c r="G107" s="466"/>
      <c r="H107" s="466"/>
      <c r="I107" s="466"/>
      <c r="J107" s="467"/>
      <c r="K107" s="466"/>
    </row>
    <row r="108" spans="1:12" ht="12.75" customHeight="1" thickBot="1" x14ac:dyDescent="0.25">
      <c r="A108" s="1708" t="s">
        <v>487</v>
      </c>
      <c r="B108" s="1712"/>
      <c r="C108" s="1707">
        <f>SUM(C95:C107)</f>
        <v>9637</v>
      </c>
      <c r="D108" s="1707">
        <f t="shared" ref="D108:K108" si="3">SUM(D95:D107)</f>
        <v>125</v>
      </c>
      <c r="E108" s="1707">
        <f t="shared" si="3"/>
        <v>0</v>
      </c>
      <c r="F108" s="1707">
        <f t="shared" si="3"/>
        <v>0</v>
      </c>
      <c r="G108" s="1707">
        <f t="shared" si="3"/>
        <v>0</v>
      </c>
      <c r="H108" s="1707">
        <f t="shared" si="3"/>
        <v>44492</v>
      </c>
      <c r="I108" s="1707">
        <f t="shared" si="3"/>
        <v>0</v>
      </c>
      <c r="J108" s="1707">
        <f t="shared" si="3"/>
        <v>1817</v>
      </c>
      <c r="K108" s="1688">
        <f t="shared" si="3"/>
        <v>0</v>
      </c>
    </row>
    <row r="109" spans="1:12" ht="14.25" thickTop="1" thickBot="1" x14ac:dyDescent="0.25">
      <c r="A109" s="1713" t="s">
        <v>248</v>
      </c>
      <c r="B109" s="1714" t="s">
        <v>570</v>
      </c>
      <c r="C109" s="1715">
        <f t="shared" ref="C109:K109" si="4">SUM(C12,C18,C40,C63,C67,C75,C82,C93,C108,)</f>
        <v>965396</v>
      </c>
      <c r="D109" s="1715">
        <f t="shared" si="4"/>
        <v>180697</v>
      </c>
      <c r="E109" s="1715">
        <f t="shared" si="4"/>
        <v>0</v>
      </c>
      <c r="F109" s="1715">
        <f t="shared" si="4"/>
        <v>38872</v>
      </c>
      <c r="G109" s="1715">
        <f t="shared" si="4"/>
        <v>24637</v>
      </c>
      <c r="H109" s="1715">
        <f t="shared" si="4"/>
        <v>44492</v>
      </c>
      <c r="I109" s="1715">
        <f t="shared" si="4"/>
        <v>14951</v>
      </c>
      <c r="J109" s="1715">
        <f t="shared" si="4"/>
        <v>27732</v>
      </c>
      <c r="K109" s="1702">
        <f t="shared" si="4"/>
        <v>14959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159743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159743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1033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24613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25646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954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34177</v>
      </c>
      <c r="G152" s="467"/>
      <c r="H152" s="468"/>
      <c r="I152" s="468"/>
      <c r="J152" s="468"/>
      <c r="K152" s="468"/>
    </row>
    <row r="153" spans="1:11" ht="12.75" customHeight="1" x14ac:dyDescent="0.2">
      <c r="A153" s="463" t="s">
        <v>1057</v>
      </c>
      <c r="B153" s="562">
        <v>3510</v>
      </c>
      <c r="C153" s="551"/>
      <c r="D153" s="466"/>
      <c r="E153" s="561"/>
      <c r="F153" s="466">
        <v>7705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41882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26600</v>
      </c>
      <c r="D169" s="1722">
        <f t="shared" si="6"/>
        <v>0</v>
      </c>
      <c r="E169" s="1722">
        <f t="shared" si="6"/>
        <v>0</v>
      </c>
      <c r="F169" s="1722">
        <f t="shared" si="6"/>
        <v>41882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186343</v>
      </c>
      <c r="D170" s="1715">
        <f t="shared" si="7"/>
        <v>0</v>
      </c>
      <c r="E170" s="1715">
        <f t="shared" si="7"/>
        <v>0</v>
      </c>
      <c r="F170" s="1715">
        <f t="shared" si="7"/>
        <v>41882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4270</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4270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31644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12612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44256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26764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26764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v>13894</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13894</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1845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9701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11546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5029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105759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105759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1257498</v>
      </c>
      <c r="D268" s="1715">
        <f t="shared" si="12"/>
        <v>180697</v>
      </c>
      <c r="E268" s="1715">
        <f t="shared" si="12"/>
        <v>0</v>
      </c>
      <c r="F268" s="1715">
        <f t="shared" si="12"/>
        <v>80754</v>
      </c>
      <c r="G268" s="1715">
        <f t="shared" si="12"/>
        <v>24637</v>
      </c>
      <c r="H268" s="1715">
        <f t="shared" si="12"/>
        <v>44492</v>
      </c>
      <c r="I268" s="1715">
        <f t="shared" si="12"/>
        <v>14951</v>
      </c>
      <c r="J268" s="1715">
        <f t="shared" si="12"/>
        <v>27732</v>
      </c>
      <c r="K268" s="1702">
        <f t="shared" si="12"/>
        <v>14959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6" activePane="bottomLeft" state="frozen"/>
      <selection activeCell="I42" sqref="I42:O42"/>
      <selection pane="bottomLeft" activeCell="I42" sqref="I42:O4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428758</v>
      </c>
      <c r="D5" s="466">
        <v>77366</v>
      </c>
      <c r="E5" s="466">
        <v>12912</v>
      </c>
      <c r="F5" s="466">
        <v>30362</v>
      </c>
      <c r="G5" s="466"/>
      <c r="H5" s="466"/>
      <c r="I5" s="467"/>
      <c r="J5" s="467"/>
      <c r="K5" s="1671">
        <f>SUM(C5:J5)</f>
        <v>549398</v>
      </c>
      <c r="L5" s="466">
        <v>615000</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4000</v>
      </c>
    </row>
    <row r="8" spans="1:14" x14ac:dyDescent="0.2">
      <c r="A8" s="1504" t="s">
        <v>164</v>
      </c>
      <c r="B8" s="614">
        <v>1200</v>
      </c>
      <c r="C8" s="466">
        <v>48365</v>
      </c>
      <c r="D8" s="466">
        <v>3737</v>
      </c>
      <c r="E8" s="466"/>
      <c r="F8" s="466">
        <v>13971</v>
      </c>
      <c r="G8" s="466"/>
      <c r="H8" s="466"/>
      <c r="I8" s="467"/>
      <c r="J8" s="467"/>
      <c r="K8" s="1671">
        <f t="shared" si="0"/>
        <v>66073</v>
      </c>
      <c r="L8" s="466">
        <v>51600</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5060</v>
      </c>
      <c r="D10" s="466">
        <v>1719</v>
      </c>
      <c r="E10" s="466">
        <v>13624</v>
      </c>
      <c r="F10" s="466">
        <v>6412</v>
      </c>
      <c r="G10" s="466"/>
      <c r="H10" s="466"/>
      <c r="I10" s="467"/>
      <c r="J10" s="467"/>
      <c r="K10" s="1671">
        <f t="shared" si="0"/>
        <v>26815</v>
      </c>
      <c r="L10" s="466">
        <v>51450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c r="D14" s="466"/>
      <c r="E14" s="466">
        <v>1120</v>
      </c>
      <c r="F14" s="466">
        <v>491</v>
      </c>
      <c r="G14" s="466"/>
      <c r="H14" s="466"/>
      <c r="I14" s="467"/>
      <c r="J14" s="467"/>
      <c r="K14" s="1671">
        <f t="shared" si="0"/>
        <v>1611</v>
      </c>
      <c r="L14" s="466">
        <v>4400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5300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482183</v>
      </c>
      <c r="D33" s="1670">
        <f t="shared" ref="D33:L33" si="1">SUM(D5:D32)</f>
        <v>82822</v>
      </c>
      <c r="E33" s="1670">
        <f t="shared" si="1"/>
        <v>27656</v>
      </c>
      <c r="F33" s="1670">
        <f t="shared" si="1"/>
        <v>51236</v>
      </c>
      <c r="G33" s="1670">
        <f t="shared" si="1"/>
        <v>0</v>
      </c>
      <c r="H33" s="1670">
        <f t="shared" si="1"/>
        <v>0</v>
      </c>
      <c r="I33" s="1670">
        <f t="shared" si="1"/>
        <v>0</v>
      </c>
      <c r="J33" s="1670">
        <f t="shared" si="1"/>
        <v>0</v>
      </c>
      <c r="K33" s="1670">
        <f t="shared" si="1"/>
        <v>643897</v>
      </c>
      <c r="L33" s="1670">
        <f t="shared" si="1"/>
        <v>731750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c r="D38" s="466"/>
      <c r="E38" s="466"/>
      <c r="F38" s="466"/>
      <c r="G38" s="466"/>
      <c r="H38" s="466"/>
      <c r="I38" s="467"/>
      <c r="J38" s="467"/>
      <c r="K38" s="1671">
        <f t="shared" si="2"/>
        <v>0</v>
      </c>
      <c r="L38" s="466">
        <v>0</v>
      </c>
    </row>
    <row r="39" spans="1:14" x14ac:dyDescent="0.2">
      <c r="A39" s="1504" t="s">
        <v>199</v>
      </c>
      <c r="B39" s="614">
        <v>2140</v>
      </c>
      <c r="C39" s="466"/>
      <c r="D39" s="466"/>
      <c r="E39" s="466"/>
      <c r="F39" s="466"/>
      <c r="G39" s="466"/>
      <c r="H39" s="466"/>
      <c r="I39" s="467"/>
      <c r="J39" s="467"/>
      <c r="K39" s="1671">
        <f t="shared" si="2"/>
        <v>0</v>
      </c>
      <c r="L39" s="466">
        <v>4500</v>
      </c>
    </row>
    <row r="40" spans="1:14" x14ac:dyDescent="0.2">
      <c r="A40" s="1504" t="s">
        <v>200</v>
      </c>
      <c r="B40" s="614">
        <v>2150</v>
      </c>
      <c r="C40" s="466"/>
      <c r="D40" s="466"/>
      <c r="E40" s="466"/>
      <c r="F40" s="466"/>
      <c r="G40" s="466"/>
      <c r="H40" s="466"/>
      <c r="I40" s="467"/>
      <c r="J40" s="467"/>
      <c r="K40" s="1671">
        <f t="shared" si="2"/>
        <v>0</v>
      </c>
      <c r="L40" s="466">
        <v>13300</v>
      </c>
    </row>
    <row r="41" spans="1:14" x14ac:dyDescent="0.2">
      <c r="A41" s="1504" t="s">
        <v>1669</v>
      </c>
      <c r="B41" s="614">
        <v>2190</v>
      </c>
      <c r="C41" s="466"/>
      <c r="D41" s="466"/>
      <c r="E41" s="466"/>
      <c r="F41" s="466"/>
      <c r="G41" s="466"/>
      <c r="H41" s="466"/>
      <c r="I41" s="467"/>
      <c r="J41" s="467"/>
      <c r="K41" s="1671">
        <f t="shared" si="2"/>
        <v>0</v>
      </c>
      <c r="L41" s="466">
        <v>4000</v>
      </c>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21800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800</v>
      </c>
      <c r="E44" s="481">
        <v>5974</v>
      </c>
      <c r="F44" s="481">
        <v>3449</v>
      </c>
      <c r="G44" s="481"/>
      <c r="H44" s="481"/>
      <c r="I44" s="467"/>
      <c r="J44" s="467"/>
      <c r="K44" s="1672">
        <f>SUM(C44:J44)</f>
        <v>10223</v>
      </c>
      <c r="L44" s="481">
        <v>19000</v>
      </c>
    </row>
    <row r="45" spans="1:14" x14ac:dyDescent="0.2">
      <c r="A45" s="1504" t="s">
        <v>815</v>
      </c>
      <c r="B45" s="614">
        <v>2220</v>
      </c>
      <c r="C45" s="466"/>
      <c r="D45" s="466"/>
      <c r="E45" s="466"/>
      <c r="F45" s="466">
        <v>891</v>
      </c>
      <c r="G45" s="466"/>
      <c r="H45" s="466"/>
      <c r="I45" s="467"/>
      <c r="J45" s="467"/>
      <c r="K45" s="1672">
        <f>SUM(C45:J45)</f>
        <v>891</v>
      </c>
      <c r="L45" s="466">
        <v>12500</v>
      </c>
    </row>
    <row r="46" spans="1:14" x14ac:dyDescent="0.2">
      <c r="A46" s="1504" t="s">
        <v>816</v>
      </c>
      <c r="B46" s="614">
        <v>2230</v>
      </c>
      <c r="C46" s="466"/>
      <c r="D46" s="466"/>
      <c r="E46" s="466">
        <v>2771</v>
      </c>
      <c r="F46" s="466"/>
      <c r="G46" s="466"/>
      <c r="H46" s="466"/>
      <c r="I46" s="467"/>
      <c r="J46" s="467"/>
      <c r="K46" s="1672">
        <f>SUM(C46:J46)</f>
        <v>2771</v>
      </c>
      <c r="L46" s="466">
        <v>3400</v>
      </c>
    </row>
    <row r="47" spans="1:14" ht="12.75" customHeight="1" thickBot="1" x14ac:dyDescent="0.25">
      <c r="A47" s="1668" t="s">
        <v>561</v>
      </c>
      <c r="B47" s="1669" t="s">
        <v>32</v>
      </c>
      <c r="C47" s="1670">
        <f>SUM(C44:C46)</f>
        <v>0</v>
      </c>
      <c r="D47" s="1670">
        <f t="shared" ref="D47:K47" si="4">SUM(D44:D46)</f>
        <v>800</v>
      </c>
      <c r="E47" s="1670">
        <f t="shared" si="4"/>
        <v>8745</v>
      </c>
      <c r="F47" s="1670">
        <f t="shared" si="4"/>
        <v>4340</v>
      </c>
      <c r="G47" s="1670">
        <f t="shared" si="4"/>
        <v>0</v>
      </c>
      <c r="H47" s="1670">
        <f t="shared" si="4"/>
        <v>0</v>
      </c>
      <c r="I47" s="1670">
        <f t="shared" si="4"/>
        <v>0</v>
      </c>
      <c r="J47" s="1670">
        <f t="shared" si="4"/>
        <v>0</v>
      </c>
      <c r="K47" s="1670">
        <f t="shared" si="4"/>
        <v>13885</v>
      </c>
      <c r="L47" s="1670">
        <f>SUM(L44:L46)</f>
        <v>34900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1800</v>
      </c>
      <c r="D49" s="481"/>
      <c r="E49" s="481">
        <v>12738</v>
      </c>
      <c r="F49" s="481">
        <v>759</v>
      </c>
      <c r="G49" s="481"/>
      <c r="H49" s="481"/>
      <c r="I49" s="467"/>
      <c r="J49" s="467"/>
      <c r="K49" s="1672">
        <f>SUM(C49:J49)</f>
        <v>15297</v>
      </c>
      <c r="L49" s="481">
        <v>3650</v>
      </c>
    </row>
    <row r="50" spans="1:14" x14ac:dyDescent="0.2">
      <c r="A50" s="1504" t="s">
        <v>818</v>
      </c>
      <c r="B50" s="614">
        <v>2320</v>
      </c>
      <c r="C50" s="466">
        <v>80400</v>
      </c>
      <c r="D50" s="466">
        <v>10373</v>
      </c>
      <c r="E50" s="466">
        <v>3280</v>
      </c>
      <c r="F50" s="466">
        <v>248</v>
      </c>
      <c r="G50" s="466"/>
      <c r="H50" s="466"/>
      <c r="I50" s="467"/>
      <c r="J50" s="467"/>
      <c r="K50" s="1672">
        <f>SUM(C50:J50)</f>
        <v>94301</v>
      </c>
      <c r="L50" s="466">
        <v>98500</v>
      </c>
    </row>
    <row r="51" spans="1:14" x14ac:dyDescent="0.2">
      <c r="A51" s="1504" t="s">
        <v>42</v>
      </c>
      <c r="B51" s="614">
        <v>2330</v>
      </c>
      <c r="C51" s="466"/>
      <c r="D51" s="466"/>
      <c r="E51" s="466"/>
      <c r="F51" s="466">
        <v>1265</v>
      </c>
      <c r="G51" s="466"/>
      <c r="H51" s="466"/>
      <c r="I51" s="467"/>
      <c r="J51" s="467"/>
      <c r="K51" s="1672">
        <f>SUM(C51:J51)</f>
        <v>1265</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82200</v>
      </c>
      <c r="D53" s="1670">
        <f t="shared" ref="D53:L53" si="5">SUM(D49:D52)</f>
        <v>10373</v>
      </c>
      <c r="E53" s="1670">
        <f t="shared" si="5"/>
        <v>16018</v>
      </c>
      <c r="F53" s="1670">
        <f t="shared" si="5"/>
        <v>2272</v>
      </c>
      <c r="G53" s="1670">
        <f t="shared" si="5"/>
        <v>0</v>
      </c>
      <c r="H53" s="1670">
        <f t="shared" si="5"/>
        <v>0</v>
      </c>
      <c r="I53" s="1670">
        <f t="shared" si="5"/>
        <v>0</v>
      </c>
      <c r="J53" s="1670">
        <f t="shared" si="5"/>
        <v>0</v>
      </c>
      <c r="K53" s="1670">
        <f t="shared" si="5"/>
        <v>110863</v>
      </c>
      <c r="L53" s="1670">
        <f t="shared" si="5"/>
        <v>102150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v>0</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61364</v>
      </c>
      <c r="D60" s="466"/>
      <c r="E60" s="466">
        <v>4956</v>
      </c>
      <c r="F60" s="466">
        <v>391</v>
      </c>
      <c r="G60" s="466"/>
      <c r="H60" s="466"/>
      <c r="I60" s="467"/>
      <c r="J60" s="467"/>
      <c r="K60" s="1672">
        <f t="shared" si="7"/>
        <v>66711</v>
      </c>
      <c r="L60" s="466">
        <v>54450</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20047</v>
      </c>
      <c r="D63" s="466"/>
      <c r="E63" s="466"/>
      <c r="F63" s="466">
        <v>61801</v>
      </c>
      <c r="G63" s="466"/>
      <c r="H63" s="466"/>
      <c r="I63" s="467"/>
      <c r="J63" s="467"/>
      <c r="K63" s="1672">
        <f t="shared" si="7"/>
        <v>81848</v>
      </c>
      <c r="L63" s="466">
        <v>82500</v>
      </c>
    </row>
    <row r="64" spans="1:14" s="609" customFormat="1" x14ac:dyDescent="0.2">
      <c r="A64" s="1509" t="s">
        <v>101</v>
      </c>
      <c r="B64" s="630">
        <v>2570</v>
      </c>
      <c r="C64" s="481"/>
      <c r="D64" s="481"/>
      <c r="E64" s="481"/>
      <c r="F64" s="481">
        <v>4027</v>
      </c>
      <c r="G64" s="481"/>
      <c r="H64" s="481"/>
      <c r="I64" s="467"/>
      <c r="J64" s="467"/>
      <c r="K64" s="1672">
        <f t="shared" si="7"/>
        <v>4027</v>
      </c>
      <c r="L64" s="481">
        <v>0</v>
      </c>
    </row>
    <row r="65" spans="1:14" s="343" customFormat="1" ht="12.75" customHeight="1" thickBot="1" x14ac:dyDescent="0.25">
      <c r="A65" s="1668" t="s">
        <v>719</v>
      </c>
      <c r="B65" s="1669" t="s">
        <v>35</v>
      </c>
      <c r="C65" s="1670">
        <f>SUM(C59:C64)</f>
        <v>81411</v>
      </c>
      <c r="D65" s="1670">
        <f t="shared" ref="D65:L65" si="8">SUM(D59:D64)</f>
        <v>0</v>
      </c>
      <c r="E65" s="1670">
        <f t="shared" si="8"/>
        <v>4956</v>
      </c>
      <c r="F65" s="1670">
        <f t="shared" si="8"/>
        <v>66219</v>
      </c>
      <c r="G65" s="1670">
        <f t="shared" si="8"/>
        <v>0</v>
      </c>
      <c r="H65" s="1670">
        <f t="shared" si="8"/>
        <v>0</v>
      </c>
      <c r="I65" s="1670">
        <f t="shared" si="8"/>
        <v>0</v>
      </c>
      <c r="J65" s="1670">
        <f t="shared" si="8"/>
        <v>0</v>
      </c>
      <c r="K65" s="1670">
        <f t="shared" si="8"/>
        <v>152586</v>
      </c>
      <c r="L65" s="1670">
        <f t="shared" si="8"/>
        <v>136950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163611</v>
      </c>
      <c r="D74" s="1677">
        <f t="shared" ref="D74:K74" si="10">SUM(D42,D47,D53,D57,D65,D72,D73)</f>
        <v>11173</v>
      </c>
      <c r="E74" s="1677">
        <f t="shared" si="10"/>
        <v>29719</v>
      </c>
      <c r="F74" s="1677">
        <f t="shared" si="10"/>
        <v>72831</v>
      </c>
      <c r="G74" s="1677">
        <f t="shared" si="10"/>
        <v>0</v>
      </c>
      <c r="H74" s="1677">
        <f t="shared" si="10"/>
        <v>0</v>
      </c>
      <c r="I74" s="1677">
        <f t="shared" si="10"/>
        <v>0</v>
      </c>
      <c r="J74" s="1677">
        <f t="shared" si="10"/>
        <v>0</v>
      </c>
      <c r="K74" s="1677">
        <f t="shared" si="10"/>
        <v>277334</v>
      </c>
      <c r="L74" s="1677">
        <f>SUM(L42,L47,L53,L57,L65,L72,L73)</f>
        <v>295800</v>
      </c>
    </row>
    <row r="75" spans="1:14" s="259" customFormat="1" ht="15.75" customHeight="1" thickTop="1" thickBot="1" x14ac:dyDescent="0.25">
      <c r="A75" s="1610" t="s">
        <v>47</v>
      </c>
      <c r="B75" s="1611" t="s">
        <v>575</v>
      </c>
      <c r="C75" s="573"/>
      <c r="D75" s="573"/>
      <c r="E75" s="573"/>
      <c r="F75" s="573">
        <v>421</v>
      </c>
      <c r="G75" s="573"/>
      <c r="H75" s="573"/>
      <c r="I75" s="531"/>
      <c r="J75" s="531"/>
      <c r="K75" s="1670">
        <f>SUM(C75:J75)</f>
        <v>421</v>
      </c>
      <c r="L75" s="576">
        <v>3000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2551</v>
      </c>
      <c r="F78" s="616"/>
      <c r="G78" s="616"/>
      <c r="H78" s="634"/>
      <c r="I78" s="477"/>
      <c r="J78" s="477"/>
      <c r="K78" s="1671">
        <f t="shared" ref="K78:K83" si="11">SUM(C78:J78)</f>
        <v>2551</v>
      </c>
      <c r="L78" s="481">
        <v>30000</v>
      </c>
    </row>
    <row r="79" spans="1:14" x14ac:dyDescent="0.2">
      <c r="A79" s="1504" t="s">
        <v>304</v>
      </c>
      <c r="B79" s="614">
        <v>4120</v>
      </c>
      <c r="C79" s="616"/>
      <c r="D79" s="616"/>
      <c r="E79" s="466">
        <v>106647</v>
      </c>
      <c r="F79" s="616"/>
      <c r="G79" s="616"/>
      <c r="H79" s="466">
        <v>6739</v>
      </c>
      <c r="I79" s="477"/>
      <c r="J79" s="477"/>
      <c r="K79" s="1671">
        <f t="shared" si="11"/>
        <v>113386</v>
      </c>
      <c r="L79" s="466">
        <v>65963</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3000</v>
      </c>
    </row>
    <row r="84" spans="1:12" ht="13.5" thickBot="1" x14ac:dyDescent="0.25">
      <c r="A84" s="1668" t="s">
        <v>1485</v>
      </c>
      <c r="B84" s="1678">
        <v>4100</v>
      </c>
      <c r="C84" s="616"/>
      <c r="D84" s="616"/>
      <c r="E84" s="1670">
        <f>SUM(E78:E83)</f>
        <v>109198</v>
      </c>
      <c r="F84" s="616"/>
      <c r="G84" s="616"/>
      <c r="H84" s="1670">
        <f>SUM(H78:H83)</f>
        <v>6739</v>
      </c>
      <c r="I84" s="477"/>
      <c r="J84" s="477"/>
      <c r="K84" s="1670">
        <f>SUM(K78:K83)</f>
        <v>115937</v>
      </c>
      <c r="L84" s="1670">
        <f>SUM(L78:L83)</f>
        <v>98963</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v>12582</v>
      </c>
      <c r="I86" s="477"/>
      <c r="J86" s="477"/>
      <c r="K86" s="1677">
        <f t="shared" ref="K86:K98" si="12">H86</f>
        <v>12582</v>
      </c>
      <c r="L86" s="530">
        <v>20000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12582</v>
      </c>
      <c r="I92" s="477"/>
      <c r="J92" s="477"/>
      <c r="K92" s="1677">
        <f t="shared" si="12"/>
        <v>12582</v>
      </c>
      <c r="L92" s="1670">
        <f>SUM(L85:L91)</f>
        <v>20000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109198</v>
      </c>
      <c r="F102" s="616"/>
      <c r="G102" s="616"/>
      <c r="H102" s="1677">
        <f>SUM(H84,H92,H100,H101)</f>
        <v>19321</v>
      </c>
      <c r="I102" s="477"/>
      <c r="J102" s="477"/>
      <c r="K102" s="1677">
        <f>SUM(K84,K92,K100,K101)</f>
        <v>128519</v>
      </c>
      <c r="L102" s="1677">
        <f>SUM(L84,L92,L100,L101)</f>
        <v>118963</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10000</v>
      </c>
      <c r="M113" s="613"/>
      <c r="N113" s="613"/>
    </row>
    <row r="114" spans="1:14" ht="12.75" customHeight="1" thickTop="1" thickBot="1" x14ac:dyDescent="0.25">
      <c r="A114" s="1668" t="s">
        <v>48</v>
      </c>
      <c r="B114" s="1682"/>
      <c r="C114" s="1670">
        <f>SUM(C33,C74,C75,C102,C112,C113)</f>
        <v>645794</v>
      </c>
      <c r="D114" s="1670">
        <f t="shared" ref="D114:K114" si="13">SUM(D33,D74,D75,D102,D112,D113)</f>
        <v>93995</v>
      </c>
      <c r="E114" s="1670">
        <f t="shared" si="13"/>
        <v>166573</v>
      </c>
      <c r="F114" s="1670">
        <f t="shared" si="13"/>
        <v>124488</v>
      </c>
      <c r="G114" s="1670">
        <f t="shared" si="13"/>
        <v>0</v>
      </c>
      <c r="H114" s="1670">
        <f>SUM(H33,H74,H75,H102,H112,H113)</f>
        <v>19321</v>
      </c>
      <c r="I114" s="1670">
        <f t="shared" si="13"/>
        <v>0</v>
      </c>
      <c r="J114" s="1670">
        <f t="shared" si="13"/>
        <v>0</v>
      </c>
      <c r="K114" s="1670">
        <f t="shared" si="13"/>
        <v>1050171</v>
      </c>
      <c r="L114" s="1670">
        <f>SUM(L33,L74,L75,L102,L112,L113)</f>
        <v>1159513</v>
      </c>
    </row>
    <row r="115" spans="1:14" ht="13.5" thickTop="1" x14ac:dyDescent="0.2">
      <c r="A115" s="2155" t="s">
        <v>996</v>
      </c>
      <c r="B115" s="2156"/>
      <c r="C115" s="618"/>
      <c r="D115" s="618"/>
      <c r="E115" s="618"/>
      <c r="F115" s="618"/>
      <c r="G115" s="618"/>
      <c r="H115" s="618"/>
      <c r="I115" s="618"/>
      <c r="J115" s="618"/>
      <c r="K115" s="1684">
        <f>'Revenues 9-14'!C268-'Expenditures 15-22'!K114</f>
        <v>207327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51902</v>
      </c>
      <c r="D124" s="466">
        <v>4500</v>
      </c>
      <c r="E124" s="466">
        <v>15324</v>
      </c>
      <c r="F124" s="466">
        <v>28700</v>
      </c>
      <c r="G124" s="466">
        <v>62509</v>
      </c>
      <c r="H124" s="466">
        <v>919</v>
      </c>
      <c r="I124" s="467"/>
      <c r="J124" s="467"/>
      <c r="K124" s="1670">
        <f>SUM(C124:J124)</f>
        <v>163854</v>
      </c>
      <c r="L124" s="466">
        <v>225500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51902</v>
      </c>
      <c r="D127" s="1670">
        <f t="shared" ref="D127:L127" si="14">SUM(D122:D126)</f>
        <v>4500</v>
      </c>
      <c r="E127" s="1670">
        <f t="shared" si="14"/>
        <v>15324</v>
      </c>
      <c r="F127" s="1670">
        <f t="shared" si="14"/>
        <v>28700</v>
      </c>
      <c r="G127" s="1670">
        <f t="shared" si="14"/>
        <v>62509</v>
      </c>
      <c r="H127" s="1670">
        <f t="shared" si="14"/>
        <v>919</v>
      </c>
      <c r="I127" s="1670">
        <f t="shared" si="14"/>
        <v>0</v>
      </c>
      <c r="J127" s="1670">
        <f t="shared" si="14"/>
        <v>0</v>
      </c>
      <c r="K127" s="1670">
        <f t="shared" si="14"/>
        <v>163854</v>
      </c>
      <c r="L127" s="1670">
        <f t="shared" si="14"/>
        <v>225500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51902</v>
      </c>
      <c r="D129" s="1677">
        <f t="shared" ref="D129:L129" si="15">SUM(D120,D127,D128)</f>
        <v>4500</v>
      </c>
      <c r="E129" s="1677">
        <f t="shared" si="15"/>
        <v>15324</v>
      </c>
      <c r="F129" s="1677">
        <f t="shared" si="15"/>
        <v>28700</v>
      </c>
      <c r="G129" s="1677">
        <f t="shared" si="15"/>
        <v>62509</v>
      </c>
      <c r="H129" s="1677">
        <f t="shared" si="15"/>
        <v>919</v>
      </c>
      <c r="I129" s="1677">
        <f t="shared" si="15"/>
        <v>0</v>
      </c>
      <c r="J129" s="1677">
        <f t="shared" si="15"/>
        <v>0</v>
      </c>
      <c r="K129" s="1677">
        <f t="shared" si="15"/>
        <v>163854</v>
      </c>
      <c r="L129" s="1677">
        <f t="shared" si="15"/>
        <v>225500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15320</v>
      </c>
    </row>
    <row r="151" spans="1:14" ht="12.75" customHeight="1" thickTop="1" thickBot="1" x14ac:dyDescent="0.25">
      <c r="A151" s="2172" t="s">
        <v>620</v>
      </c>
      <c r="B151" s="2152"/>
      <c r="C151" s="1670">
        <f>SUM(C129,C130,C139,C149,C150)</f>
        <v>51902</v>
      </c>
      <c r="D151" s="1670">
        <f t="shared" ref="D151:K151" si="16">SUM(D129,D130,D139,D149,D150)</f>
        <v>4500</v>
      </c>
      <c r="E151" s="1670">
        <f t="shared" si="16"/>
        <v>15324</v>
      </c>
      <c r="F151" s="1670">
        <f t="shared" si="16"/>
        <v>28700</v>
      </c>
      <c r="G151" s="1670">
        <f t="shared" si="16"/>
        <v>62509</v>
      </c>
      <c r="H151" s="1670">
        <f t="shared" si="16"/>
        <v>919</v>
      </c>
      <c r="I151" s="1670">
        <f t="shared" si="16"/>
        <v>0</v>
      </c>
      <c r="J151" s="1670">
        <f t="shared" si="16"/>
        <v>0</v>
      </c>
      <c r="K151" s="1670">
        <f t="shared" si="16"/>
        <v>163854</v>
      </c>
      <c r="L151" s="1670">
        <f>SUM(L129,L130,L139,L149,L150)</f>
        <v>240820</v>
      </c>
    </row>
    <row r="152" spans="1:14" ht="12.75" customHeight="1" thickTop="1" x14ac:dyDescent="0.2">
      <c r="A152" s="2175" t="s">
        <v>1178</v>
      </c>
      <c r="B152" s="2176"/>
      <c r="C152" s="618"/>
      <c r="D152" s="618"/>
      <c r="E152" s="618"/>
      <c r="F152" s="618"/>
      <c r="G152" s="618"/>
      <c r="H152" s="618"/>
      <c r="I152" s="618"/>
      <c r="J152" s="616"/>
      <c r="K152" s="1684">
        <f>'Revenues 9-14'!D268-'Expenditures 15-22'!K151</f>
        <v>16843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13222</v>
      </c>
      <c r="I169" s="616"/>
      <c r="J169" s="616"/>
      <c r="K169" s="1671">
        <f>SUM(C169:H169)</f>
        <v>13222</v>
      </c>
      <c r="L169" s="656">
        <v>13220</v>
      </c>
    </row>
    <row r="170" spans="1:14" ht="33.75" customHeight="1" x14ac:dyDescent="0.2">
      <c r="A170" s="669" t="s">
        <v>1670</v>
      </c>
      <c r="B170" s="671" t="s">
        <v>31</v>
      </c>
      <c r="C170" s="616"/>
      <c r="D170" s="616"/>
      <c r="E170" s="616"/>
      <c r="F170" s="616"/>
      <c r="G170" s="616"/>
      <c r="H170" s="569">
        <v>18000</v>
      </c>
      <c r="I170" s="616"/>
      <c r="J170" s="616"/>
      <c r="K170" s="1671">
        <f>SUM(C170:J170)</f>
        <v>18000</v>
      </c>
      <c r="L170" s="569">
        <v>18000</v>
      </c>
    </row>
    <row r="171" spans="1:14" ht="15.75" customHeight="1" x14ac:dyDescent="0.2">
      <c r="A171" s="621" t="s">
        <v>766</v>
      </c>
      <c r="B171" s="672" t="s">
        <v>84</v>
      </c>
      <c r="C171" s="616"/>
      <c r="D171" s="616"/>
      <c r="E171" s="466"/>
      <c r="F171" s="616"/>
      <c r="G171" s="616"/>
      <c r="H171" s="569">
        <v>500</v>
      </c>
      <c r="I171" s="477"/>
      <c r="J171" s="616"/>
      <c r="K171" s="1671">
        <f>SUM(C171:J171)</f>
        <v>500</v>
      </c>
      <c r="L171" s="569">
        <v>0</v>
      </c>
    </row>
    <row r="172" spans="1:14" ht="12.75" customHeight="1" thickBot="1" x14ac:dyDescent="0.25">
      <c r="A172" s="1668" t="s">
        <v>638</v>
      </c>
      <c r="B172" s="1669" t="s">
        <v>492</v>
      </c>
      <c r="C172" s="616"/>
      <c r="D172" s="616"/>
      <c r="E172" s="1677">
        <f>SUM(E168,E169,E170,E171)</f>
        <v>0</v>
      </c>
      <c r="F172" s="616"/>
      <c r="G172" s="616"/>
      <c r="H172" s="1677">
        <f>SUM(H168,H169,H170,H171)</f>
        <v>31722</v>
      </c>
      <c r="I172" s="638"/>
      <c r="J172" s="616"/>
      <c r="K172" s="1677">
        <f>SUM(K168,K169,K170,K171)</f>
        <v>31722</v>
      </c>
      <c r="L172" s="1677">
        <f>SUM(L168,L169,L170,L171)</f>
        <v>31220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31722</v>
      </c>
      <c r="I174" s="638"/>
      <c r="J174" s="616"/>
      <c r="K174" s="1677">
        <f>SUM(K160,K172,K173)</f>
        <v>31722</v>
      </c>
      <c r="L174" s="1677">
        <f>SUM(L160,L172,L173)</f>
        <v>31220</v>
      </c>
    </row>
    <row r="175" spans="1:14" ht="13.5" thickTop="1" x14ac:dyDescent="0.2">
      <c r="A175" s="2155" t="s">
        <v>996</v>
      </c>
      <c r="B175" s="2156"/>
      <c r="C175" s="616"/>
      <c r="D175" s="616"/>
      <c r="E175" s="616"/>
      <c r="F175" s="616"/>
      <c r="G175" s="616"/>
      <c r="H175" s="618"/>
      <c r="I175" s="616"/>
      <c r="J175" s="616"/>
      <c r="K175" s="1684">
        <f>'Revenues 9-14'!E268-'Expenditures 15-22'!K174</f>
        <v>-31722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44365</v>
      </c>
      <c r="D182" s="466">
        <v>1238</v>
      </c>
      <c r="E182" s="466">
        <v>6368</v>
      </c>
      <c r="F182" s="466">
        <v>9738</v>
      </c>
      <c r="G182" s="466">
        <v>23026</v>
      </c>
      <c r="H182" s="466"/>
      <c r="I182" s="467"/>
      <c r="J182" s="467"/>
      <c r="K182" s="1671">
        <f>SUM(C182:J182)</f>
        <v>84735</v>
      </c>
      <c r="L182" s="466">
        <v>93000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44365</v>
      </c>
      <c r="D184" s="1677">
        <f t="shared" ref="D184:J184" si="17">SUM(D180,D182,D183)</f>
        <v>1238</v>
      </c>
      <c r="E184" s="1677">
        <f t="shared" si="17"/>
        <v>6368</v>
      </c>
      <c r="F184" s="1677">
        <f t="shared" si="17"/>
        <v>9738</v>
      </c>
      <c r="G184" s="1677">
        <f t="shared" si="17"/>
        <v>23026</v>
      </c>
      <c r="H184" s="1677">
        <f t="shared" si="17"/>
        <v>0</v>
      </c>
      <c r="I184" s="1677">
        <f t="shared" si="17"/>
        <v>0</v>
      </c>
      <c r="J184" s="1677">
        <f t="shared" si="17"/>
        <v>0</v>
      </c>
      <c r="K184" s="1677">
        <f>SUM(K180,K182,K183)</f>
        <v>84735</v>
      </c>
      <c r="L184" s="1677">
        <f>SUM(L180, L182:L183)</f>
        <v>93000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44365</v>
      </c>
      <c r="D210" s="1670">
        <f>SUM(D184,D185)</f>
        <v>1238</v>
      </c>
      <c r="E210" s="1670">
        <f>SUM(E184,E185,E196)</f>
        <v>6368</v>
      </c>
      <c r="F210" s="1670">
        <f>SUM(F184,F185)</f>
        <v>9738</v>
      </c>
      <c r="G210" s="1670">
        <f>SUM(G184,G185)</f>
        <v>23026</v>
      </c>
      <c r="H210" s="1670">
        <f>SUM(H184,H185,H196,H208,H209)</f>
        <v>0</v>
      </c>
      <c r="I210" s="1670">
        <f>SUM(I184,I185)</f>
        <v>0</v>
      </c>
      <c r="J210" s="1670">
        <f>SUM(J184,J185)</f>
        <v>0</v>
      </c>
      <c r="K210" s="1671">
        <f>SUM(K184,K185,K196,K208,K209)</f>
        <v>84735</v>
      </c>
      <c r="L210" s="1670">
        <f>SUM(L184,L185,L196,L208,L209)</f>
        <v>93000</v>
      </c>
    </row>
    <row r="211" spans="1:14" ht="13.5" thickTop="1" x14ac:dyDescent="0.2">
      <c r="A211" s="2155" t="s">
        <v>996</v>
      </c>
      <c r="B211" s="2156"/>
      <c r="C211" s="618"/>
      <c r="D211" s="618"/>
      <c r="E211" s="618"/>
      <c r="F211" s="618"/>
      <c r="G211" s="618"/>
      <c r="H211" s="618"/>
      <c r="I211" s="616"/>
      <c r="J211" s="616"/>
      <c r="K211" s="1684">
        <f>'Revenues 9-14'!F268-'Expenditures 15-22'!K210</f>
        <v>-3981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7180</v>
      </c>
      <c r="E215" s="616"/>
      <c r="F215" s="616"/>
      <c r="G215" s="616"/>
      <c r="H215" s="616"/>
      <c r="I215" s="616"/>
      <c r="J215" s="616"/>
      <c r="K215" s="1671">
        <f>D215</f>
        <v>7180</v>
      </c>
      <c r="L215" s="466">
        <v>8000</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v>2666</v>
      </c>
      <c r="E217" s="616"/>
      <c r="F217" s="616"/>
      <c r="G217" s="616"/>
      <c r="H217" s="616"/>
      <c r="I217" s="616"/>
      <c r="J217" s="616"/>
      <c r="K217" s="1671">
        <f t="shared" si="19"/>
        <v>2666</v>
      </c>
      <c r="L217" s="466">
        <v>5500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72</v>
      </c>
      <c r="E219" s="616"/>
      <c r="F219" s="616"/>
      <c r="G219" s="616"/>
      <c r="H219" s="616"/>
      <c r="I219" s="616"/>
      <c r="J219" s="616"/>
      <c r="K219" s="1671">
        <f t="shared" si="19"/>
        <v>72</v>
      </c>
      <c r="L219" s="466">
        <v>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c r="E223" s="616"/>
      <c r="F223" s="616"/>
      <c r="G223" s="616"/>
      <c r="H223" s="616"/>
      <c r="I223" s="616"/>
      <c r="J223" s="616"/>
      <c r="K223" s="1671">
        <f t="shared" si="19"/>
        <v>0</v>
      </c>
      <c r="L223" s="466">
        <v>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9918</v>
      </c>
      <c r="E229" s="616"/>
      <c r="F229" s="616"/>
      <c r="G229" s="616"/>
      <c r="H229" s="616"/>
      <c r="I229" s="616"/>
      <c r="J229" s="616"/>
      <c r="K229" s="1670">
        <f>SUM(K215:K228)</f>
        <v>9918</v>
      </c>
      <c r="L229" s="1670">
        <f>SUM(L215:L228)</f>
        <v>13500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298</v>
      </c>
      <c r="E245" s="616"/>
      <c r="F245" s="616"/>
      <c r="G245" s="616"/>
      <c r="H245" s="616"/>
      <c r="I245" s="616"/>
      <c r="J245" s="616"/>
      <c r="K245" s="1672">
        <f>D245</f>
        <v>298</v>
      </c>
      <c r="L245" s="481">
        <v>450</v>
      </c>
    </row>
    <row r="246" spans="1:12" x14ac:dyDescent="0.2">
      <c r="A246" s="1504" t="s">
        <v>818</v>
      </c>
      <c r="B246" s="614">
        <v>2320</v>
      </c>
      <c r="C246" s="616"/>
      <c r="D246" s="466">
        <v>1166</v>
      </c>
      <c r="E246" s="616"/>
      <c r="F246" s="616"/>
      <c r="G246" s="616"/>
      <c r="H246" s="616"/>
      <c r="I246" s="616"/>
      <c r="J246" s="616"/>
      <c r="K246" s="1672">
        <f t="shared" ref="K246:K256" si="21">D246</f>
        <v>1166</v>
      </c>
      <c r="L246" s="466">
        <v>1500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v>29</v>
      </c>
      <c r="E254" s="616"/>
      <c r="F254" s="616"/>
      <c r="G254" s="616"/>
      <c r="H254" s="616"/>
      <c r="I254" s="616"/>
      <c r="J254" s="616"/>
      <c r="K254" s="1672">
        <f t="shared" si="21"/>
        <v>29</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1493</v>
      </c>
      <c r="E257" s="616"/>
      <c r="F257" s="616"/>
      <c r="G257" s="616"/>
      <c r="H257" s="616"/>
      <c r="I257" s="616"/>
      <c r="J257" s="616"/>
      <c r="K257" s="1670">
        <f>SUM(K245:K256)</f>
        <v>1493</v>
      </c>
      <c r="L257" s="1670">
        <f>SUM(L245:L256)</f>
        <v>1950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v>0</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8960</v>
      </c>
      <c r="E264" s="616"/>
      <c r="F264" s="616"/>
      <c r="G264" s="616"/>
      <c r="H264" s="616"/>
      <c r="I264" s="616"/>
      <c r="J264" s="616"/>
      <c r="K264" s="1672">
        <f t="shared" ref="K264:K269" si="22">D264</f>
        <v>8960</v>
      </c>
      <c r="L264" s="466">
        <v>8000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8534</v>
      </c>
      <c r="E266" s="616"/>
      <c r="F266" s="616"/>
      <c r="G266" s="616"/>
      <c r="H266" s="616"/>
      <c r="I266" s="616"/>
      <c r="J266" s="616"/>
      <c r="K266" s="1672">
        <f t="shared" si="22"/>
        <v>8534</v>
      </c>
      <c r="L266" s="466">
        <v>12000</v>
      </c>
    </row>
    <row r="267" spans="1:14" x14ac:dyDescent="0.2">
      <c r="A267" s="1504" t="s">
        <v>953</v>
      </c>
      <c r="B267" s="614">
        <v>2550</v>
      </c>
      <c r="C267" s="616"/>
      <c r="D267" s="466">
        <v>4724</v>
      </c>
      <c r="E267" s="616"/>
      <c r="F267" s="616"/>
      <c r="G267" s="616"/>
      <c r="H267" s="616"/>
      <c r="I267" s="616"/>
      <c r="J267" s="616"/>
      <c r="K267" s="1672">
        <f t="shared" si="22"/>
        <v>4724</v>
      </c>
      <c r="L267" s="466">
        <v>0</v>
      </c>
    </row>
    <row r="268" spans="1:14" x14ac:dyDescent="0.2">
      <c r="A268" s="1504" t="s">
        <v>100</v>
      </c>
      <c r="B268" s="614">
        <v>2560</v>
      </c>
      <c r="C268" s="616"/>
      <c r="D268" s="466">
        <v>3325</v>
      </c>
      <c r="E268" s="616"/>
      <c r="F268" s="616"/>
      <c r="G268" s="616"/>
      <c r="H268" s="616"/>
      <c r="I268" s="616"/>
      <c r="J268" s="616"/>
      <c r="K268" s="1672">
        <f t="shared" si="22"/>
        <v>3325</v>
      </c>
      <c r="L268" s="466">
        <v>5000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25543</v>
      </c>
      <c r="E270" s="616"/>
      <c r="F270" s="616"/>
      <c r="G270" s="616"/>
      <c r="H270" s="616"/>
      <c r="I270" s="616"/>
      <c r="J270" s="616"/>
      <c r="K270" s="1670">
        <f>SUM(K263:K269)</f>
        <v>25543</v>
      </c>
      <c r="L270" s="1670">
        <f>SUM(L263:L269)</f>
        <v>25000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27036</v>
      </c>
      <c r="E279" s="616"/>
      <c r="F279" s="616"/>
      <c r="G279" s="616"/>
      <c r="H279" s="616"/>
      <c r="I279" s="616"/>
      <c r="J279" s="616"/>
      <c r="K279" s="1677">
        <f>SUM(K238,K243,K257,K261,K270,K277,K278)</f>
        <v>27036</v>
      </c>
      <c r="L279" s="1677">
        <f>SUM(L238,L243,L257,L261,L270,L277,L278)</f>
        <v>26950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3" t="s">
        <v>505</v>
      </c>
      <c r="B295" s="2174"/>
      <c r="C295" s="616"/>
      <c r="D295" s="1670">
        <f>SUM(D229,D279,D280,D285)</f>
        <v>36954</v>
      </c>
      <c r="E295" s="616"/>
      <c r="F295" s="616"/>
      <c r="G295" s="616"/>
      <c r="H295" s="1670">
        <f>H293</f>
        <v>0</v>
      </c>
      <c r="I295" s="616"/>
      <c r="J295" s="616"/>
      <c r="K295" s="1670">
        <f>SUM(K229,K279,K280,K285,K293,K294)</f>
        <v>36954</v>
      </c>
      <c r="L295" s="1670">
        <f>SUM(L229,L279,L280,L285,L293,L294)</f>
        <v>40450</v>
      </c>
    </row>
    <row r="296" spans="1:14" ht="13.5" thickTop="1" x14ac:dyDescent="0.2">
      <c r="A296" s="2155" t="s">
        <v>996</v>
      </c>
      <c r="B296" s="2156"/>
      <c r="C296" s="616"/>
      <c r="D296" s="618"/>
      <c r="E296" s="616"/>
      <c r="F296" s="616"/>
      <c r="G296" s="616"/>
      <c r="H296" s="687"/>
      <c r="I296" s="616"/>
      <c r="J296" s="616"/>
      <c r="K296" s="1684">
        <f>'Revenues 9-14'!G268-'Expenditures 15-22'!K295</f>
        <v>-12317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5000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10000</v>
      </c>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15000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44492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v>14934</v>
      </c>
      <c r="F320" s="467"/>
      <c r="G320" s="467"/>
      <c r="H320" s="467"/>
      <c r="I320" s="467"/>
      <c r="J320" s="467"/>
      <c r="K320" s="1671">
        <f t="shared" ref="K320:K327" si="24">SUM(C320:J320)</f>
        <v>14934</v>
      </c>
      <c r="L320" s="467">
        <v>14000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v>2000</v>
      </c>
      <c r="D325" s="467">
        <v>258</v>
      </c>
      <c r="E325" s="467">
        <v>699</v>
      </c>
      <c r="F325" s="467"/>
      <c r="G325" s="467"/>
      <c r="H325" s="467"/>
      <c r="I325" s="467"/>
      <c r="J325" s="467"/>
      <c r="K325" s="1671">
        <f t="shared" si="24"/>
        <v>2957</v>
      </c>
      <c r="L325" s="467">
        <v>5900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1679</v>
      </c>
      <c r="F327" s="467"/>
      <c r="G327" s="467"/>
      <c r="H327" s="467"/>
      <c r="I327" s="467"/>
      <c r="J327" s="467"/>
      <c r="K327" s="1671">
        <f t="shared" si="24"/>
        <v>1679</v>
      </c>
      <c r="L327" s="467">
        <v>3000</v>
      </c>
      <c r="M327" s="665"/>
      <c r="N327" s="665"/>
    </row>
    <row r="328" spans="1:14" s="674" customFormat="1" x14ac:dyDescent="0.2">
      <c r="A328" s="1520" t="s">
        <v>472</v>
      </c>
      <c r="B328" s="690" t="s">
        <v>1132</v>
      </c>
      <c r="C328" s="474"/>
      <c r="D328" s="474"/>
      <c r="E328" s="474">
        <v>14039</v>
      </c>
      <c r="F328" s="474"/>
      <c r="G328" s="474"/>
      <c r="H328" s="474"/>
      <c r="I328" s="474"/>
      <c r="J328" s="474"/>
      <c r="K328" s="1699">
        <f>SUM(C328:J328)</f>
        <v>14039</v>
      </c>
      <c r="L328" s="474">
        <v>14000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2000</v>
      </c>
      <c r="D330" s="1670">
        <f t="shared" ref="D330:J330" si="25">SUM(D319:D329)</f>
        <v>258</v>
      </c>
      <c r="E330" s="1670">
        <f t="shared" si="25"/>
        <v>31351</v>
      </c>
      <c r="F330" s="1670">
        <f t="shared" si="25"/>
        <v>0</v>
      </c>
      <c r="G330" s="1670">
        <f t="shared" si="25"/>
        <v>0</v>
      </c>
      <c r="H330" s="1670">
        <f t="shared" si="25"/>
        <v>0</v>
      </c>
      <c r="I330" s="1670">
        <f t="shared" si="25"/>
        <v>0</v>
      </c>
      <c r="J330" s="1670">
        <f t="shared" si="25"/>
        <v>0</v>
      </c>
      <c r="K330" s="1670">
        <f>SUM(K319:K329)</f>
        <v>33609</v>
      </c>
      <c r="L330" s="1670">
        <f>SUM(L319:L329)</f>
        <v>36900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2000</v>
      </c>
      <c r="D342" s="1670">
        <f>SUM(D330)</f>
        <v>258</v>
      </c>
      <c r="E342" s="1670">
        <f>SUM(E330)</f>
        <v>31351</v>
      </c>
      <c r="F342" s="1670">
        <f>SUM(F330)</f>
        <v>0</v>
      </c>
      <c r="G342" s="1670">
        <f>SUM(G330)</f>
        <v>0</v>
      </c>
      <c r="H342" s="1670">
        <f>SUM(H330,H334,H340)</f>
        <v>0</v>
      </c>
      <c r="I342" s="1670">
        <f>SUM(I330)</f>
        <v>0</v>
      </c>
      <c r="J342" s="1670">
        <f>SUM(J330)</f>
        <v>0</v>
      </c>
      <c r="K342" s="1670">
        <f>SUM(K330,K334,K340)</f>
        <v>33609</v>
      </c>
      <c r="L342" s="1677">
        <f>SUM(L330,L340,L341)</f>
        <v>36900</v>
      </c>
    </row>
    <row r="343" spans="1:14" ht="12.75" customHeight="1" thickTop="1" x14ac:dyDescent="0.2">
      <c r="A343" s="2168" t="s">
        <v>996</v>
      </c>
      <c r="B343" s="2169"/>
      <c r="C343" s="616"/>
      <c r="D343" s="616"/>
      <c r="E343" s="616"/>
      <c r="F343" s="616"/>
      <c r="G343" s="616"/>
      <c r="H343" s="616"/>
      <c r="I343" s="616"/>
      <c r="J343" s="616"/>
      <c r="K343" s="1684">
        <f>'Revenues 9-14'!J268-'Expenditures 15-22'!K342</f>
        <v>-5877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2649</v>
      </c>
      <c r="F348" s="466">
        <v>368</v>
      </c>
      <c r="G348" s="466"/>
      <c r="H348" s="466"/>
      <c r="I348" s="467"/>
      <c r="J348" s="467"/>
      <c r="K348" s="1671">
        <f>SUM(C348:J348)</f>
        <v>3017</v>
      </c>
      <c r="L348" s="466">
        <v>17600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2649</v>
      </c>
      <c r="F350" s="1670">
        <f t="shared" si="26"/>
        <v>368</v>
      </c>
      <c r="G350" s="1670">
        <f t="shared" si="26"/>
        <v>0</v>
      </c>
      <c r="H350" s="1670">
        <f t="shared" si="26"/>
        <v>0</v>
      </c>
      <c r="I350" s="1670">
        <f t="shared" si="26"/>
        <v>0</v>
      </c>
      <c r="J350" s="1670">
        <f t="shared" si="26"/>
        <v>0</v>
      </c>
      <c r="K350" s="1670">
        <f t="shared" si="26"/>
        <v>3017</v>
      </c>
      <c r="L350" s="1670">
        <f t="shared" si="26"/>
        <v>17600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2649</v>
      </c>
      <c r="F352" s="1670">
        <f t="shared" si="27"/>
        <v>368</v>
      </c>
      <c r="G352" s="1670">
        <f t="shared" si="27"/>
        <v>0</v>
      </c>
      <c r="H352" s="1670">
        <f t="shared" si="27"/>
        <v>0</v>
      </c>
      <c r="I352" s="1670">
        <f t="shared" si="27"/>
        <v>0</v>
      </c>
      <c r="J352" s="1670">
        <f t="shared" si="27"/>
        <v>0</v>
      </c>
      <c r="K352" s="1670">
        <f t="shared" si="27"/>
        <v>3017</v>
      </c>
      <c r="L352" s="1670">
        <f t="shared" si="27"/>
        <v>17600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2649</v>
      </c>
      <c r="F367" s="1670">
        <f t="shared" si="28"/>
        <v>368</v>
      </c>
      <c r="G367" s="1670">
        <f t="shared" si="28"/>
        <v>0</v>
      </c>
      <c r="H367" s="1670">
        <f t="shared" si="28"/>
        <v>0</v>
      </c>
      <c r="I367" s="1670">
        <f t="shared" si="28"/>
        <v>0</v>
      </c>
      <c r="J367" s="1670">
        <f t="shared" si="28"/>
        <v>0</v>
      </c>
      <c r="K367" s="1670">
        <f t="shared" si="28"/>
        <v>3017</v>
      </c>
      <c r="L367" s="1670">
        <f t="shared" si="28"/>
        <v>17600</v>
      </c>
    </row>
    <row r="368" spans="1:14" ht="13.5" thickTop="1" x14ac:dyDescent="0.2">
      <c r="A368" s="2155" t="s">
        <v>996</v>
      </c>
      <c r="B368" s="2156"/>
      <c r="C368" s="654"/>
      <c r="D368" s="654"/>
      <c r="E368" s="626"/>
      <c r="F368" s="626"/>
      <c r="G368" s="626"/>
      <c r="H368" s="626"/>
      <c r="I368" s="626"/>
      <c r="J368" s="623"/>
      <c r="K368" s="1671">
        <f>'Revenues 9-14'!K268-'Expenditures 15-22'!K367</f>
        <v>11942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I42" sqref="I42:O4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1951</v>
      </c>
      <c r="C2" s="714" t="s">
        <v>1952</v>
      </c>
      <c r="D2" s="714" t="s">
        <v>1953</v>
      </c>
      <c r="E2" s="714" t="s">
        <v>1954</v>
      </c>
      <c r="F2" s="714" t="s">
        <v>1955</v>
      </c>
    </row>
    <row r="3" spans="1:6" ht="12" customHeight="1" x14ac:dyDescent="0.2">
      <c r="A3" s="2183"/>
      <c r="B3" s="1525"/>
      <c r="C3" s="1526"/>
      <c r="D3" s="1527" t="s">
        <v>256</v>
      </c>
      <c r="E3" s="1526"/>
      <c r="F3" s="1527" t="s">
        <v>257</v>
      </c>
    </row>
    <row r="4" spans="1:6" ht="13.7" customHeight="1" x14ac:dyDescent="0.2">
      <c r="A4" s="715" t="s">
        <v>1155</v>
      </c>
      <c r="B4" s="1749">
        <f>'Revenues 9-14'!C5</f>
        <v>871892</v>
      </c>
      <c r="C4" s="1524"/>
      <c r="D4" s="1752">
        <f>B4-C4</f>
        <v>871892</v>
      </c>
      <c r="E4" s="1524">
        <v>875000</v>
      </c>
      <c r="F4" s="1752">
        <f>E4-C4</f>
        <v>875000</v>
      </c>
    </row>
    <row r="5" spans="1:6" ht="13.7" customHeight="1" x14ac:dyDescent="0.2">
      <c r="A5" s="715" t="s">
        <v>870</v>
      </c>
      <c r="B5" s="1750">
        <f>'Revenues 9-14'!D5</f>
        <v>180354</v>
      </c>
      <c r="C5" s="585"/>
      <c r="D5" s="1753">
        <f t="shared" ref="D5:D18" si="0">B5-C5</f>
        <v>180354</v>
      </c>
      <c r="E5" s="585">
        <v>181001</v>
      </c>
      <c r="F5" s="1753">
        <f>E5-C5</f>
        <v>181001</v>
      </c>
    </row>
    <row r="6" spans="1:6" ht="13.7" customHeight="1" x14ac:dyDescent="0.2">
      <c r="A6" s="715" t="s">
        <v>411</v>
      </c>
      <c r="B6" s="1750">
        <f>'Revenues 9-14'!E5</f>
        <v>0</v>
      </c>
      <c r="C6" s="585"/>
      <c r="D6" s="1753">
        <f t="shared" si="0"/>
        <v>0</v>
      </c>
      <c r="E6" s="585">
        <v>0</v>
      </c>
      <c r="F6" s="1753">
        <f t="shared" ref="F6:F18" si="1">E6-C6</f>
        <v>0</v>
      </c>
    </row>
    <row r="7" spans="1:6" ht="13.7" customHeight="1" x14ac:dyDescent="0.2">
      <c r="A7" s="715" t="s">
        <v>155</v>
      </c>
      <c r="B7" s="1750">
        <f>'Revenues 9-14'!F5</f>
        <v>38862</v>
      </c>
      <c r="C7" s="585"/>
      <c r="D7" s="1753">
        <f t="shared" si="0"/>
        <v>38862</v>
      </c>
      <c r="E7" s="585">
        <v>39001</v>
      </c>
      <c r="F7" s="1753">
        <f t="shared" si="1"/>
        <v>39001</v>
      </c>
    </row>
    <row r="8" spans="1:6" ht="13.7" customHeight="1" x14ac:dyDescent="0.2">
      <c r="A8" s="715" t="s">
        <v>1179</v>
      </c>
      <c r="B8" s="1750">
        <f>'Revenues 9-14'!G5</f>
        <v>21921</v>
      </c>
      <c r="C8" s="585"/>
      <c r="D8" s="1753">
        <f t="shared" si="0"/>
        <v>21921</v>
      </c>
      <c r="E8" s="585">
        <v>22000</v>
      </c>
      <c r="F8" s="1753">
        <f t="shared" si="1"/>
        <v>22000</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14949</v>
      </c>
      <c r="C10" s="585"/>
      <c r="D10" s="1753">
        <f t="shared" si="0"/>
        <v>14949</v>
      </c>
      <c r="E10" s="585">
        <v>15001</v>
      </c>
      <c r="F10" s="1753">
        <f t="shared" si="1"/>
        <v>15001</v>
      </c>
    </row>
    <row r="11" spans="1:6" x14ac:dyDescent="0.2">
      <c r="A11" s="715" t="s">
        <v>409</v>
      </c>
      <c r="B11" s="1750">
        <f>'Revenues 9-14'!J5</f>
        <v>25914</v>
      </c>
      <c r="C11" s="585"/>
      <c r="D11" s="1753">
        <f t="shared" si="0"/>
        <v>25914</v>
      </c>
      <c r="E11" s="585">
        <v>26003</v>
      </c>
      <c r="F11" s="1753">
        <f t="shared" si="1"/>
        <v>26003</v>
      </c>
    </row>
    <row r="12" spans="1:6" ht="13.7" customHeight="1" x14ac:dyDescent="0.2">
      <c r="A12" s="715" t="s">
        <v>157</v>
      </c>
      <c r="B12" s="1750">
        <f>'Revenues 9-14'!K5</f>
        <v>14949</v>
      </c>
      <c r="C12" s="585"/>
      <c r="D12" s="1753">
        <f t="shared" si="0"/>
        <v>14949</v>
      </c>
      <c r="E12" s="585">
        <v>15001</v>
      </c>
      <c r="F12" s="1753">
        <f t="shared" si="1"/>
        <v>15001</v>
      </c>
    </row>
    <row r="13" spans="1:6" ht="13.7" customHeight="1" x14ac:dyDescent="0.2">
      <c r="A13" s="715" t="s">
        <v>936</v>
      </c>
      <c r="B13" s="1750">
        <f>SUM('Revenues 9-14'!C6:D6)</f>
        <v>8971</v>
      </c>
      <c r="C13" s="585"/>
      <c r="D13" s="1753">
        <f t="shared" si="0"/>
        <v>8971</v>
      </c>
      <c r="E13" s="585">
        <v>9002</v>
      </c>
      <c r="F13" s="1753">
        <f t="shared" si="1"/>
        <v>9002</v>
      </c>
    </row>
    <row r="14" spans="1:6" ht="13.7" customHeight="1" x14ac:dyDescent="0.2">
      <c r="A14" s="715" t="s">
        <v>410</v>
      </c>
      <c r="B14" s="1750">
        <f>SUM('Revenues 9-14'!C7:D7,'Revenues 9-14'!F7:H7)</f>
        <v>4784</v>
      </c>
      <c r="C14" s="585"/>
      <c r="D14" s="1753">
        <f t="shared" si="0"/>
        <v>4784</v>
      </c>
      <c r="E14" s="585">
        <v>4800</v>
      </c>
      <c r="F14" s="1753">
        <f t="shared" si="1"/>
        <v>4800</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1794</v>
      </c>
      <c r="C16" s="585"/>
      <c r="D16" s="1753">
        <f t="shared" si="0"/>
        <v>1794</v>
      </c>
      <c r="E16" s="585">
        <v>1800</v>
      </c>
      <c r="F16" s="1753">
        <f t="shared" si="1"/>
        <v>1800</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1184390</v>
      </c>
      <c r="C19" s="1751">
        <f>SUM(C4:C18)</f>
        <v>0</v>
      </c>
      <c r="D19" s="1751">
        <f>SUM(D4:D18)</f>
        <v>1184390</v>
      </c>
      <c r="E19" s="1751">
        <f>SUM(E4:E18)</f>
        <v>1188609</v>
      </c>
      <c r="F19" s="1751">
        <f>SUM(F4:F18)</f>
        <v>1188609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I42" sqref="I42:O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4" t="s">
        <v>1956</v>
      </c>
      <c r="D2" s="723" t="s">
        <v>1957</v>
      </c>
      <c r="E2" s="723" t="s">
        <v>1958</v>
      </c>
      <c r="F2" s="1884" t="s">
        <v>1959</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2079</v>
      </c>
      <c r="B31" s="733">
        <v>41920</v>
      </c>
      <c r="C31" s="734">
        <v>330000</v>
      </c>
      <c r="D31" s="735">
        <v>2</v>
      </c>
      <c r="E31" s="734">
        <v>292000</v>
      </c>
      <c r="F31" s="734"/>
      <c r="G31" s="734"/>
      <c r="H31" s="734">
        <v>18000</v>
      </c>
      <c r="I31" s="1756">
        <f>((E31+F31)-H31)+G31</f>
        <v>274000</v>
      </c>
      <c r="J31" s="734">
        <v>305666</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330000</v>
      </c>
      <c r="D49" s="745"/>
      <c r="E49" s="1756">
        <f t="shared" ref="E49:J49" si="2">SUM(E31:E48)</f>
        <v>292000</v>
      </c>
      <c r="F49" s="1756">
        <f t="shared" si="2"/>
        <v>0</v>
      </c>
      <c r="G49" s="1756">
        <f t="shared" si="2"/>
        <v>0</v>
      </c>
      <c r="H49" s="1756">
        <f t="shared" si="2"/>
        <v>18000</v>
      </c>
      <c r="I49" s="1756">
        <f t="shared" si="2"/>
        <v>274000</v>
      </c>
      <c r="J49" s="1756">
        <f t="shared" si="2"/>
        <v>305666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I42" sqref="I42:O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1964</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4784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4784</v>
      </c>
      <c r="I12" s="1758">
        <f>SUM(I5:I11)</f>
        <v>0</v>
      </c>
      <c r="J12" s="1758">
        <f>SUM(J5:J11)</f>
        <v>0</v>
      </c>
      <c r="K12" s="1758">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4784</v>
      </c>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4784</v>
      </c>
      <c r="I23" s="1758">
        <f>SUM(I14:I16,I21,I22)</f>
        <v>0</v>
      </c>
      <c r="J23" s="1758">
        <f>SUM(J14:J16,J21,J22)</f>
        <v>0</v>
      </c>
      <c r="K23" s="1758">
        <f>SUM(K14:K16,K21,K22)</f>
        <v>0</v>
      </c>
    </row>
    <row r="24" spans="1:11" ht="14.25" thickTop="1" thickBot="1" x14ac:dyDescent="0.25">
      <c r="A24" s="2247" t="s">
        <v>1965</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42" sqref="I42:O4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v>
      </c>
      <c r="D5" s="841"/>
      <c r="E5" s="841"/>
      <c r="F5" s="1760">
        <f>(C5+D5)-E5</f>
        <v>5000</v>
      </c>
      <c r="G5" s="837"/>
      <c r="H5" s="842"/>
      <c r="I5" s="842"/>
      <c r="J5" s="842"/>
      <c r="K5" s="793"/>
      <c r="L5" s="1769">
        <f>F5-K5</f>
        <v>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2923142</v>
      </c>
      <c r="D8" s="844"/>
      <c r="E8" s="844"/>
      <c r="F8" s="1760">
        <f>(C8+D8)-E8</f>
        <v>2923142</v>
      </c>
      <c r="G8" s="843">
        <v>50</v>
      </c>
      <c r="H8" s="765">
        <v>1863251</v>
      </c>
      <c r="I8" s="765">
        <v>58464</v>
      </c>
      <c r="J8" s="765"/>
      <c r="K8" s="1769">
        <f>(H8+I8)-J8</f>
        <v>1921715</v>
      </c>
      <c r="L8" s="1769">
        <f>F8-K8</f>
        <v>1001427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240945</v>
      </c>
      <c r="D10" s="846">
        <v>62509</v>
      </c>
      <c r="E10" s="846"/>
      <c r="F10" s="1764">
        <f>(C10+D10)-E10</f>
        <v>303454</v>
      </c>
      <c r="G10" s="843">
        <v>20</v>
      </c>
      <c r="H10" s="847">
        <v>35225</v>
      </c>
      <c r="I10" s="847">
        <v>14951</v>
      </c>
      <c r="J10" s="847"/>
      <c r="K10" s="1769">
        <f>(H10+I10)-J10</f>
        <v>50176</v>
      </c>
      <c r="L10" s="1769">
        <f>F10-K10</f>
        <v>253278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799676</v>
      </c>
      <c r="D12" s="844"/>
      <c r="E12" s="844"/>
      <c r="F12" s="1760">
        <f>(C12+D12)-E12</f>
        <v>799676</v>
      </c>
      <c r="G12" s="843">
        <v>10</v>
      </c>
      <c r="H12" s="765">
        <v>733577</v>
      </c>
      <c r="I12" s="765">
        <v>12868</v>
      </c>
      <c r="J12" s="765"/>
      <c r="K12" s="1769">
        <f>(H12+I12)-J12</f>
        <v>746445</v>
      </c>
      <c r="L12" s="1769">
        <f>F12-K12</f>
        <v>53231</v>
      </c>
    </row>
    <row r="13" spans="1:14" ht="14.25" thickTop="1" thickBot="1" x14ac:dyDescent="0.25">
      <c r="A13" s="848" t="s">
        <v>1122</v>
      </c>
      <c r="B13" s="840">
        <v>252</v>
      </c>
      <c r="C13" s="844">
        <v>86006</v>
      </c>
      <c r="D13" s="844">
        <v>23026</v>
      </c>
      <c r="E13" s="844"/>
      <c r="F13" s="1760">
        <f>(C13+D13)-E13</f>
        <v>109032</v>
      </c>
      <c r="G13" s="843">
        <v>5</v>
      </c>
      <c r="H13" s="765">
        <v>47858</v>
      </c>
      <c r="I13" s="765">
        <v>13656</v>
      </c>
      <c r="J13" s="765"/>
      <c r="K13" s="1769">
        <f>(H13+I13)-J13</f>
        <v>61514</v>
      </c>
      <c r="L13" s="1769">
        <f>F13-K13</f>
        <v>47518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4054769</v>
      </c>
      <c r="D16" s="1760">
        <f>SUM(D3,D5:D6,D8:D10,D12:D15)</f>
        <v>85535</v>
      </c>
      <c r="E16" s="1760">
        <f>SUM(E3,E5:E6,E8:E10,E12:E15)</f>
        <v>0</v>
      </c>
      <c r="F16" s="1760">
        <f>SUM(F3,F5:F6,F8:F10,F12:F15)</f>
        <v>4140304</v>
      </c>
      <c r="G16" s="843"/>
      <c r="H16" s="1760">
        <f>SUM(H3,H6,H8:H10,H12:H14,)</f>
        <v>2679911</v>
      </c>
      <c r="I16" s="1760">
        <f>SUM(I3,I6,I8:I10,I12:I14,)</f>
        <v>99939</v>
      </c>
      <c r="J16" s="1760">
        <f>SUM(J3,J6,J8:J10,J12:J14,)</f>
        <v>0</v>
      </c>
      <c r="K16" s="1760">
        <f>(H16+I16)-J16</f>
        <v>2779850</v>
      </c>
      <c r="L16" s="1760">
        <f>F16-K16</f>
        <v>1360454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99939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I42" sqref="I42:O42"/>
      <selection pane="bottomLeft" activeCell="I42" sqref="I42:O4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1050171</v>
      </c>
      <c r="G8" s="865"/>
    </row>
    <row r="9" spans="1:7" x14ac:dyDescent="0.2">
      <c r="A9" s="869" t="s">
        <v>460</v>
      </c>
      <c r="B9" s="870" t="s">
        <v>1877</v>
      </c>
      <c r="C9" s="871"/>
      <c r="D9" s="869" t="s">
        <v>501</v>
      </c>
      <c r="E9" s="868"/>
      <c r="F9" s="1909">
        <f>'Expenditures 15-22'!K151</f>
        <v>163854</v>
      </c>
      <c r="G9" s="872"/>
    </row>
    <row r="10" spans="1:7" x14ac:dyDescent="0.2">
      <c r="A10" s="869" t="s">
        <v>499</v>
      </c>
      <c r="B10" s="870" t="s">
        <v>1878</v>
      </c>
      <c r="C10" s="871"/>
      <c r="D10" s="869" t="s">
        <v>501</v>
      </c>
      <c r="E10" s="868"/>
      <c r="F10" s="1909">
        <f>'Expenditures 15-22'!K174</f>
        <v>31722</v>
      </c>
      <c r="G10" s="872"/>
    </row>
    <row r="11" spans="1:7" x14ac:dyDescent="0.2">
      <c r="A11" s="869" t="s">
        <v>461</v>
      </c>
      <c r="B11" s="870" t="s">
        <v>1879</v>
      </c>
      <c r="C11" s="871"/>
      <c r="D11" s="869" t="s">
        <v>501</v>
      </c>
      <c r="E11" s="868"/>
      <c r="F11" s="1909">
        <f>'Expenditures 15-22'!K210</f>
        <v>84735</v>
      </c>
      <c r="G11" s="872"/>
    </row>
    <row r="12" spans="1:7" x14ac:dyDescent="0.2">
      <c r="A12" s="869" t="s">
        <v>462</v>
      </c>
      <c r="B12" s="870" t="s">
        <v>1880</v>
      </c>
      <c r="C12" s="871"/>
      <c r="D12" s="869" t="s">
        <v>501</v>
      </c>
      <c r="E12" s="868"/>
      <c r="F12" s="1909">
        <f>'Expenditures 15-22'!K295</f>
        <v>36954</v>
      </c>
      <c r="G12" s="872"/>
    </row>
    <row r="13" spans="1:7" x14ac:dyDescent="0.2">
      <c r="A13" s="869" t="s">
        <v>106</v>
      </c>
      <c r="B13" s="870" t="s">
        <v>1881</v>
      </c>
      <c r="C13" s="871"/>
      <c r="D13" s="869" t="s">
        <v>501</v>
      </c>
      <c r="E13" s="868"/>
      <c r="F13" s="1909">
        <f>'Expenditures 15-22'!K342</f>
        <v>33609</v>
      </c>
      <c r="G13" s="873"/>
    </row>
    <row r="14" spans="1:7" ht="12" customHeight="1" thickBot="1" x14ac:dyDescent="0.25">
      <c r="A14" s="1770"/>
      <c r="B14" s="1771"/>
      <c r="C14" s="1772"/>
      <c r="D14" s="1773" t="s">
        <v>501</v>
      </c>
      <c r="E14" s="1774" t="s">
        <v>958</v>
      </c>
      <c r="F14" s="1775">
        <f>SUM(F8:F13)</f>
        <v>1401045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421</v>
      </c>
      <c r="G52" s="865"/>
    </row>
    <row r="53" spans="1:7" x14ac:dyDescent="0.2">
      <c r="A53" s="869" t="s">
        <v>459</v>
      </c>
      <c r="B53" s="869" t="s">
        <v>1475</v>
      </c>
      <c r="C53" s="889">
        <f>'Expenditures 15-22'!B102</f>
        <v>4000</v>
      </c>
      <c r="D53" s="888" t="str">
        <f>'Expenditures 15-22'!A102</f>
        <v>Total Payments to Other Govt Units</v>
      </c>
      <c r="E53" s="868"/>
      <c r="F53" s="1913">
        <f>'Expenditures 15-22'!K102</f>
        <v>128519</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62509</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18000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23026</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232475</v>
      </c>
      <c r="G76" s="865"/>
    </row>
    <row r="77" spans="1:8" s="893" customFormat="1" ht="12" customHeight="1" thickTop="1" thickBot="1" x14ac:dyDescent="0.25">
      <c r="A77" s="1779"/>
      <c r="B77" s="1776"/>
      <c r="C77" s="1772"/>
      <c r="D77" s="1777" t="s">
        <v>1900</v>
      </c>
      <c r="E77" s="1774"/>
      <c r="F77" s="1780">
        <f>(F14-F76)</f>
        <v>1168570</v>
      </c>
      <c r="G77" s="869"/>
    </row>
    <row r="78" spans="1:8" s="893" customFormat="1" ht="12" customHeight="1" thickTop="1" x14ac:dyDescent="0.2">
      <c r="A78" s="1781"/>
      <c r="B78" s="1776"/>
      <c r="C78" s="1772"/>
      <c r="D78" s="1777" t="s">
        <v>2062</v>
      </c>
      <c r="E78" s="1774"/>
      <c r="F78" s="898">
        <v>60.1</v>
      </c>
      <c r="G78" s="899"/>
      <c r="H78" s="869"/>
    </row>
    <row r="79" spans="1:8" s="893" customFormat="1" ht="12" customHeight="1" thickBot="1" x14ac:dyDescent="0.25">
      <c r="A79" s="1782"/>
      <c r="B79" s="1776"/>
      <c r="C79" s="1772"/>
      <c r="D79" s="1777" t="s">
        <v>1901</v>
      </c>
      <c r="E79" s="1774" t="s">
        <v>958</v>
      </c>
      <c r="F79" s="1783">
        <f>IF(F78&gt;0,F77/F78," Complete Line 78")</f>
        <v>19443.760399334442</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-1405</v>
      </c>
      <c r="G94" s="912"/>
    </row>
    <row r="95" spans="1:7" x14ac:dyDescent="0.2">
      <c r="A95" s="908" t="s">
        <v>140</v>
      </c>
      <c r="B95" s="908" t="s">
        <v>175</v>
      </c>
      <c r="C95" s="910">
        <v>1700</v>
      </c>
      <c r="D95" s="918" t="str">
        <f>'Revenues 9-14'!A82</f>
        <v>Total District/School Activity Income</v>
      </c>
      <c r="E95" s="906"/>
      <c r="F95" s="1789">
        <f>SUM('Revenues 9-14'!C82,'Revenues 9-14'!D82)</f>
        <v>1607</v>
      </c>
      <c r="G95" s="912"/>
    </row>
    <row r="96" spans="1:7" x14ac:dyDescent="0.2">
      <c r="A96" s="908" t="s">
        <v>459</v>
      </c>
      <c r="B96" s="908" t="s">
        <v>176</v>
      </c>
      <c r="C96" s="910">
        <f>'Revenues 9-14'!B84</f>
        <v>1811</v>
      </c>
      <c r="D96" s="911" t="str">
        <f>'Revenues 9-14'!A84</f>
        <v>Rentals - Regular Textbooks</v>
      </c>
      <c r="E96" s="906"/>
      <c r="F96" s="1789">
        <f>'Revenues 9-14'!C84</f>
        <v>2620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165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25646</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954</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41882</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4270</v>
      </c>
      <c r="G124" s="930"/>
    </row>
    <row r="125" spans="1:7" x14ac:dyDescent="0.2">
      <c r="A125" s="927" t="s">
        <v>664</v>
      </c>
      <c r="B125" s="927" t="s">
        <v>2023</v>
      </c>
      <c r="C125" s="932">
        <v>4200</v>
      </c>
      <c r="D125" s="929" t="str">
        <f>'Revenues 9-14'!A198</f>
        <v>Total Food Service</v>
      </c>
      <c r="E125" s="906"/>
      <c r="F125" s="1789">
        <f>SUM('Revenues 9-14'!C198,'Revenues 9-14'!G198)</f>
        <v>44256</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26764</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13894</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9701</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5029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175383</v>
      </c>
    </row>
    <row r="175" spans="1:7" ht="12" customHeight="1" x14ac:dyDescent="0.2">
      <c r="A175" s="1770"/>
      <c r="B175" s="1784"/>
      <c r="C175" s="1785"/>
      <c r="D175" s="1786" t="s">
        <v>2057</v>
      </c>
      <c r="E175" s="1787"/>
      <c r="F175" s="1789">
        <f>'PCTC-OEPP 27-28'!F77-F174</f>
        <v>993187</v>
      </c>
    </row>
    <row r="176" spans="1:7" ht="12" customHeight="1" x14ac:dyDescent="0.2">
      <c r="A176" s="1770"/>
      <c r="B176" s="1784"/>
      <c r="C176" s="1785"/>
      <c r="D176" s="1786" t="s">
        <v>1817</v>
      </c>
      <c r="E176" s="1787"/>
      <c r="F176" s="1789">
        <f>'Cap Outlay Deprec 26'!I18</f>
        <v>99939</v>
      </c>
    </row>
    <row r="177" spans="1:7" ht="12" customHeight="1" x14ac:dyDescent="0.2">
      <c r="A177" s="1770"/>
      <c r="B177" s="1784"/>
      <c r="C177" s="1785"/>
      <c r="D177" s="1786" t="s">
        <v>2058</v>
      </c>
      <c r="E177" s="1787"/>
      <c r="F177" s="1789">
        <f>F175+F176</f>
        <v>1093126</v>
      </c>
    </row>
    <row r="178" spans="1:7" ht="12" customHeight="1" x14ac:dyDescent="0.2">
      <c r="A178" s="1770"/>
      <c r="B178" s="1790"/>
      <c r="C178" s="1785"/>
      <c r="D178" s="1786" t="str">
        <f>D78</f>
        <v>9 Month ADA from District Average Daily Attendance/Prior General State Aid Inquiry 2018-2019</v>
      </c>
      <c r="E178" s="1787"/>
      <c r="F178" s="1791">
        <f>'PCTC-OEPP 27-28'!F78</f>
        <v>60.1</v>
      </c>
      <c r="G178" s="930"/>
    </row>
    <row r="179" spans="1:7" ht="12" customHeight="1" thickBot="1" x14ac:dyDescent="0.25">
      <c r="A179" s="1770"/>
      <c r="B179" s="1790"/>
      <c r="C179" s="1785"/>
      <c r="D179" s="1786" t="s">
        <v>2059</v>
      </c>
      <c r="E179" s="1787" t="s">
        <v>1545</v>
      </c>
      <c r="F179" s="1792">
        <f>F177/F178</f>
        <v>18188.45257903494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I42" sqref="I42:O4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1934</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1976</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2082</v>
      </c>
      <c r="B17" s="1938" t="s">
        <v>2083</v>
      </c>
      <c r="C17" s="1939" t="s">
        <v>2084</v>
      </c>
      <c r="D17" s="1844">
        <v>48767</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23767</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48767</v>
      </c>
      <c r="E141" s="1541">
        <f t="shared" si="0"/>
        <v>25000</v>
      </c>
      <c r="F141" s="1933">
        <f>SUM(F17:F140)</f>
        <v>25000</v>
      </c>
      <c r="G141" s="1795">
        <f>SUM(G17:G140)</f>
        <v>23767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I42" sqref="I42:O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6" t="s">
        <v>1977</v>
      </c>
      <c r="B11" s="2287"/>
      <c r="C11" s="2287"/>
      <c r="D11" s="2288"/>
      <c r="E11" s="977">
        <v>5088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653815</v>
      </c>
      <c r="F19" s="1799"/>
      <c r="G19" s="1801">
        <f>'Expenditures 15-22'!K33-SUM('Expenditures 15-22'!G33,'Expenditures 15-22'!I33)+'Expenditures 15-22'!D229</f>
        <v>653815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13885</v>
      </c>
      <c r="F22" s="1802"/>
      <c r="G22" s="1805">
        <f>'Expenditures 15-22'!K47-SUM('Expenditures 15-22'!G47,'Expenditures 15-22'!I47)+'Expenditures 15-22'!D243</f>
        <v>13885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145965</v>
      </c>
      <c r="F23" s="1802"/>
      <c r="G23" s="1804">
        <f>'Expenditures 15-22'!K53-SUM('Expenditures 15-22'!G53,'Expenditures 15-22'!I53)+'Expenditures 15-22'!D257+'Expenditures 15-22'!K330-SUM('Expenditures 15-22'!G330,'Expenditures 15-22'!I330)</f>
        <v>145965</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75671</v>
      </c>
      <c r="E27" s="1804">
        <f>E8</f>
        <v>0</v>
      </c>
      <c r="F27" s="1804">
        <f>'Expenditures 15-22'!K60-SUM('Expenditures 15-22'!G60,'Expenditures 15-22'!I60)+'Expenditures 15-22'!D264-E8</f>
        <v>75671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109879</v>
      </c>
      <c r="F28" s="1806">
        <f>'Expenditures 15-22'!K61-SUM('Expenditures 15-22'!G61,'Expenditures 15-22'!I61)+'Expenditures 15-22'!K124-SUM('Expenditures 15-22'!G124,'Expenditures 15-22'!I124)+'Expenditures 15-22'!D266-E9</f>
        <v>109879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66433</v>
      </c>
      <c r="F29" s="1802"/>
      <c r="G29" s="1805">
        <f>'Expenditures 15-22'!K62-SUM('Expenditures 15-22'!G62,'Expenditures 15-22'!I62)+'Expenditures 15-22'!K125-SUM('Expenditures 15-22'!G125,'Expenditures 15-22'!I125)+'Expenditures 15-22'!K182-SUM('Expenditures 15-22'!G182,'Expenditures 15-22'!I182)+'Expenditures 15-22'!D267</f>
        <v>66433</v>
      </c>
      <c r="H29" s="985"/>
    </row>
    <row r="30" spans="1:9" ht="12" customHeight="1" x14ac:dyDescent="0.2">
      <c r="A30" s="994" t="s">
        <v>100</v>
      </c>
      <c r="B30" s="997"/>
      <c r="C30" s="993">
        <v>2560</v>
      </c>
      <c r="D30" s="1802"/>
      <c r="E30" s="1804">
        <f>'Expenditures 15-22'!K63-SUM('Expenditures 15-22'!G63,'Expenditures 15-22'!I63)+'Expenditures 15-22'!D268-E10</f>
        <v>85173</v>
      </c>
      <c r="F30" s="1802"/>
      <c r="G30" s="1804">
        <f>'Expenditures 15-22'!K63-SUM('Expenditures 15-22'!G63,'Expenditures 15-22'!I63)+'Expenditures 15-22'!D268-E10</f>
        <v>85173</v>
      </c>
    </row>
    <row r="31" spans="1:9" ht="12" customHeight="1" x14ac:dyDescent="0.2">
      <c r="A31" s="994" t="s">
        <v>101</v>
      </c>
      <c r="B31" s="997"/>
      <c r="C31" s="993">
        <v>2570</v>
      </c>
      <c r="D31" s="1804">
        <f>'Expenditures 15-22'!K64-SUM('Expenditures 15-22'!G64,'Expenditures 15-22'!I64)+'Expenditures 15-22'!D269-E12</f>
        <v>4027</v>
      </c>
      <c r="E31" s="1804">
        <f>E12</f>
        <v>0</v>
      </c>
      <c r="F31" s="1804">
        <f>'Expenditures 15-22'!K64-SUM('Expenditures 15-22'!G64,'Expenditures 15-22'!I64)+'Expenditures 15-22'!D269-E12</f>
        <v>4027</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421</v>
      </c>
      <c r="F39" s="1802"/>
      <c r="G39" s="1804">
        <f>'Expenditures 15-22'!K75-SUM('Expenditures 15-22'!G75,'Expenditures 15-22'!I75)+'Expenditures 15-22'!K130-SUM('Expenditures 15-22'!G130,'Expenditures 15-22'!I130)+'Expenditures 15-22'!K185-SUM('Expenditures 15-22'!G185,'Expenditures 15-22'!I185)+'Expenditures 15-22'!D280</f>
        <v>421</v>
      </c>
    </row>
    <row r="40" spans="1:7" ht="12" customHeight="1" x14ac:dyDescent="0.2">
      <c r="A40" s="990" t="s">
        <v>1823</v>
      </c>
      <c r="B40" s="991"/>
      <c r="C40" s="993"/>
      <c r="D40" s="1802"/>
      <c r="E40" s="1806">
        <f>-'Contracts Paid in CY 29'!G141</f>
        <v>-23767</v>
      </c>
      <c r="F40" s="1802"/>
      <c r="G40" s="1806">
        <f>-'Contracts Paid in CY 29'!G141</f>
        <v>-23767</v>
      </c>
    </row>
    <row r="41" spans="1:7" ht="12" customHeight="1" x14ac:dyDescent="0.2">
      <c r="A41" s="998" t="s">
        <v>156</v>
      </c>
      <c r="B41" s="999"/>
      <c r="C41" s="1000"/>
      <c r="D41" s="1806">
        <f>SUM(D19:D39)</f>
        <v>79698</v>
      </c>
      <c r="E41" s="1806">
        <f>SUM(E19:E40)</f>
        <v>1051804</v>
      </c>
      <c r="F41" s="1806">
        <f>SUM(F19:F39)</f>
        <v>189577</v>
      </c>
      <c r="G41" s="1806">
        <f>SUM(G19:G40)</f>
        <v>941925</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79698</v>
      </c>
      <c r="F43" s="1807" t="s">
        <v>473</v>
      </c>
      <c r="G43" s="1808">
        <f>F41</f>
        <v>189577</v>
      </c>
    </row>
    <row r="44" spans="1:7" ht="12" customHeight="1" x14ac:dyDescent="0.2">
      <c r="A44" s="987"/>
      <c r="B44" s="162"/>
      <c r="C44" s="1001"/>
      <c r="D44" s="1807" t="s">
        <v>474</v>
      </c>
      <c r="E44" s="1808">
        <f>E41</f>
        <v>1051804</v>
      </c>
      <c r="F44" s="1807" t="s">
        <v>474</v>
      </c>
      <c r="G44" s="1808">
        <f>G41</f>
        <v>941925</v>
      </c>
    </row>
    <row r="45" spans="1:7" ht="12" customHeight="1" x14ac:dyDescent="0.2">
      <c r="A45" s="987"/>
      <c r="B45" s="162"/>
      <c r="C45" s="162"/>
      <c r="D45" s="1809" t="s">
        <v>1006</v>
      </c>
      <c r="E45" s="1810">
        <f>(E43/E44)</f>
        <v>7.5772672475099917E-2</v>
      </c>
      <c r="F45" s="1809" t="s">
        <v>1006</v>
      </c>
      <c r="G45" s="1810">
        <f>(G43/G44)</f>
        <v>0.20126549353717121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I42" sqref="I42:O42"/>
      <selection pane="bottomLeft" activeCell="I42" sqref="I42:O4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New Holland-Middletown ED 88</v>
      </c>
      <c r="D6" s="2307"/>
      <c r="E6" s="2307"/>
      <c r="F6" s="1852"/>
    </row>
    <row r="7" spans="1:10" ht="11.25" customHeight="1" thickBot="1" x14ac:dyDescent="0.3">
      <c r="A7" s="1850"/>
      <c r="B7" s="1851"/>
      <c r="C7" s="2308">
        <f>COVER!A13</f>
        <v>17054088002</v>
      </c>
      <c r="D7" s="2308"/>
      <c r="E7" s="2308"/>
      <c r="F7" s="1852"/>
    </row>
    <row r="8" spans="1:10" ht="25.5" customHeight="1" thickBot="1" x14ac:dyDescent="0.25">
      <c r="A8" s="1893" t="s">
        <v>1908</v>
      </c>
      <c r="B8" s="1853" t="s">
        <v>2064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42" sqref="I42:O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New Holland-Middletown ED 88</v>
      </c>
      <c r="J6" s="2317"/>
      <c r="Q6" s="1664"/>
    </row>
    <row r="7" spans="1:17" x14ac:dyDescent="0.2">
      <c r="A7" s="2318" t="s">
        <v>869</v>
      </c>
      <c r="B7" s="2319"/>
      <c r="C7" s="2319"/>
      <c r="D7" s="2319"/>
      <c r="E7" s="2320"/>
      <c r="F7" s="1017"/>
      <c r="G7" s="1009"/>
      <c r="H7" s="1016" t="s">
        <v>372</v>
      </c>
      <c r="I7" s="2321">
        <f>COVER!A13</f>
        <v>17054088002</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94301</v>
      </c>
      <c r="F12" s="1039"/>
      <c r="G12" s="1811">
        <f t="shared" ref="G12:G18" si="0">SUM(E12:F12)</f>
        <v>94301</v>
      </c>
      <c r="H12" s="1040">
        <v>98500</v>
      </c>
      <c r="I12" s="1039"/>
      <c r="J12" s="1811">
        <f t="shared" ref="J12:J18" si="1">SUM(H12:I12)</f>
        <v>98500</v>
      </c>
    </row>
    <row r="13" spans="1:17" ht="15" customHeight="1" x14ac:dyDescent="0.2">
      <c r="A13" s="1035">
        <v>2</v>
      </c>
      <c r="B13" s="1036" t="s">
        <v>42</v>
      </c>
      <c r="C13" s="1037"/>
      <c r="D13" s="1038">
        <v>2330</v>
      </c>
      <c r="E13" s="1811">
        <f>'Expenditures 15-22'!K51</f>
        <v>1265</v>
      </c>
      <c r="F13" s="1039"/>
      <c r="G13" s="1811">
        <f t="shared" si="0"/>
        <v>1265</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4027</v>
      </c>
      <c r="F16" s="1039"/>
      <c r="G16" s="1811">
        <f t="shared" si="0"/>
        <v>4027</v>
      </c>
      <c r="H16" s="1040">
        <v>5500</v>
      </c>
      <c r="I16" s="1039"/>
      <c r="J16" s="1811">
        <f t="shared" si="1"/>
        <v>5500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99593</v>
      </c>
      <c r="F19" s="1813">
        <f t="shared" si="2"/>
        <v>0</v>
      </c>
      <c r="G19" s="1813">
        <f t="shared" si="2"/>
        <v>99593</v>
      </c>
      <c r="H19" s="1813">
        <f t="shared" si="2"/>
        <v>104000</v>
      </c>
      <c r="I19" s="1813">
        <f t="shared" si="2"/>
        <v>0</v>
      </c>
      <c r="J19" s="1813">
        <f t="shared" si="2"/>
        <v>104000</v>
      </c>
    </row>
    <row r="20" spans="1:10" ht="13.5" thickTop="1" x14ac:dyDescent="0.2">
      <c r="A20" s="1035">
        <v>9</v>
      </c>
      <c r="B20" s="2328" t="s">
        <v>1981</v>
      </c>
      <c r="C20" s="2328"/>
      <c r="D20" s="2329"/>
      <c r="E20" s="1046"/>
      <c r="F20" s="1046"/>
      <c r="G20" s="1046"/>
      <c r="H20" s="1046"/>
      <c r="I20" s="1046"/>
      <c r="J20" s="1814">
        <f>IF(AND(G19&gt;0,J19&gt;0),(((J19-G19)/G19)),"Enter Budget Data")</f>
        <v>4.425009789844668E-2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t="s">
        <v>2080</v>
      </c>
      <c r="D28" s="2332"/>
      <c r="E28" s="1054"/>
      <c r="F28" s="2332" t="s">
        <v>2081</v>
      </c>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42" sqref="I42:O4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c r="B6" s="329" t="s">
        <v>2086</v>
      </c>
    </row>
    <row r="7" spans="1:2" x14ac:dyDescent="0.2">
      <c r="A7" s="1068">
        <v>3</v>
      </c>
      <c r="B7" s="329" t="s">
        <v>2085</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 Holland-Middletown ED 88</v>
      </c>
    </row>
    <row r="65" spans="2:2" x14ac:dyDescent="0.2">
      <c r="B65" s="1070">
        <f>COVER!A13</f>
        <v>17054088002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42" sqref="I42:O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42" sqref="I42:O4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42" sqref="I42:O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1257498</v>
      </c>
      <c r="C8" s="1815">
        <f>'Acct Summary 7-8'!D8</f>
        <v>180697</v>
      </c>
      <c r="D8" s="1815">
        <f>'Acct Summary 7-8'!F8</f>
        <v>80754</v>
      </c>
      <c r="E8" s="1815">
        <f>'Acct Summary 7-8'!I8</f>
        <v>14951</v>
      </c>
      <c r="F8" s="1815">
        <f>SUM(B8:E8)</f>
        <v>1533900</v>
      </c>
    </row>
    <row r="9" spans="1:8" s="1079" customFormat="1" ht="14.25" customHeight="1" thickBot="1" x14ac:dyDescent="0.25">
      <c r="A9" s="1078" t="s">
        <v>1369</v>
      </c>
      <c r="B9" s="1816">
        <f>'Acct Summary 7-8'!C17</f>
        <v>1050171</v>
      </c>
      <c r="C9" s="1816">
        <f>'Acct Summary 7-8'!D17</f>
        <v>163854</v>
      </c>
      <c r="D9" s="1816">
        <f>'Acct Summary 7-8'!F17</f>
        <v>84735</v>
      </c>
      <c r="E9" s="1815"/>
      <c r="F9" s="1815">
        <f>SUM(B9:E9)</f>
        <v>1298760</v>
      </c>
    </row>
    <row r="10" spans="1:8" s="1079" customFormat="1" ht="14.25" thickTop="1" thickBot="1" x14ac:dyDescent="0.25">
      <c r="A10" s="1080" t="s">
        <v>1370</v>
      </c>
      <c r="B10" s="1817">
        <f>(B8-B9)</f>
        <v>207327</v>
      </c>
      <c r="C10" s="1817">
        <f>(C8-C9)</f>
        <v>16843</v>
      </c>
      <c r="D10" s="1817">
        <f>(D8-D9)</f>
        <v>-3981</v>
      </c>
      <c r="E10" s="1816">
        <f>(E8-E9)</f>
        <v>14951</v>
      </c>
      <c r="F10" s="1818">
        <f>SUM(F8-F9)</f>
        <v>235140</v>
      </c>
    </row>
    <row r="11" spans="1:8" s="1079" customFormat="1" ht="14.25" thickTop="1" thickBot="1" x14ac:dyDescent="0.25">
      <c r="A11" s="1081" t="s">
        <v>1985</v>
      </c>
      <c r="B11" s="1819">
        <f>'Acct Summary 7-8'!C81</f>
        <v>1742620</v>
      </c>
      <c r="C11" s="1819">
        <f>'Acct Summary 7-8'!D81</f>
        <v>494720</v>
      </c>
      <c r="D11" s="1819">
        <f>'Acct Summary 7-8'!F81</f>
        <v>34149</v>
      </c>
      <c r="E11" s="1819">
        <f>'Acct Summary 7-8'!I81</f>
        <v>0</v>
      </c>
      <c r="F11" s="1820">
        <f>SUM(B11:E11)</f>
        <v>2271489</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I42" sqref="I42:O4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17054088002</v>
      </c>
    </row>
    <row r="3" spans="1:2" x14ac:dyDescent="0.2">
      <c r="A3" t="s">
        <v>956</v>
      </c>
      <c r="B3" s="138" t="str">
        <f>COVER!A15</f>
        <v>Logan</v>
      </c>
    </row>
    <row r="4" spans="1:2" x14ac:dyDescent="0.2">
      <c r="A4" t="s">
        <v>1007</v>
      </c>
      <c r="B4" s="138" t="str">
        <f>COVER!A17</f>
        <v>New Holland-Middletown ED 88</v>
      </c>
    </row>
    <row r="5" spans="1:2" x14ac:dyDescent="0.2">
      <c r="A5" t="s">
        <v>704</v>
      </c>
      <c r="B5" s="138" t="str">
        <f>COVER!A38</f>
        <v>Marc Campbell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065-015457</v>
      </c>
    </row>
    <row r="16" spans="1:2" x14ac:dyDescent="0.2">
      <c r="A16" t="s">
        <v>422</v>
      </c>
      <c r="B16" s="138" t="str">
        <f>COVER!T13</f>
        <v>Pamela J. Simpson, CPA</v>
      </c>
    </row>
    <row r="17" spans="1:2" x14ac:dyDescent="0.2">
      <c r="A17" t="s">
        <v>884</v>
      </c>
      <c r="B17" s="138" t="str">
        <f>COVER!T15</f>
        <v>Pamela J. Simpson</v>
      </c>
    </row>
    <row r="18" spans="1:2" x14ac:dyDescent="0.2">
      <c r="A18" t="s">
        <v>1150</v>
      </c>
      <c r="B18" s="138" t="str">
        <f>COVER!T17</f>
        <v>920 West Pershing Road</v>
      </c>
    </row>
    <row r="19" spans="1:2" x14ac:dyDescent="0.2">
      <c r="A19" t="s">
        <v>886</v>
      </c>
      <c r="B19" s="138" t="str">
        <f>COVER!T25</f>
        <v>pjscpa31a@aol.com</v>
      </c>
    </row>
    <row r="20" spans="1:2" x14ac:dyDescent="0.2">
      <c r="A20" t="s">
        <v>887</v>
      </c>
      <c r="B20" s="138" t="str">
        <f>COVER!T19</f>
        <v>Decatur</v>
      </c>
    </row>
    <row r="21" spans="1:2" x14ac:dyDescent="0.2">
      <c r="A21" t="s">
        <v>479</v>
      </c>
      <c r="B21" s="138" t="str">
        <f>COVER!X19</f>
        <v>IL</v>
      </c>
    </row>
    <row r="22" spans="1:2" x14ac:dyDescent="0.2">
      <c r="A22" t="s">
        <v>888</v>
      </c>
      <c r="B22" s="138">
        <f>COVER!Z19</f>
        <v>62526</v>
      </c>
    </row>
    <row r="23" spans="1:2" x14ac:dyDescent="0.2">
      <c r="A23" t="s">
        <v>1152</v>
      </c>
      <c r="B23" s="138">
        <f>COVER!T21</f>
        <v>2178721908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Yes</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511681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1742620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1742620</v>
      </c>
      <c r="D92" s="2" t="str">
        <f t="shared" si="0"/>
        <v>Error?</v>
      </c>
    </row>
    <row r="93" spans="1:4" x14ac:dyDescent="0.2">
      <c r="A93" s="5">
        <v>32</v>
      </c>
      <c r="B93" s="138">
        <f>'Assets-Liab 5-6'!C41</f>
        <v>1742620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77565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719720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225000</v>
      </c>
      <c r="C122" s="2" t="s">
        <v>573</v>
      </c>
      <c r="D122" s="2" t="str">
        <f t="shared" si="0"/>
        <v>Error?</v>
      </c>
    </row>
    <row r="123" spans="1:4" x14ac:dyDescent="0.2">
      <c r="A123" s="5">
        <v>62</v>
      </c>
      <c r="B123" s="138">
        <f>'Assets-Liab 5-6'!D39</f>
        <v>494720</v>
      </c>
      <c r="D123" s="2" t="str">
        <f t="shared" si="0"/>
        <v>Error?</v>
      </c>
    </row>
    <row r="124" spans="1:4" x14ac:dyDescent="0.2">
      <c r="A124" s="5">
        <v>63</v>
      </c>
      <c r="B124" s="138">
        <f>'Assets-Liab 5-6'!D41</f>
        <v>719720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31666</v>
      </c>
      <c r="C139" s="2" t="s">
        <v>573</v>
      </c>
      <c r="D139" s="2" t="str">
        <f t="shared" si="1"/>
        <v>Error?</v>
      </c>
    </row>
    <row r="140" spans="1:4" x14ac:dyDescent="0.2">
      <c r="A140" s="5">
        <v>79</v>
      </c>
      <c r="B140" s="138">
        <f>'Assets-Liab 5-6'!E39</f>
        <v>-31666</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34149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34149</v>
      </c>
      <c r="D170" s="2" t="str">
        <f t="shared" si="1"/>
        <v>Error?</v>
      </c>
    </row>
    <row r="171" spans="1:4" x14ac:dyDescent="0.2">
      <c r="A171" s="5">
        <v>110</v>
      </c>
      <c r="B171" s="138">
        <f>'Assets-Liab 5-6'!F41</f>
        <v>34149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11794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11794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9706</v>
      </c>
      <c r="C188" s="2" t="s">
        <v>573</v>
      </c>
      <c r="D188" s="2" t="str">
        <f t="shared" si="1"/>
        <v>Error?</v>
      </c>
    </row>
    <row r="189" spans="1:4" x14ac:dyDescent="0.2">
      <c r="A189" s="5">
        <v>128</v>
      </c>
      <c r="B189" s="138">
        <f>'Assets-Liab 5-6'!G39</f>
        <v>25389</v>
      </c>
      <c r="D189" s="2" t="str">
        <f t="shared" si="1"/>
        <v>Error?</v>
      </c>
    </row>
    <row r="190" spans="1:4" x14ac:dyDescent="0.2">
      <c r="A190" s="5">
        <v>129</v>
      </c>
      <c r="B190" s="138">
        <f>'Assets-Liab 5-6'!G41</f>
        <v>11794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109194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109194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1001427</v>
      </c>
      <c r="D274" s="2" t="str">
        <f t="shared" si="3"/>
        <v>Error?</v>
      </c>
    </row>
    <row r="275" spans="1:4" x14ac:dyDescent="0.2">
      <c r="A275" s="5">
        <v>214</v>
      </c>
      <c r="B275" s="138">
        <f>'Assets-Liab 5-6'!M18</f>
        <v>253278</v>
      </c>
      <c r="D275" s="2" t="str">
        <f t="shared" si="3"/>
        <v>Error?</v>
      </c>
    </row>
    <row r="276" spans="1:4" x14ac:dyDescent="0.2">
      <c r="A276" s="5">
        <v>215</v>
      </c>
      <c r="B276" s="138">
        <f>'Assets-Liab 5-6'!M19</f>
        <v>100749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1360454</v>
      </c>
      <c r="C279" s="2" t="s">
        <v>573</v>
      </c>
      <c r="D279" s="2" t="str">
        <f t="shared" si="3"/>
        <v>Error?</v>
      </c>
    </row>
    <row r="280" spans="1:4" x14ac:dyDescent="0.2">
      <c r="A280" s="5">
        <v>219</v>
      </c>
      <c r="B280" s="138">
        <f>'Assets-Liab 5-6'!M40</f>
        <v>1360454</v>
      </c>
      <c r="D280" s="2" t="str">
        <f t="shared" si="3"/>
        <v>Error?</v>
      </c>
    </row>
    <row r="281" spans="1:4" x14ac:dyDescent="0.2">
      <c r="A281" s="5">
        <v>220</v>
      </c>
      <c r="B281" s="138">
        <f>'Assets-Liab 5-6'!M41</f>
        <v>1360454</v>
      </c>
      <c r="C281" s="2" t="s">
        <v>573</v>
      </c>
      <c r="D281" s="2" t="str">
        <f t="shared" si="3"/>
        <v>Error?</v>
      </c>
    </row>
    <row r="282" spans="1:4" x14ac:dyDescent="0.2">
      <c r="A282" s="5">
        <v>221</v>
      </c>
      <c r="B282" s="138">
        <f>'Assets-Liab 5-6'!N21</f>
        <v>-31666</v>
      </c>
      <c r="D282" s="2" t="str">
        <f t="shared" si="3"/>
        <v>Error?</v>
      </c>
    </row>
    <row r="283" spans="1:4" x14ac:dyDescent="0.2">
      <c r="A283" s="5">
        <v>222</v>
      </c>
      <c r="B283" s="138">
        <f>'Assets-Liab 5-6'!N22</f>
        <v>305666</v>
      </c>
      <c r="D283" s="2" t="str">
        <f t="shared" si="3"/>
        <v>Error?</v>
      </c>
    </row>
    <row r="284" spans="1:4" x14ac:dyDescent="0.2">
      <c r="A284" s="5">
        <v>223</v>
      </c>
      <c r="B284" s="138">
        <f>'Assets-Liab 5-6'!N23</f>
        <v>274000</v>
      </c>
      <c r="C284" s="2" t="s">
        <v>573</v>
      </c>
      <c r="D284" s="2" t="str">
        <f t="shared" si="3"/>
        <v>Error?</v>
      </c>
    </row>
    <row r="285" spans="1:4" x14ac:dyDescent="0.2">
      <c r="A285" s="5">
        <v>224</v>
      </c>
      <c r="B285" s="138">
        <f>'Assets-Liab 5-6'!N36</f>
        <v>274000</v>
      </c>
      <c r="D285" s="2" t="str">
        <f t="shared" si="3"/>
        <v>Error?</v>
      </c>
    </row>
    <row r="286" spans="1:4" x14ac:dyDescent="0.2">
      <c r="A286" s="10">
        <v>225</v>
      </c>
      <c r="D286" s="2" t="str">
        <f t="shared" si="3"/>
        <v>OK</v>
      </c>
    </row>
    <row r="287" spans="1:4" x14ac:dyDescent="0.2">
      <c r="A287" s="5">
        <v>226</v>
      </c>
      <c r="B287" s="138">
        <f>'Assets-Liab 5-6'!N37</f>
        <v>274000</v>
      </c>
      <c r="C287" s="2" t="s">
        <v>573</v>
      </c>
      <c r="D287" s="2" t="str">
        <f t="shared" si="3"/>
        <v>Error?</v>
      </c>
    </row>
    <row r="288" spans="1:4" x14ac:dyDescent="0.2">
      <c r="A288" s="5">
        <v>227</v>
      </c>
      <c r="B288" s="138">
        <f>'Assets-Liab 5-6'!N41</f>
        <v>274000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14951</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428758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482183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1800</v>
      </c>
      <c r="D732" s="2" t="str">
        <f t="shared" si="10"/>
        <v>Error?</v>
      </c>
    </row>
    <row r="733" spans="1:4" x14ac:dyDescent="0.2">
      <c r="A733" s="5">
        <v>672</v>
      </c>
      <c r="B733" s="138">
        <f>'Expenditures 15-22'!C50</f>
        <v>80400</v>
      </c>
      <c r="D733" s="2" t="str">
        <f t="shared" si="10"/>
        <v>Error?</v>
      </c>
    </row>
    <row r="734" spans="1:4" x14ac:dyDescent="0.2">
      <c r="A734" s="5">
        <v>673</v>
      </c>
      <c r="B734" s="138">
        <f>'Expenditures 15-22'!C53</f>
        <v>82200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61364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20047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81411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163611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645794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77366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82822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800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10373</v>
      </c>
      <c r="D791" s="2" t="str">
        <f t="shared" si="11"/>
        <v>Error?</v>
      </c>
    </row>
    <row r="792" spans="1:4" x14ac:dyDescent="0.2">
      <c r="A792" s="5">
        <v>731</v>
      </c>
      <c r="B792" s="138">
        <f>'Expenditures 15-22'!D53</f>
        <v>10373</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11173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93995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12912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27656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5974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2771</v>
      </c>
      <c r="D846" s="2" t="str">
        <f t="shared" si="12"/>
        <v>Error?</v>
      </c>
    </row>
    <row r="847" spans="1:4" x14ac:dyDescent="0.2">
      <c r="A847" s="5">
        <v>786</v>
      </c>
      <c r="B847" s="138">
        <f>'Expenditures 15-22'!E47</f>
        <v>8745</v>
      </c>
      <c r="C847" s="2" t="s">
        <v>573</v>
      </c>
      <c r="D847" s="2" t="str">
        <f t="shared" si="12"/>
        <v>Error?</v>
      </c>
    </row>
    <row r="848" spans="1:4" x14ac:dyDescent="0.2">
      <c r="A848" s="5">
        <v>787</v>
      </c>
      <c r="B848" s="138">
        <f>'Expenditures 15-22'!E49</f>
        <v>12738</v>
      </c>
      <c r="D848" s="2" t="str">
        <f t="shared" si="12"/>
        <v>Error?</v>
      </c>
    </row>
    <row r="849" spans="1:4" x14ac:dyDescent="0.2">
      <c r="A849" s="5">
        <v>788</v>
      </c>
      <c r="B849" s="138">
        <f>'Expenditures 15-22'!E50</f>
        <v>3280</v>
      </c>
      <c r="D849" s="2" t="str">
        <f t="shared" si="12"/>
        <v>Error?</v>
      </c>
    </row>
    <row r="850" spans="1:4" x14ac:dyDescent="0.2">
      <c r="A850" s="5">
        <v>789</v>
      </c>
      <c r="B850" s="138">
        <f>'Expenditures 15-22'!E53</f>
        <v>16018</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4956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29719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166573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30362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51236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3449</v>
      </c>
      <c r="D902" s="2" t="str">
        <f t="shared" si="13"/>
        <v>Error?</v>
      </c>
    </row>
    <row r="903" spans="1:4" x14ac:dyDescent="0.2">
      <c r="A903" s="5">
        <v>842</v>
      </c>
      <c r="B903" s="138">
        <f>'Expenditures 15-22'!F45</f>
        <v>891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4340</v>
      </c>
      <c r="C905" s="2" t="s">
        <v>573</v>
      </c>
      <c r="D905" s="2" t="str">
        <f t="shared" si="13"/>
        <v>Error?</v>
      </c>
    </row>
    <row r="906" spans="1:4" x14ac:dyDescent="0.2">
      <c r="A906" s="5">
        <v>845</v>
      </c>
      <c r="B906" s="138">
        <f>'Expenditures 15-22'!F49</f>
        <v>759</v>
      </c>
      <c r="D906" s="2" t="str">
        <f t="shared" si="13"/>
        <v>Error?</v>
      </c>
    </row>
    <row r="907" spans="1:4" x14ac:dyDescent="0.2">
      <c r="A907" s="5">
        <v>846</v>
      </c>
      <c r="B907" s="138">
        <f>'Expenditures 15-22'!F50</f>
        <v>248</v>
      </c>
      <c r="D907" s="2" t="str">
        <f t="shared" si="13"/>
        <v>Error?</v>
      </c>
    </row>
    <row r="908" spans="1:4" x14ac:dyDescent="0.2">
      <c r="A908" s="5">
        <v>847</v>
      </c>
      <c r="B908" s="138">
        <f>'Expenditures 15-22'!F53</f>
        <v>2272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391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61801</v>
      </c>
      <c r="D916" s="2" t="str">
        <f t="shared" si="13"/>
        <v>Error?</v>
      </c>
    </row>
    <row r="917" spans="1:4" x14ac:dyDescent="0.2">
      <c r="A917" s="5">
        <v>856</v>
      </c>
      <c r="B917" s="138">
        <f>'Expenditures 15-22'!F64</f>
        <v>4027</v>
      </c>
      <c r="D917" s="2" t="str">
        <f t="shared" si="13"/>
        <v>Error?</v>
      </c>
    </row>
    <row r="918" spans="1:4" x14ac:dyDescent="0.2">
      <c r="A918" s="10">
        <v>857</v>
      </c>
      <c r="D918" s="2" t="str">
        <f t="shared" si="13"/>
        <v>OK</v>
      </c>
    </row>
    <row r="919" spans="1:4" x14ac:dyDescent="0.2">
      <c r="A919" s="5">
        <v>858</v>
      </c>
      <c r="B919" s="138">
        <f>'Expenditures 15-22'!F65</f>
        <v>66219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72831</v>
      </c>
      <c r="C929" s="2" t="s">
        <v>573</v>
      </c>
      <c r="D929" s="2" t="str">
        <f t="shared" si="13"/>
        <v>Error?</v>
      </c>
    </row>
    <row r="930" spans="1:4" x14ac:dyDescent="0.2">
      <c r="A930" s="5">
        <v>869</v>
      </c>
      <c r="B930" s="138">
        <f>'Expenditures 15-22'!F75</f>
        <v>421</v>
      </c>
      <c r="D930" s="2" t="str">
        <f t="shared" si="13"/>
        <v>Error?</v>
      </c>
    </row>
    <row r="931" spans="1:4" x14ac:dyDescent="0.2">
      <c r="A931" s="5">
        <v>870</v>
      </c>
      <c r="B931" s="138">
        <f>'Expenditures 15-22'!F114</f>
        <v>124488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19321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19321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549398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1611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643897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10223</v>
      </c>
      <c r="C1116" s="2" t="s">
        <v>573</v>
      </c>
      <c r="D1116" s="2" t="str">
        <f t="shared" si="16"/>
        <v>Error?</v>
      </c>
    </row>
    <row r="1117" spans="1:4" x14ac:dyDescent="0.2">
      <c r="A1117" s="5">
        <v>1056</v>
      </c>
      <c r="B1117" s="138">
        <f>'Expenditures 15-22'!K45</f>
        <v>891</v>
      </c>
      <c r="C1117" s="2" t="s">
        <v>573</v>
      </c>
      <c r="D1117" s="2" t="str">
        <f t="shared" si="16"/>
        <v>Error?</v>
      </c>
    </row>
    <row r="1118" spans="1:4" x14ac:dyDescent="0.2">
      <c r="A1118" s="5">
        <v>1057</v>
      </c>
      <c r="B1118" s="138">
        <f>'Expenditures 15-22'!K46</f>
        <v>2771</v>
      </c>
      <c r="C1118" s="2" t="s">
        <v>573</v>
      </c>
      <c r="D1118" s="2" t="str">
        <f t="shared" si="16"/>
        <v>Error?</v>
      </c>
    </row>
    <row r="1119" spans="1:4" x14ac:dyDescent="0.2">
      <c r="A1119" s="5">
        <v>1058</v>
      </c>
      <c r="B1119" s="138">
        <f>'Expenditures 15-22'!K47</f>
        <v>13885</v>
      </c>
      <c r="C1119" s="2" t="s">
        <v>573</v>
      </c>
      <c r="D1119" s="2" t="str">
        <f t="shared" si="16"/>
        <v>Error?</v>
      </c>
    </row>
    <row r="1120" spans="1:4" x14ac:dyDescent="0.2">
      <c r="A1120" s="5">
        <v>1059</v>
      </c>
      <c r="B1120" s="138">
        <f>'Expenditures 15-22'!K49</f>
        <v>15297</v>
      </c>
      <c r="C1120" s="2" t="s">
        <v>573</v>
      </c>
      <c r="D1120" s="2" t="str">
        <f t="shared" si="16"/>
        <v>Error?</v>
      </c>
    </row>
    <row r="1121" spans="1:4" x14ac:dyDescent="0.2">
      <c r="A1121" s="5">
        <v>1060</v>
      </c>
      <c r="B1121" s="138">
        <f>'Expenditures 15-22'!K50</f>
        <v>94301</v>
      </c>
      <c r="C1121" s="2" t="s">
        <v>573</v>
      </c>
      <c r="D1121" s="2" t="str">
        <f t="shared" si="16"/>
        <v>Error?</v>
      </c>
    </row>
    <row r="1122" spans="1:4" x14ac:dyDescent="0.2">
      <c r="A1122" s="5">
        <v>1061</v>
      </c>
      <c r="B1122" s="138">
        <f>'Expenditures 15-22'!K53</f>
        <v>110863</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66711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81848</v>
      </c>
      <c r="C1130" s="2" t="s">
        <v>573</v>
      </c>
      <c r="D1130" s="2" t="str">
        <f t="shared" si="16"/>
        <v>Error?</v>
      </c>
    </row>
    <row r="1131" spans="1:4" x14ac:dyDescent="0.2">
      <c r="A1131" s="5">
        <v>1070</v>
      </c>
      <c r="B1131" s="138">
        <f>'Expenditures 15-22'!K64</f>
        <v>4027</v>
      </c>
      <c r="C1131" s="2" t="s">
        <v>573</v>
      </c>
      <c r="D1131" s="2" t="str">
        <f t="shared" si="16"/>
        <v>Error?</v>
      </c>
    </row>
    <row r="1132" spans="1:4" x14ac:dyDescent="0.2">
      <c r="A1132" s="10">
        <v>1071</v>
      </c>
      <c r="D1132" s="2" t="str">
        <f t="shared" si="16"/>
        <v>OK</v>
      </c>
    </row>
    <row r="1133" spans="1:4" x14ac:dyDescent="0.2">
      <c r="A1133" s="5">
        <v>1072</v>
      </c>
      <c r="B1133" s="138">
        <f>'Expenditures 15-22'!K65</f>
        <v>152586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277334</v>
      </c>
      <c r="C1143" s="2" t="s">
        <v>573</v>
      </c>
      <c r="D1143" s="2" t="str">
        <f t="shared" si="16"/>
        <v>Error?</v>
      </c>
    </row>
    <row r="1144" spans="1:4" x14ac:dyDescent="0.2">
      <c r="A1144" s="5">
        <v>1083</v>
      </c>
      <c r="B1144" s="138">
        <f>'Expenditures 15-22'!K75</f>
        <v>421</v>
      </c>
      <c r="C1144" s="2" t="s">
        <v>573</v>
      </c>
      <c r="D1144" s="2" t="str">
        <f t="shared" si="16"/>
        <v>Error?</v>
      </c>
    </row>
    <row r="1145" spans="1:4" x14ac:dyDescent="0.2">
      <c r="A1145" s="5">
        <v>1084</v>
      </c>
      <c r="B1145" s="138">
        <f>'Expenditures 15-22'!K102</f>
        <v>128519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1050171</v>
      </c>
      <c r="C1152" s="2" t="s">
        <v>573</v>
      </c>
      <c r="D1152" s="2" t="str">
        <f t="shared" si="17"/>
        <v>Error?</v>
      </c>
    </row>
    <row r="1153" spans="1:4" x14ac:dyDescent="0.2">
      <c r="A1153" s="5">
        <v>1092</v>
      </c>
      <c r="B1153" s="138">
        <f>'Expenditures 15-22'!K115</f>
        <v>207327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51902</v>
      </c>
      <c r="D1221" s="2" t="str">
        <f t="shared" si="18"/>
        <v>Error?</v>
      </c>
    </row>
    <row r="1222" spans="1:4" x14ac:dyDescent="0.2">
      <c r="A1222" s="10">
        <v>1161</v>
      </c>
      <c r="D1222" s="2" t="str">
        <f t="shared" si="18"/>
        <v>OK</v>
      </c>
    </row>
    <row r="1223" spans="1:4" x14ac:dyDescent="0.2">
      <c r="A1223" s="5">
        <v>1162</v>
      </c>
      <c r="B1223" s="138">
        <f>'Expenditures 15-22'!C127</f>
        <v>51902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51902</v>
      </c>
      <c r="C1225" s="2" t="s">
        <v>573</v>
      </c>
      <c r="D1225" s="2" t="str">
        <f t="shared" si="18"/>
        <v>Error?</v>
      </c>
    </row>
    <row r="1226" spans="1:4" x14ac:dyDescent="0.2">
      <c r="A1226" s="5">
        <v>1165</v>
      </c>
      <c r="B1226" s="138">
        <f>'Expenditures 15-22'!C151</f>
        <v>51902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4500</v>
      </c>
      <c r="D1229" s="2" t="str">
        <f t="shared" si="18"/>
        <v>Error?</v>
      </c>
    </row>
    <row r="1230" spans="1:4" x14ac:dyDescent="0.2">
      <c r="A1230" s="10">
        <v>1169</v>
      </c>
      <c r="D1230" s="2" t="str">
        <f t="shared" si="18"/>
        <v>OK</v>
      </c>
    </row>
    <row r="1231" spans="1:4" x14ac:dyDescent="0.2">
      <c r="A1231" s="5">
        <v>1170</v>
      </c>
      <c r="B1231" s="138">
        <f>'Expenditures 15-22'!D127</f>
        <v>4500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4500</v>
      </c>
      <c r="C1233" s="2" t="s">
        <v>573</v>
      </c>
      <c r="D1233" s="2" t="str">
        <f t="shared" si="18"/>
        <v>Error?</v>
      </c>
    </row>
    <row r="1234" spans="1:4" x14ac:dyDescent="0.2">
      <c r="A1234" s="5">
        <v>1173</v>
      </c>
      <c r="B1234" s="138">
        <f>'Expenditures 15-22'!D151</f>
        <v>4500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15324</v>
      </c>
      <c r="D1237" s="2" t="str">
        <f t="shared" si="18"/>
        <v>Error?</v>
      </c>
    </row>
    <row r="1238" spans="1:4" x14ac:dyDescent="0.2">
      <c r="A1238" s="10">
        <v>1177</v>
      </c>
      <c r="D1238" s="2" t="str">
        <f t="shared" si="18"/>
        <v>OK</v>
      </c>
    </row>
    <row r="1239" spans="1:4" x14ac:dyDescent="0.2">
      <c r="A1239" s="5">
        <v>1178</v>
      </c>
      <c r="B1239" s="138">
        <f>'Expenditures 15-22'!E127</f>
        <v>15324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15324</v>
      </c>
      <c r="C1241" s="2" t="s">
        <v>573</v>
      </c>
      <c r="D1241" s="2" t="str">
        <f t="shared" si="18"/>
        <v>Error?</v>
      </c>
    </row>
    <row r="1242" spans="1:4" x14ac:dyDescent="0.2">
      <c r="A1242" s="5">
        <v>1181</v>
      </c>
      <c r="B1242" s="138">
        <f>'Expenditures 15-22'!E151</f>
        <v>15324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28700</v>
      </c>
      <c r="D1245" s="2" t="str">
        <f t="shared" si="18"/>
        <v>Error?</v>
      </c>
    </row>
    <row r="1246" spans="1:4" x14ac:dyDescent="0.2">
      <c r="A1246" s="10">
        <v>1185</v>
      </c>
      <c r="D1246" s="2" t="str">
        <f t="shared" si="18"/>
        <v>OK</v>
      </c>
    </row>
    <row r="1247" spans="1:4" x14ac:dyDescent="0.2">
      <c r="A1247" s="5">
        <v>1186</v>
      </c>
      <c r="B1247" s="138">
        <f>'Expenditures 15-22'!F127</f>
        <v>28700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28700</v>
      </c>
      <c r="C1249" s="2" t="s">
        <v>573</v>
      </c>
      <c r="D1249" s="2" t="str">
        <f t="shared" si="18"/>
        <v>Error?</v>
      </c>
    </row>
    <row r="1250" spans="1:4" x14ac:dyDescent="0.2">
      <c r="A1250" s="5">
        <v>1189</v>
      </c>
      <c r="B1250" s="138">
        <f>'Expenditures 15-22'!F151</f>
        <v>28700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62509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62509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62509</v>
      </c>
      <c r="C1258" s="2" t="s">
        <v>573</v>
      </c>
      <c r="D1258" s="2" t="str">
        <f t="shared" si="18"/>
        <v>Error?</v>
      </c>
    </row>
    <row r="1259" spans="1:4" x14ac:dyDescent="0.2">
      <c r="A1259" s="5">
        <v>1198</v>
      </c>
      <c r="B1259" s="138">
        <f>'Expenditures 15-22'!G151</f>
        <v>62509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919</v>
      </c>
      <c r="D1262" s="2" t="str">
        <f t="shared" si="18"/>
        <v>Error?</v>
      </c>
    </row>
    <row r="1263" spans="1:4" x14ac:dyDescent="0.2">
      <c r="A1263" s="10">
        <v>1202</v>
      </c>
      <c r="D1263" s="2" t="str">
        <f t="shared" si="18"/>
        <v>OK</v>
      </c>
    </row>
    <row r="1264" spans="1:4" x14ac:dyDescent="0.2">
      <c r="A1264" s="5">
        <v>1203</v>
      </c>
      <c r="B1264" s="138">
        <f>'Expenditures 15-22'!H127</f>
        <v>919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919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919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163854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163854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163854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163854</v>
      </c>
      <c r="C1288" s="2" t="s">
        <v>573</v>
      </c>
      <c r="D1288" s="2" t="str">
        <f t="shared" si="19"/>
        <v>Error?</v>
      </c>
    </row>
    <row r="1289" spans="1:4" x14ac:dyDescent="0.2">
      <c r="A1289" s="5">
        <v>1228</v>
      </c>
      <c r="B1289" s="138">
        <f>'Expenditures 15-22'!K152</f>
        <v>16843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13222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31722</v>
      </c>
      <c r="C1317" s="2" t="s">
        <v>573</v>
      </c>
      <c r="D1317" s="2" t="str">
        <f t="shared" si="19"/>
        <v>Error?</v>
      </c>
    </row>
    <row r="1318" spans="1:4" x14ac:dyDescent="0.2">
      <c r="A1318" s="5">
        <v>1257</v>
      </c>
      <c r="B1318" s="138">
        <f>'Expenditures 15-22'!H174</f>
        <v>31722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13222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31722</v>
      </c>
      <c r="C1331" s="2" t="s">
        <v>573</v>
      </c>
      <c r="D1331" s="2" t="str">
        <f t="shared" si="19"/>
        <v>Error?</v>
      </c>
    </row>
    <row r="1332" spans="1:4" x14ac:dyDescent="0.2">
      <c r="A1332" s="5">
        <v>1271</v>
      </c>
      <c r="B1332" s="138">
        <f>'Expenditures 15-22'!K174</f>
        <v>31722</v>
      </c>
      <c r="C1332" s="2" t="s">
        <v>573</v>
      </c>
      <c r="D1332" s="2" t="str">
        <f t="shared" si="19"/>
        <v>Error?</v>
      </c>
    </row>
    <row r="1333" spans="1:4" x14ac:dyDescent="0.2">
      <c r="A1333" s="5">
        <v>1272</v>
      </c>
      <c r="B1333" s="138">
        <f>'Expenditures 15-22'!K175</f>
        <v>-31722</v>
      </c>
      <c r="C1333" s="2" t="s">
        <v>573</v>
      </c>
      <c r="D1333" s="2" t="str">
        <f t="shared" si="19"/>
        <v>Error?</v>
      </c>
    </row>
    <row r="1334" spans="1:4" x14ac:dyDescent="0.2">
      <c r="A1334" s="10">
        <v>1273</v>
      </c>
      <c r="D1334" s="2" t="str">
        <f t="shared" si="19"/>
        <v>OK</v>
      </c>
    </row>
    <row r="1335" spans="1:4" x14ac:dyDescent="0.2">
      <c r="A1335" s="5">
        <v>1274</v>
      </c>
      <c r="B1335" s="138">
        <f>'Expenditures 15-22'!C182</f>
        <v>44365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44365</v>
      </c>
      <c r="C1339" s="2" t="s">
        <v>573</v>
      </c>
      <c r="D1339" s="2" t="str">
        <f t="shared" si="19"/>
        <v>Error?</v>
      </c>
    </row>
    <row r="1340" spans="1:4" x14ac:dyDescent="0.2">
      <c r="A1340" s="5">
        <v>1279</v>
      </c>
      <c r="B1340" s="138">
        <f>'Expenditures 15-22'!C210</f>
        <v>44365</v>
      </c>
      <c r="C1340" s="2" t="s">
        <v>573</v>
      </c>
      <c r="D1340" s="2" t="str">
        <f t="shared" si="19"/>
        <v>Error?</v>
      </c>
    </row>
    <row r="1341" spans="1:4" x14ac:dyDescent="0.2">
      <c r="A1341" s="5">
        <v>1280</v>
      </c>
      <c r="B1341" s="138">
        <f>'Expenditures 15-22'!D182</f>
        <v>1238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1238</v>
      </c>
      <c r="C1345" s="2" t="s">
        <v>573</v>
      </c>
      <c r="D1345" s="2" t="str">
        <f t="shared" si="20"/>
        <v>Error?</v>
      </c>
    </row>
    <row r="1346" spans="1:4" x14ac:dyDescent="0.2">
      <c r="A1346" s="5">
        <v>1285</v>
      </c>
      <c r="B1346" s="138">
        <f>'Expenditures 15-22'!D210</f>
        <v>1238</v>
      </c>
      <c r="C1346" s="2" t="s">
        <v>573</v>
      </c>
      <c r="D1346" s="2" t="str">
        <f t="shared" si="20"/>
        <v>Error?</v>
      </c>
    </row>
    <row r="1347" spans="1:4" x14ac:dyDescent="0.2">
      <c r="A1347" s="5">
        <v>1286</v>
      </c>
      <c r="B1347" s="138">
        <f>'Expenditures 15-22'!E182</f>
        <v>6368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6368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6368</v>
      </c>
      <c r="C1353" s="2" t="s">
        <v>573</v>
      </c>
      <c r="D1353" s="2" t="str">
        <f t="shared" si="20"/>
        <v>Error?</v>
      </c>
    </row>
    <row r="1354" spans="1:4" x14ac:dyDescent="0.2">
      <c r="A1354" s="5">
        <v>1293</v>
      </c>
      <c r="B1354" s="138">
        <f>'Expenditures 15-22'!F182</f>
        <v>9738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9738</v>
      </c>
      <c r="C1358" s="2" t="s">
        <v>573</v>
      </c>
      <c r="D1358" s="2" t="str">
        <f t="shared" si="20"/>
        <v>Error?</v>
      </c>
    </row>
    <row r="1359" spans="1:4" x14ac:dyDescent="0.2">
      <c r="A1359" s="5">
        <v>1298</v>
      </c>
      <c r="B1359" s="138">
        <f>'Expenditures 15-22'!F210</f>
        <v>9738</v>
      </c>
      <c r="C1359" s="2" t="s">
        <v>573</v>
      </c>
      <c r="D1359" s="2" t="str">
        <f t="shared" si="20"/>
        <v>Error?</v>
      </c>
    </row>
    <row r="1360" spans="1:4" x14ac:dyDescent="0.2">
      <c r="A1360" s="5">
        <v>1299</v>
      </c>
      <c r="B1360" s="138">
        <f>'Expenditures 15-22'!G182</f>
        <v>23026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23026</v>
      </c>
      <c r="C1364" s="2" t="s">
        <v>573</v>
      </c>
      <c r="D1364" s="2" t="str">
        <f t="shared" si="20"/>
        <v>Error?</v>
      </c>
    </row>
    <row r="1365" spans="1:4" x14ac:dyDescent="0.2">
      <c r="A1365" s="5">
        <v>1304</v>
      </c>
      <c r="B1365" s="138">
        <f>'Expenditures 15-22'!G210</f>
        <v>23026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84735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84735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84735</v>
      </c>
      <c r="C1388" s="2" t="s">
        <v>573</v>
      </c>
      <c r="D1388" s="2" t="str">
        <f t="shared" si="20"/>
        <v>Error?</v>
      </c>
    </row>
    <row r="1389" spans="1:4" x14ac:dyDescent="0.2">
      <c r="A1389" s="5">
        <v>1328</v>
      </c>
      <c r="B1389" s="138">
        <f>'Expenditures 15-22'!K211</f>
        <v>-3981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9918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298</v>
      </c>
      <c r="D1422" s="2" t="str">
        <f t="shared" si="21"/>
        <v>Error?</v>
      </c>
    </row>
    <row r="1423" spans="1:4" x14ac:dyDescent="0.2">
      <c r="A1423" s="5">
        <v>1362</v>
      </c>
      <c r="B1423" s="138">
        <f>'Expenditures 15-22'!D246</f>
        <v>1166</v>
      </c>
      <c r="D1423" s="2" t="str">
        <f t="shared" si="21"/>
        <v>Error?</v>
      </c>
    </row>
    <row r="1424" spans="1:4" x14ac:dyDescent="0.2">
      <c r="A1424" s="5">
        <v>1363</v>
      </c>
      <c r="B1424" s="138">
        <f>'Expenditures 15-22'!D257</f>
        <v>1493</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8960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8534</v>
      </c>
      <c r="D1431" s="2" t="str">
        <f t="shared" si="21"/>
        <v>Error?</v>
      </c>
    </row>
    <row r="1432" spans="1:4" x14ac:dyDescent="0.2">
      <c r="A1432" s="5">
        <v>1371</v>
      </c>
      <c r="B1432" s="138">
        <f>'Expenditures 15-22'!D267</f>
        <v>4724</v>
      </c>
      <c r="D1432" s="2" t="str">
        <f t="shared" si="21"/>
        <v>Error?</v>
      </c>
    </row>
    <row r="1433" spans="1:4" x14ac:dyDescent="0.2">
      <c r="A1433" s="5">
        <v>1372</v>
      </c>
      <c r="B1433" s="138">
        <f>'Expenditures 15-22'!D268</f>
        <v>3325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25543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27036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36954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9918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298</v>
      </c>
      <c r="C1486" s="2" t="s">
        <v>573</v>
      </c>
      <c r="D1486" s="2" t="str">
        <f t="shared" si="22"/>
        <v>Error?</v>
      </c>
    </row>
    <row r="1487" spans="1:4" x14ac:dyDescent="0.2">
      <c r="A1487" s="5">
        <v>1426</v>
      </c>
      <c r="B1487" s="138">
        <f>'Expenditures 15-22'!K246</f>
        <v>1166</v>
      </c>
      <c r="C1487" s="2" t="s">
        <v>573</v>
      </c>
      <c r="D1487" s="2" t="str">
        <f t="shared" si="22"/>
        <v>Error?</v>
      </c>
    </row>
    <row r="1488" spans="1:4" x14ac:dyDescent="0.2">
      <c r="A1488" s="5">
        <v>1427</v>
      </c>
      <c r="B1488" s="138">
        <f>'Expenditures 15-22'!K257</f>
        <v>1493</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8960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8534</v>
      </c>
      <c r="C1495" s="2" t="s">
        <v>573</v>
      </c>
      <c r="D1495" s="2" t="str">
        <f t="shared" si="22"/>
        <v>Error?</v>
      </c>
    </row>
    <row r="1496" spans="1:4" x14ac:dyDescent="0.2">
      <c r="A1496" s="5">
        <v>1435</v>
      </c>
      <c r="B1496" s="138">
        <f>'Expenditures 15-22'!K267</f>
        <v>4724</v>
      </c>
      <c r="C1496" s="2" t="s">
        <v>573</v>
      </c>
      <c r="D1496" s="2" t="str">
        <f t="shared" si="22"/>
        <v>Error?</v>
      </c>
    </row>
    <row r="1497" spans="1:4" x14ac:dyDescent="0.2">
      <c r="A1497" s="5">
        <v>1436</v>
      </c>
      <c r="B1497" s="138">
        <f>'Expenditures 15-22'!K268</f>
        <v>3325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25543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27036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36954</v>
      </c>
      <c r="C1517" s="2" t="s">
        <v>573</v>
      </c>
      <c r="D1517" s="2" t="str">
        <f t="shared" si="22"/>
        <v>Error?</v>
      </c>
    </row>
    <row r="1518" spans="1:4" x14ac:dyDescent="0.2">
      <c r="A1518" s="5">
        <v>1457</v>
      </c>
      <c r="B1518" s="138">
        <f>'Expenditures 15-22'!K296</f>
        <v>-12317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44492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1520342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1742620</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494720</v>
      </c>
      <c r="C1644" s="2" t="s">
        <v>573</v>
      </c>
      <c r="D1644" s="2" t="str">
        <f t="shared" si="24"/>
        <v>Error?</v>
      </c>
    </row>
    <row r="1645" spans="1:4" x14ac:dyDescent="0.2">
      <c r="A1645" s="5">
        <v>1584</v>
      </c>
      <c r="B1645" s="138">
        <f>'Acct Summary 7-8'!E79</f>
        <v>56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-31666</v>
      </c>
      <c r="C1658" s="2" t="s">
        <v>573</v>
      </c>
      <c r="D1658" s="2" t="str">
        <f t="shared" si="24"/>
        <v>Error?</v>
      </c>
    </row>
    <row r="1659" spans="1:4" x14ac:dyDescent="0.2">
      <c r="A1659" s="5">
        <v>1598</v>
      </c>
      <c r="B1659" s="138">
        <f>'Acct Summary 7-8'!F79</f>
        <v>38130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34149</v>
      </c>
      <c r="C1672" s="2" t="s">
        <v>573</v>
      </c>
      <c r="D1672" s="2" t="str">
        <f t="shared" si="25"/>
        <v>Error?</v>
      </c>
    </row>
    <row r="1673" spans="1:4" x14ac:dyDescent="0.2">
      <c r="A1673" s="5">
        <v>1612</v>
      </c>
      <c r="B1673" s="138">
        <f>'Acct Summary 7-8'!G79</f>
        <v>14405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2088</v>
      </c>
      <c r="C1686" s="2" t="s">
        <v>573</v>
      </c>
      <c r="D1686" s="2" t="str">
        <f t="shared" si="25"/>
        <v>Error?</v>
      </c>
    </row>
    <row r="1687" spans="1:4" x14ac:dyDescent="0.2">
      <c r="A1687" s="5">
        <v>1626</v>
      </c>
      <c r="B1687" s="138">
        <f>'Acct Summary 7-8'!H79</f>
        <v>64702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109194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871892</v>
      </c>
      <c r="C1744" s="2" t="s">
        <v>573</v>
      </c>
      <c r="D1744" s="2" t="str">
        <f t="shared" si="26"/>
        <v>Error?</v>
      </c>
    </row>
    <row r="1745" spans="1:5" x14ac:dyDescent="0.2">
      <c r="A1745" s="5">
        <v>1684</v>
      </c>
      <c r="B1745" s="138">
        <f>'Tax Sched 23'!B5</f>
        <v>180354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38862</v>
      </c>
      <c r="C1747" s="2" t="s">
        <v>573</v>
      </c>
      <c r="D1747" s="2" t="str">
        <f t="shared" si="26"/>
        <v>Error?</v>
      </c>
    </row>
    <row r="1748" spans="1:5" x14ac:dyDescent="0.2">
      <c r="A1748" s="5">
        <v>1687</v>
      </c>
      <c r="B1748" s="138">
        <f>'Tax Sched 23'!B8</f>
        <v>21921</v>
      </c>
      <c r="C1748" s="2" t="s">
        <v>573</v>
      </c>
      <c r="D1748" s="2" t="str">
        <f t="shared" si="26"/>
        <v>Error?</v>
      </c>
    </row>
    <row r="1749" spans="1:5" x14ac:dyDescent="0.2">
      <c r="A1749" s="5">
        <v>1688</v>
      </c>
      <c r="B1749" s="138">
        <f>'Tax Sched 23'!B10</f>
        <v>14949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25914</v>
      </c>
      <c r="C1752" s="2" t="s">
        <v>573</v>
      </c>
      <c r="D1752" s="2" t="str">
        <f t="shared" si="26"/>
        <v>Error?</v>
      </c>
    </row>
    <row r="1753" spans="1:5" x14ac:dyDescent="0.2">
      <c r="A1753" s="5">
        <v>1692</v>
      </c>
      <c r="B1753" s="138">
        <f>'Tax Sched 23'!B12</f>
        <v>14949</v>
      </c>
      <c r="C1753" s="2" t="s">
        <v>573</v>
      </c>
      <c r="D1753" s="2" t="str">
        <f t="shared" si="26"/>
        <v>Error?</v>
      </c>
    </row>
    <row r="1754" spans="1:5" x14ac:dyDescent="0.2">
      <c r="A1754" s="5">
        <v>1693</v>
      </c>
      <c r="B1754" s="138">
        <f>'Tax Sched 23'!B14</f>
        <v>4784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1184390</v>
      </c>
      <c r="C1759" s="2" t="s">
        <v>573</v>
      </c>
      <c r="D1759" s="2" t="str">
        <f t="shared" si="26"/>
        <v>Error?</v>
      </c>
    </row>
    <row r="1760" spans="1:5" x14ac:dyDescent="0.2">
      <c r="A1760" s="5">
        <v>1699</v>
      </c>
      <c r="B1760" s="138">
        <f>'Tax Sched 23'!D4</f>
        <v>871892</v>
      </c>
      <c r="C1760" s="2" t="s">
        <v>573</v>
      </c>
      <c r="D1760" s="2" t="str">
        <f t="shared" si="26"/>
        <v>Error?</v>
      </c>
    </row>
    <row r="1761" spans="1:5" x14ac:dyDescent="0.2">
      <c r="A1761" s="5">
        <v>1700</v>
      </c>
      <c r="B1761" s="138">
        <f>'Tax Sched 23'!D5</f>
        <v>180354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38862</v>
      </c>
      <c r="C1763" s="2" t="s">
        <v>573</v>
      </c>
      <c r="D1763" s="2" t="str">
        <f t="shared" si="26"/>
        <v>Error?</v>
      </c>
    </row>
    <row r="1764" spans="1:5" x14ac:dyDescent="0.2">
      <c r="A1764" s="5">
        <v>1703</v>
      </c>
      <c r="B1764" s="138">
        <f>'Tax Sched 23'!D8</f>
        <v>21921</v>
      </c>
      <c r="C1764" s="2" t="s">
        <v>573</v>
      </c>
      <c r="D1764" s="2" t="str">
        <f t="shared" si="26"/>
        <v>Error?</v>
      </c>
    </row>
    <row r="1765" spans="1:5" x14ac:dyDescent="0.2">
      <c r="A1765" s="5">
        <v>1704</v>
      </c>
      <c r="B1765" s="138">
        <f>'Tax Sched 23'!D10</f>
        <v>14949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25914</v>
      </c>
      <c r="C1768" s="2" t="s">
        <v>573</v>
      </c>
      <c r="D1768" s="2" t="str">
        <f t="shared" si="26"/>
        <v>Error?</v>
      </c>
    </row>
    <row r="1769" spans="1:5" x14ac:dyDescent="0.2">
      <c r="A1769" s="5">
        <v>1708</v>
      </c>
      <c r="B1769" s="138">
        <f>'Tax Sched 23'!D12</f>
        <v>14949</v>
      </c>
      <c r="C1769" s="2" t="s">
        <v>573</v>
      </c>
      <c r="D1769" s="2" t="str">
        <f t="shared" si="26"/>
        <v>Error?</v>
      </c>
    </row>
    <row r="1770" spans="1:5" x14ac:dyDescent="0.2">
      <c r="A1770" s="5">
        <v>1709</v>
      </c>
      <c r="B1770" s="138">
        <f>'Tax Sched 23'!D14</f>
        <v>4784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1184390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875000</v>
      </c>
      <c r="C1792" s="2" t="s">
        <v>573</v>
      </c>
      <c r="D1792" s="2" t="str">
        <f t="shared" si="27"/>
        <v>Error?</v>
      </c>
    </row>
    <row r="1793" spans="1:4" x14ac:dyDescent="0.2">
      <c r="A1793" s="5">
        <v>1732</v>
      </c>
      <c r="B1793" s="138">
        <f>'Tax Sched 23'!F5</f>
        <v>181001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39001</v>
      </c>
      <c r="C1795" s="2" t="s">
        <v>573</v>
      </c>
      <c r="D1795" s="2" t="str">
        <f t="shared" si="27"/>
        <v>Error?</v>
      </c>
    </row>
    <row r="1796" spans="1:4" x14ac:dyDescent="0.2">
      <c r="A1796" s="5">
        <v>1735</v>
      </c>
      <c r="B1796" s="138">
        <f>'Tax Sched 23'!F8</f>
        <v>22000</v>
      </c>
      <c r="C1796" s="2" t="s">
        <v>573</v>
      </c>
      <c r="D1796" s="2" t="str">
        <f t="shared" si="27"/>
        <v>Error?</v>
      </c>
    </row>
    <row r="1797" spans="1:4" x14ac:dyDescent="0.2">
      <c r="A1797" s="5">
        <v>1736</v>
      </c>
      <c r="B1797" s="138">
        <f>'Tax Sched 23'!F10</f>
        <v>15001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26003</v>
      </c>
      <c r="C1800" s="2" t="s">
        <v>573</v>
      </c>
      <c r="D1800" s="2" t="str">
        <f t="shared" si="27"/>
        <v>Error?</v>
      </c>
    </row>
    <row r="1801" spans="1:4" x14ac:dyDescent="0.2">
      <c r="A1801" s="5">
        <v>1740</v>
      </c>
      <c r="B1801" s="138">
        <f>'Tax Sched 23'!F12</f>
        <v>15001</v>
      </c>
      <c r="C1801" s="2" t="s">
        <v>573</v>
      </c>
      <c r="D1801" s="2" t="str">
        <f t="shared" si="27"/>
        <v>Error?</v>
      </c>
    </row>
    <row r="1802" spans="1:4" x14ac:dyDescent="0.2">
      <c r="A1802" s="5">
        <v>1741</v>
      </c>
      <c r="B1802" s="138">
        <f>'Tax Sched 23'!F14</f>
        <v>4800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1188609</v>
      </c>
      <c r="C1807" s="2" t="s">
        <v>573</v>
      </c>
      <c r="D1807" s="2" t="str">
        <f t="shared" si="27"/>
        <v>Error?</v>
      </c>
    </row>
    <row r="1808" spans="1:4" x14ac:dyDescent="0.2">
      <c r="A1808" s="5">
        <v>1747</v>
      </c>
      <c r="B1808" s="138">
        <f>'Tax Sched 23'!E4</f>
        <v>875000</v>
      </c>
      <c r="D1808" s="2" t="str">
        <f t="shared" si="27"/>
        <v>Error?</v>
      </c>
    </row>
    <row r="1809" spans="1:4" x14ac:dyDescent="0.2">
      <c r="A1809" s="5">
        <v>1748</v>
      </c>
      <c r="B1809" s="138">
        <f>'Tax Sched 23'!E5</f>
        <v>181001</v>
      </c>
      <c r="D1809" s="2" t="str">
        <f t="shared" si="27"/>
        <v>Error?</v>
      </c>
    </row>
    <row r="1810" spans="1:4" x14ac:dyDescent="0.2">
      <c r="A1810" s="5">
        <v>1749</v>
      </c>
      <c r="B1810" s="138">
        <f>'Tax Sched 23'!E6</f>
        <v>0</v>
      </c>
      <c r="D1810" s="2" t="str">
        <f t="shared" si="27"/>
        <v>Error?</v>
      </c>
    </row>
    <row r="1811" spans="1:4" x14ac:dyDescent="0.2">
      <c r="A1811" s="5">
        <v>1750</v>
      </c>
      <c r="B1811" s="138">
        <f>'Tax Sched 23'!E7</f>
        <v>39001</v>
      </c>
      <c r="D1811" s="2" t="str">
        <f t="shared" si="27"/>
        <v>Error?</v>
      </c>
    </row>
    <row r="1812" spans="1:4" x14ac:dyDescent="0.2">
      <c r="A1812" s="5">
        <v>1751</v>
      </c>
      <c r="B1812" s="138">
        <f>'Tax Sched 23'!E8</f>
        <v>22000</v>
      </c>
      <c r="D1812" s="2" t="str">
        <f t="shared" si="27"/>
        <v>Error?</v>
      </c>
    </row>
    <row r="1813" spans="1:4" x14ac:dyDescent="0.2">
      <c r="A1813" s="5">
        <v>1752</v>
      </c>
      <c r="B1813" s="138">
        <f>'Tax Sched 23'!E10</f>
        <v>15001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26003</v>
      </c>
      <c r="D1816" s="2" t="str">
        <f t="shared" si="27"/>
        <v>Error?</v>
      </c>
    </row>
    <row r="1817" spans="1:4" x14ac:dyDescent="0.2">
      <c r="A1817" s="5">
        <v>1756</v>
      </c>
      <c r="B1817" s="138">
        <f>'Tax Sched 23'!E12</f>
        <v>15001</v>
      </c>
      <c r="D1817" s="2" t="str">
        <f t="shared" si="27"/>
        <v>Error?</v>
      </c>
    </row>
    <row r="1818" spans="1:4" x14ac:dyDescent="0.2">
      <c r="A1818" s="5">
        <v>1757</v>
      </c>
      <c r="B1818" s="138">
        <f>'Tax Sched 23'!E14</f>
        <v>4800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1188609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292000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4784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4784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4784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2923142</v>
      </c>
      <c r="D2009" s="2" t="str">
        <f t="shared" si="30"/>
        <v>Error?</v>
      </c>
    </row>
    <row r="2010" spans="1:4" x14ac:dyDescent="0.2">
      <c r="A2010" s="5">
        <v>1949</v>
      </c>
      <c r="B2010" s="138">
        <f>'Cap Outlay Deprec 26'!C10</f>
        <v>240945</v>
      </c>
      <c r="D2010" s="2" t="str">
        <f t="shared" si="30"/>
        <v>Error?</v>
      </c>
    </row>
    <row r="2011" spans="1:4" x14ac:dyDescent="0.2">
      <c r="A2011" s="5">
        <v>1950</v>
      </c>
      <c r="B2011" s="138">
        <f>'Cap Outlay Deprec 26'!C12</f>
        <v>799676</v>
      </c>
      <c r="D2011" s="2" t="str">
        <f t="shared" si="30"/>
        <v>Error?</v>
      </c>
    </row>
    <row r="2012" spans="1:4" x14ac:dyDescent="0.2">
      <c r="A2012" s="5">
        <v>1951</v>
      </c>
      <c r="B2012" s="138">
        <f>'Cap Outlay Deprec 26'!C13</f>
        <v>86006</v>
      </c>
      <c r="D2012" s="2" t="str">
        <f t="shared" si="30"/>
        <v>Error?</v>
      </c>
    </row>
    <row r="2013" spans="1:4" x14ac:dyDescent="0.2">
      <c r="A2013" s="5">
        <v>1952</v>
      </c>
      <c r="B2013" s="138">
        <f>'Cap Outlay Deprec 26'!C16</f>
        <v>4054769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62509</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23026</v>
      </c>
      <c r="D2018" s="2" t="str">
        <f t="shared" si="30"/>
        <v>Error?</v>
      </c>
    </row>
    <row r="2019" spans="1:4" x14ac:dyDescent="0.2">
      <c r="A2019" s="5">
        <v>1958</v>
      </c>
      <c r="B2019" s="138">
        <f>'Cap Outlay Deprec 26'!D16</f>
        <v>85535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5000</v>
      </c>
      <c r="C2026" s="2" t="s">
        <v>573</v>
      </c>
      <c r="D2026" s="2" t="str">
        <f t="shared" si="30"/>
        <v>Error?</v>
      </c>
    </row>
    <row r="2027" spans="1:4" x14ac:dyDescent="0.2">
      <c r="A2027" s="5">
        <v>1966</v>
      </c>
      <c r="B2027" s="138">
        <f>'Cap Outlay Deprec 26'!F8</f>
        <v>2923142</v>
      </c>
      <c r="C2027" s="2" t="s">
        <v>573</v>
      </c>
      <c r="D2027" s="2" t="str">
        <f t="shared" si="30"/>
        <v>Error?</v>
      </c>
    </row>
    <row r="2028" spans="1:4" x14ac:dyDescent="0.2">
      <c r="A2028" s="5">
        <v>1967</v>
      </c>
      <c r="B2028" s="138">
        <f>'Cap Outlay Deprec 26'!F10</f>
        <v>303454</v>
      </c>
      <c r="C2028" s="2" t="s">
        <v>573</v>
      </c>
      <c r="D2028" s="2" t="str">
        <f t="shared" si="30"/>
        <v>Error?</v>
      </c>
    </row>
    <row r="2029" spans="1:4" x14ac:dyDescent="0.2">
      <c r="A2029" s="5">
        <v>1968</v>
      </c>
      <c r="B2029" s="138">
        <f>'Cap Outlay Deprec 26'!F12</f>
        <v>799676</v>
      </c>
      <c r="C2029" s="2" t="s">
        <v>573</v>
      </c>
      <c r="D2029" s="2" t="str">
        <f t="shared" si="30"/>
        <v>Error?</v>
      </c>
    </row>
    <row r="2030" spans="1:4" x14ac:dyDescent="0.2">
      <c r="A2030" s="5">
        <v>1969</v>
      </c>
      <c r="B2030" s="138">
        <f>'Cap Outlay Deprec 26'!F13</f>
        <v>109032</v>
      </c>
      <c r="C2030" s="2" t="s">
        <v>573</v>
      </c>
      <c r="D2030" s="2" t="str">
        <f t="shared" si="30"/>
        <v>Error?</v>
      </c>
    </row>
    <row r="2031" spans="1:4" x14ac:dyDescent="0.2">
      <c r="A2031" s="5">
        <v>1970</v>
      </c>
      <c r="B2031" s="138">
        <f>'Cap Outlay Deprec 26'!F16</f>
        <v>4140304</v>
      </c>
      <c r="C2031" s="2" t="s">
        <v>573</v>
      </c>
      <c r="D2031" s="2" t="str">
        <f t="shared" si="30"/>
        <v>Error?</v>
      </c>
    </row>
    <row r="2032" spans="1:4" x14ac:dyDescent="0.2">
      <c r="A2032" s="10">
        <v>1971</v>
      </c>
      <c r="D2032" s="2" t="str">
        <f t="shared" si="30"/>
        <v>OK</v>
      </c>
    </row>
    <row r="2033" spans="1:4" x14ac:dyDescent="0.2">
      <c r="A2033" s="5">
        <v>1972</v>
      </c>
      <c r="B2033" s="138">
        <f>'Cap Outlay Deprec 26'!H8</f>
        <v>1863251</v>
      </c>
      <c r="D2033" s="2" t="str">
        <f t="shared" si="30"/>
        <v>Error?</v>
      </c>
    </row>
    <row r="2034" spans="1:4" x14ac:dyDescent="0.2">
      <c r="A2034" s="5">
        <v>1973</v>
      </c>
      <c r="B2034" s="138">
        <f>'Cap Outlay Deprec 26'!H10</f>
        <v>35225</v>
      </c>
      <c r="D2034" s="2" t="str">
        <f t="shared" si="30"/>
        <v>Error?</v>
      </c>
    </row>
    <row r="2035" spans="1:4" x14ac:dyDescent="0.2">
      <c r="A2035" s="5">
        <v>1974</v>
      </c>
      <c r="B2035" s="138">
        <f>'Cap Outlay Deprec 26'!H12</f>
        <v>733577</v>
      </c>
      <c r="D2035" s="2" t="str">
        <f t="shared" si="30"/>
        <v>Error?</v>
      </c>
    </row>
    <row r="2036" spans="1:4" x14ac:dyDescent="0.2">
      <c r="A2036" s="5">
        <v>1975</v>
      </c>
      <c r="B2036" s="138">
        <f>'Cap Outlay Deprec 26'!H13</f>
        <v>47858</v>
      </c>
      <c r="D2036" s="2" t="str">
        <f t="shared" si="30"/>
        <v>Error?</v>
      </c>
    </row>
    <row r="2037" spans="1:4" x14ac:dyDescent="0.2">
      <c r="A2037" s="5">
        <v>1976</v>
      </c>
      <c r="B2037" s="138">
        <f>'Cap Outlay Deprec 26'!H16</f>
        <v>2679911</v>
      </c>
      <c r="C2037" s="2" t="s">
        <v>573</v>
      </c>
      <c r="D2037" s="2" t="str">
        <f t="shared" si="30"/>
        <v>Error?</v>
      </c>
    </row>
    <row r="2038" spans="1:4" x14ac:dyDescent="0.2">
      <c r="A2038" s="10">
        <v>1977</v>
      </c>
      <c r="D2038" s="2" t="str">
        <f t="shared" si="30"/>
        <v>OK</v>
      </c>
    </row>
    <row r="2039" spans="1:4" x14ac:dyDescent="0.2">
      <c r="A2039" s="5">
        <v>1978</v>
      </c>
      <c r="B2039" s="138">
        <f>'Cap Outlay Deprec 26'!I8</f>
        <v>58464</v>
      </c>
      <c r="D2039" s="2" t="str">
        <f t="shared" si="30"/>
        <v>Error?</v>
      </c>
    </row>
    <row r="2040" spans="1:4" x14ac:dyDescent="0.2">
      <c r="A2040" s="5">
        <v>1979</v>
      </c>
      <c r="B2040" s="138">
        <f>'Cap Outlay Deprec 26'!I10</f>
        <v>14951</v>
      </c>
      <c r="D2040" s="2" t="str">
        <f t="shared" si="30"/>
        <v>Error?</v>
      </c>
    </row>
    <row r="2041" spans="1:4" x14ac:dyDescent="0.2">
      <c r="A2041" s="5">
        <v>1980</v>
      </c>
      <c r="B2041" s="138">
        <f>'Cap Outlay Deprec 26'!I12</f>
        <v>12868</v>
      </c>
      <c r="D2041" s="2" t="str">
        <f t="shared" si="30"/>
        <v>Error?</v>
      </c>
    </row>
    <row r="2042" spans="1:4" x14ac:dyDescent="0.2">
      <c r="A2042" s="5">
        <v>1981</v>
      </c>
      <c r="B2042" s="138">
        <f>'Cap Outlay Deprec 26'!I13</f>
        <v>13656</v>
      </c>
      <c r="D2042" s="2" t="str">
        <f t="shared" si="30"/>
        <v>Error?</v>
      </c>
    </row>
    <row r="2043" spans="1:4" x14ac:dyDescent="0.2">
      <c r="A2043" s="5">
        <v>1982</v>
      </c>
      <c r="B2043" s="138">
        <f>'Cap Outlay Deprec 26'!I16</f>
        <v>99939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1921715</v>
      </c>
      <c r="C2051" s="2" t="s">
        <v>573</v>
      </c>
      <c r="D2051" s="2" t="str">
        <f t="shared" si="31"/>
        <v>Error?</v>
      </c>
    </row>
    <row r="2052" spans="1:4" x14ac:dyDescent="0.2">
      <c r="A2052" s="5">
        <v>1991</v>
      </c>
      <c r="B2052" s="138">
        <f>'Cap Outlay Deprec 26'!K10</f>
        <v>50176</v>
      </c>
      <c r="C2052" s="2" t="s">
        <v>573</v>
      </c>
      <c r="D2052" s="2" t="str">
        <f t="shared" si="31"/>
        <v>Error?</v>
      </c>
    </row>
    <row r="2053" spans="1:4" x14ac:dyDescent="0.2">
      <c r="A2053" s="5">
        <v>1992</v>
      </c>
      <c r="B2053" s="138">
        <f>'Cap Outlay Deprec 26'!K12</f>
        <v>746445</v>
      </c>
      <c r="C2053" s="2" t="s">
        <v>573</v>
      </c>
      <c r="D2053" s="2" t="str">
        <f t="shared" si="31"/>
        <v>Error?</v>
      </c>
    </row>
    <row r="2054" spans="1:4" x14ac:dyDescent="0.2">
      <c r="A2054" s="5">
        <v>1993</v>
      </c>
      <c r="B2054" s="138">
        <f>'Cap Outlay Deprec 26'!K13</f>
        <v>61514</v>
      </c>
      <c r="C2054" s="2" t="s">
        <v>573</v>
      </c>
      <c r="D2054" s="2" t="str">
        <f t="shared" si="31"/>
        <v>Error?</v>
      </c>
    </row>
    <row r="2055" spans="1:4" x14ac:dyDescent="0.2">
      <c r="A2055" s="5">
        <v>1994</v>
      </c>
      <c r="B2055" s="138">
        <f>'Cap Outlay Deprec 26'!K16</f>
        <v>2779850</v>
      </c>
      <c r="C2055" s="2" t="s">
        <v>573</v>
      </c>
      <c r="D2055" s="2" t="str">
        <f t="shared" si="31"/>
        <v>Error?</v>
      </c>
    </row>
    <row r="2056" spans="1:4" x14ac:dyDescent="0.2">
      <c r="A2056" s="5">
        <v>1995</v>
      </c>
      <c r="B2056" s="138">
        <f>'Cap Outlay Deprec 26'!L5</f>
        <v>5000</v>
      </c>
      <c r="C2056" s="2" t="s">
        <v>573</v>
      </c>
      <c r="D2056" s="2" t="str">
        <f t="shared" si="31"/>
        <v>Error?</v>
      </c>
    </row>
    <row r="2057" spans="1:4" x14ac:dyDescent="0.2">
      <c r="A2057" s="5">
        <v>1996</v>
      </c>
      <c r="B2057" s="138">
        <f>'Cap Outlay Deprec 26'!L8</f>
        <v>1001427</v>
      </c>
      <c r="C2057" s="2" t="s">
        <v>573</v>
      </c>
      <c r="D2057" s="2" t="str">
        <f t="shared" si="31"/>
        <v>Error?</v>
      </c>
    </row>
    <row r="2058" spans="1:4" x14ac:dyDescent="0.2">
      <c r="A2058" s="5">
        <v>1997</v>
      </c>
      <c r="B2058" s="138">
        <f>'Cap Outlay Deprec 26'!L10</f>
        <v>253278</v>
      </c>
      <c r="C2058" s="2" t="s">
        <v>573</v>
      </c>
      <c r="D2058" s="2" t="str">
        <f t="shared" si="31"/>
        <v>Error?</v>
      </c>
    </row>
    <row r="2059" spans="1:4" x14ac:dyDescent="0.2">
      <c r="A2059" s="5">
        <v>1998</v>
      </c>
      <c r="B2059" s="138">
        <f>'Cap Outlay Deprec 26'!L12</f>
        <v>53231</v>
      </c>
      <c r="C2059" s="2" t="s">
        <v>573</v>
      </c>
      <c r="D2059" s="2" t="str">
        <f t="shared" si="31"/>
        <v>Error?</v>
      </c>
    </row>
    <row r="2060" spans="1:4" x14ac:dyDescent="0.2">
      <c r="A2060" s="5">
        <v>1999</v>
      </c>
      <c r="B2060" s="138">
        <f>'Cap Outlay Deprec 26'!L13</f>
        <v>47518</v>
      </c>
      <c r="C2060" s="2" t="s">
        <v>573</v>
      </c>
      <c r="D2060" s="2" t="str">
        <f t="shared" si="31"/>
        <v>Error?</v>
      </c>
    </row>
    <row r="2061" spans="1:4" x14ac:dyDescent="0.2">
      <c r="A2061" s="5">
        <v>2000</v>
      </c>
      <c r="B2061" s="138">
        <f>'Cap Outlay Deprec 26'!L16</f>
        <v>1360454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6739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115937</v>
      </c>
      <c r="C2088" s="2" t="s">
        <v>573</v>
      </c>
      <c r="D2088" s="2" t="str">
        <f t="shared" si="31"/>
        <v>Error?</v>
      </c>
    </row>
    <row r="2089" spans="1:4" x14ac:dyDescent="0.2">
      <c r="A2089" s="5">
        <v>2028</v>
      </c>
      <c r="B2089" s="138">
        <f>'Expenditures 15-22'!K92</f>
        <v>12582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14951</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-23301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109194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965396</v>
      </c>
      <c r="C2551" s="2" t="s">
        <v>573</v>
      </c>
      <c r="D2551" s="2" t="str">
        <f t="shared" si="38"/>
        <v>Error?</v>
      </c>
    </row>
    <row r="2552" spans="1:4" x14ac:dyDescent="0.2">
      <c r="A2552" s="10">
        <v>2491</v>
      </c>
      <c r="D2552" s="2" t="str">
        <f t="shared" si="38"/>
        <v>OK</v>
      </c>
    </row>
    <row r="2553" spans="1:4" x14ac:dyDescent="0.2">
      <c r="A2553" s="5">
        <v>2492</v>
      </c>
      <c r="B2553" s="138">
        <f>'Acct Summary 7-8'!C6</f>
        <v>186343</v>
      </c>
      <c r="C2553" s="2" t="s">
        <v>573</v>
      </c>
      <c r="D2553" s="2" t="str">
        <f t="shared" si="38"/>
        <v>Error?</v>
      </c>
    </row>
    <row r="2554" spans="1:4" x14ac:dyDescent="0.2">
      <c r="A2554" s="5">
        <v>2493</v>
      </c>
      <c r="B2554" s="138">
        <f>'Acct Summary 7-8'!C7</f>
        <v>105759</v>
      </c>
      <c r="C2554" s="2" t="s">
        <v>573</v>
      </c>
      <c r="D2554" s="2" t="str">
        <f t="shared" si="38"/>
        <v>Error?</v>
      </c>
    </row>
    <row r="2555" spans="1:4" x14ac:dyDescent="0.2">
      <c r="A2555" s="5">
        <v>2494</v>
      </c>
      <c r="B2555" s="138">
        <f>'Acct Summary 7-8'!C8</f>
        <v>1257498</v>
      </c>
      <c r="C2555" s="2" t="s">
        <v>573</v>
      </c>
      <c r="D2555" s="2" t="str">
        <f t="shared" si="38"/>
        <v>Error?</v>
      </c>
    </row>
    <row r="2556" spans="1:4" x14ac:dyDescent="0.2">
      <c r="A2556" s="5">
        <v>2495</v>
      </c>
      <c r="B2556" s="138">
        <f>'Acct Summary 7-8'!C12</f>
        <v>643897</v>
      </c>
      <c r="C2556" s="2" t="s">
        <v>573</v>
      </c>
      <c r="D2556" s="2" t="str">
        <f t="shared" si="38"/>
        <v>Error?</v>
      </c>
    </row>
    <row r="2557" spans="1:4" x14ac:dyDescent="0.2">
      <c r="A2557" s="5">
        <v>2496</v>
      </c>
      <c r="B2557" s="138">
        <f>'Acct Summary 7-8'!C13</f>
        <v>277334</v>
      </c>
      <c r="C2557" s="2" t="s">
        <v>573</v>
      </c>
      <c r="D2557" s="2" t="str">
        <f t="shared" si="38"/>
        <v>Error?</v>
      </c>
    </row>
    <row r="2558" spans="1:4" x14ac:dyDescent="0.2">
      <c r="A2558" s="5">
        <v>2497</v>
      </c>
      <c r="B2558" s="138">
        <f>'Acct Summary 7-8'!C14</f>
        <v>421</v>
      </c>
      <c r="C2558" s="2" t="s">
        <v>573</v>
      </c>
      <c r="D2558" s="2" t="str">
        <f t="shared" si="38"/>
        <v>Error?</v>
      </c>
    </row>
    <row r="2559" spans="1:4" x14ac:dyDescent="0.2">
      <c r="A2559" s="5">
        <v>2498</v>
      </c>
      <c r="B2559" s="138">
        <f>'Acct Summary 7-8'!C15</f>
        <v>128519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1050171</v>
      </c>
      <c r="C2561" s="2" t="s">
        <v>573</v>
      </c>
      <c r="D2561" s="2" t="str">
        <f t="shared" si="39"/>
        <v>Error?</v>
      </c>
    </row>
    <row r="2562" spans="1:4" x14ac:dyDescent="0.2">
      <c r="A2562" s="5">
        <v>2501</v>
      </c>
      <c r="B2562" s="138">
        <f>'Acct Summary 7-8'!C20</f>
        <v>207327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180697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180697</v>
      </c>
      <c r="C2568" s="2" t="s">
        <v>573</v>
      </c>
      <c r="D2568" s="2" t="str">
        <f t="shared" si="39"/>
        <v>Error?</v>
      </c>
    </row>
    <row r="2569" spans="1:4" x14ac:dyDescent="0.2">
      <c r="A2569" s="5">
        <v>2508</v>
      </c>
      <c r="B2569" s="138">
        <f>'Acct Summary 7-8'!D13</f>
        <v>163854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163854</v>
      </c>
      <c r="C2573" s="2" t="s">
        <v>573</v>
      </c>
      <c r="D2573" s="2" t="str">
        <f t="shared" si="39"/>
        <v>Error?</v>
      </c>
    </row>
    <row r="2574" spans="1:4" x14ac:dyDescent="0.2">
      <c r="A2574" s="5">
        <v>2513</v>
      </c>
      <c r="B2574" s="138">
        <f>'Acct Summary 7-8'!D20</f>
        <v>16843</v>
      </c>
      <c r="C2574" s="2" t="s">
        <v>573</v>
      </c>
      <c r="D2574" s="2" t="str">
        <f t="shared" si="39"/>
        <v>Error?</v>
      </c>
    </row>
    <row r="2575" spans="1:4" x14ac:dyDescent="0.2">
      <c r="A2575" s="5">
        <v>2514</v>
      </c>
      <c r="B2575" s="138">
        <f>'Acct Summary 7-8'!D80</f>
        <v>477877</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38872</v>
      </c>
      <c r="C2591" s="2" t="s">
        <v>573</v>
      </c>
      <c r="D2591" s="2" t="str">
        <f t="shared" si="39"/>
        <v>Error?</v>
      </c>
    </row>
    <row r="2592" spans="1:4" x14ac:dyDescent="0.2">
      <c r="A2592" s="10">
        <v>2531</v>
      </c>
      <c r="D2592" s="2" t="str">
        <f t="shared" si="39"/>
        <v>OK</v>
      </c>
    </row>
    <row r="2593" spans="1:4" x14ac:dyDescent="0.2">
      <c r="A2593" s="5">
        <v>2532</v>
      </c>
      <c r="B2593" s="138">
        <f>'Acct Summary 7-8'!F6</f>
        <v>41882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80754</v>
      </c>
      <c r="C2595" s="2" t="s">
        <v>573</v>
      </c>
      <c r="D2595" s="2" t="str">
        <f t="shared" si="39"/>
        <v>Error?</v>
      </c>
    </row>
    <row r="2596" spans="1:4" x14ac:dyDescent="0.2">
      <c r="A2596" s="5">
        <v>2535</v>
      </c>
      <c r="B2596" s="138">
        <f>'Acct Summary 7-8'!F13</f>
        <v>84735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84735</v>
      </c>
      <c r="C2600" s="2" t="s">
        <v>573</v>
      </c>
      <c r="D2600" s="2" t="str">
        <f t="shared" si="39"/>
        <v>Error?</v>
      </c>
    </row>
    <row r="2601" spans="1:4" x14ac:dyDescent="0.2">
      <c r="A2601" s="5">
        <v>2540</v>
      </c>
      <c r="B2601" s="138">
        <f>'Acct Summary 7-8'!F20</f>
        <v>-3981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24637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24637</v>
      </c>
      <c r="C2606" s="2" t="s">
        <v>573</v>
      </c>
      <c r="D2606" s="2" t="str">
        <f t="shared" si="39"/>
        <v>Error?</v>
      </c>
    </row>
    <row r="2607" spans="1:4" x14ac:dyDescent="0.2">
      <c r="A2607" s="5">
        <v>2546</v>
      </c>
      <c r="B2607" s="138">
        <f>'Acct Summary 7-8'!G12</f>
        <v>9918</v>
      </c>
      <c r="C2607" s="2" t="s">
        <v>573</v>
      </c>
      <c r="D2607" s="2" t="str">
        <f t="shared" si="39"/>
        <v>Error?</v>
      </c>
    </row>
    <row r="2608" spans="1:4" x14ac:dyDescent="0.2">
      <c r="A2608" s="5">
        <v>2547</v>
      </c>
      <c r="B2608" s="138">
        <f>'Acct Summary 7-8'!G13</f>
        <v>27036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36954</v>
      </c>
      <c r="C2612" s="2" t="s">
        <v>573</v>
      </c>
      <c r="D2612" s="2" t="str">
        <f t="shared" si="39"/>
        <v>Error?</v>
      </c>
    </row>
    <row r="2613" spans="1:4" x14ac:dyDescent="0.2">
      <c r="A2613" s="5">
        <v>2552</v>
      </c>
      <c r="B2613" s="138">
        <f>'Acct Summary 7-8'!G20</f>
        <v>-12317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31722</v>
      </c>
      <c r="C2634" s="2" t="s">
        <v>573</v>
      </c>
      <c r="D2634" s="2" t="str">
        <f t="shared" si="40"/>
        <v>Error?</v>
      </c>
    </row>
    <row r="2635" spans="1:4" x14ac:dyDescent="0.2">
      <c r="A2635" s="5">
        <v>2574</v>
      </c>
      <c r="B2635" s="138">
        <f>'Acct Summary 7-8'!E17</f>
        <v>31722</v>
      </c>
      <c r="C2635" s="2" t="s">
        <v>573</v>
      </c>
      <c r="D2635" s="2" t="str">
        <f t="shared" si="40"/>
        <v>Error?</v>
      </c>
    </row>
    <row r="2636" spans="1:4" x14ac:dyDescent="0.2">
      <c r="A2636" s="5">
        <v>2575</v>
      </c>
      <c r="B2636" s="138">
        <f>'Acct Summary 7-8'!E20</f>
        <v>-31722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44492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44492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44492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1265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1265</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109198</v>
      </c>
      <c r="C2789" s="2" t="s">
        <v>573</v>
      </c>
      <c r="D2789" s="2" t="str">
        <f t="shared" si="42"/>
        <v>Error?</v>
      </c>
    </row>
    <row r="2790" spans="1:4" x14ac:dyDescent="0.2">
      <c r="A2790" s="5">
        <v>2729</v>
      </c>
      <c r="B2790" s="138">
        <f>'Expenditures 15-22'!E102</f>
        <v>109198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15583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15583</v>
      </c>
      <c r="D2914" s="2" t="str">
        <f t="shared" si="44"/>
        <v>Error?</v>
      </c>
    </row>
    <row r="2915" spans="1:4" x14ac:dyDescent="0.2">
      <c r="A2915" s="10">
        <v>2854</v>
      </c>
      <c r="D2915" s="2" t="str">
        <f t="shared" si="44"/>
        <v>OK</v>
      </c>
    </row>
    <row r="2916" spans="1:4" x14ac:dyDescent="0.2">
      <c r="A2916" s="5">
        <v>2855</v>
      </c>
      <c r="B2916" s="138">
        <f>'Assets-Liab 5-6'!L34</f>
        <v>15583</v>
      </c>
      <c r="C2916" s="2" t="s">
        <v>573</v>
      </c>
      <c r="D2916" s="2" t="str">
        <f t="shared" si="44"/>
        <v>Error?</v>
      </c>
    </row>
    <row r="2917" spans="1:4" x14ac:dyDescent="0.2">
      <c r="A2917" s="5">
        <v>2856</v>
      </c>
      <c r="B2917" s="138">
        <f>'Assets-Liab 5-6'!L41</f>
        <v>15583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2551</v>
      </c>
      <c r="D2949" s="2" t="str">
        <f t="shared" si="45"/>
        <v>Error?</v>
      </c>
    </row>
    <row r="2950" spans="1:4" x14ac:dyDescent="0.2">
      <c r="A2950" s="5">
        <v>2889</v>
      </c>
      <c r="B2950" s="138">
        <f>'Expenditures 15-22'!E79</f>
        <v>106647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6739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2551</v>
      </c>
      <c r="C2973" s="2" t="s">
        <v>573</v>
      </c>
      <c r="D2973" s="2" t="str">
        <f t="shared" si="45"/>
        <v>Error?</v>
      </c>
    </row>
    <row r="2974" spans="1:4" x14ac:dyDescent="0.2">
      <c r="A2974" s="5">
        <v>2913</v>
      </c>
      <c r="B2974" s="138">
        <f>'Expenditures 15-22'!K79</f>
        <v>113386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5060</v>
      </c>
      <c r="D3055" s="2" t="str">
        <f t="shared" si="46"/>
        <v>Error?</v>
      </c>
    </row>
    <row r="3056" spans="1:4" x14ac:dyDescent="0.2">
      <c r="A3056" s="5">
        <v>2995</v>
      </c>
      <c r="B3056" s="138">
        <f>'Expenditures 15-22'!D10</f>
        <v>1719</v>
      </c>
      <c r="D3056" s="2" t="str">
        <f t="shared" si="46"/>
        <v>Error?</v>
      </c>
    </row>
    <row r="3057" spans="1:4" x14ac:dyDescent="0.2">
      <c r="A3057" s="5">
        <v>2996</v>
      </c>
      <c r="B3057" s="138">
        <f>'Expenditures 15-22'!E10</f>
        <v>13624</v>
      </c>
      <c r="D3057" s="2" t="str">
        <f t="shared" si="46"/>
        <v>Error?</v>
      </c>
    </row>
    <row r="3058" spans="1:4" x14ac:dyDescent="0.2">
      <c r="A3058" s="5">
        <v>2997</v>
      </c>
      <c r="B3058" s="138">
        <f>'Expenditures 15-22'!F10</f>
        <v>6412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26815</v>
      </c>
      <c r="C3062" s="2" t="s">
        <v>573</v>
      </c>
      <c r="D3062" s="2" t="str">
        <f t="shared" si="46"/>
        <v>Error?</v>
      </c>
    </row>
    <row r="3063" spans="1:4" x14ac:dyDescent="0.2">
      <c r="A3063" s="10">
        <v>3002</v>
      </c>
      <c r="D3063" s="2" t="str">
        <f t="shared" si="46"/>
        <v>OK</v>
      </c>
    </row>
    <row r="3064" spans="1:4" x14ac:dyDescent="0.2">
      <c r="A3064" s="5">
        <v>3003</v>
      </c>
      <c r="B3064" s="138">
        <f>'Expenditures 15-22'!D219</f>
        <v>72</v>
      </c>
      <c r="D3064" s="2" t="str">
        <f t="shared" si="46"/>
        <v>Error?</v>
      </c>
    </row>
    <row r="3065" spans="1:4" x14ac:dyDescent="0.2">
      <c r="A3065" s="5">
        <v>3004</v>
      </c>
      <c r="B3065" s="138">
        <f>'Expenditures 15-22'!K219</f>
        <v>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14951</v>
      </c>
      <c r="C3225" s="2" t="s">
        <v>573</v>
      </c>
      <c r="D3225" s="2" t="str">
        <f t="shared" si="49"/>
        <v>Error?</v>
      </c>
    </row>
    <row r="3226" spans="1:4" x14ac:dyDescent="0.2">
      <c r="A3226" s="5">
        <v>3165</v>
      </c>
      <c r="B3226" s="138">
        <f>'Acct Summary 7-8'!I8</f>
        <v>14951</v>
      </c>
      <c r="C3226" s="2" t="s">
        <v>573</v>
      </c>
      <c r="D3226" s="2" t="str">
        <f t="shared" si="49"/>
        <v>Error?</v>
      </c>
    </row>
    <row r="3227" spans="1:4" x14ac:dyDescent="0.2">
      <c r="A3227" s="5">
        <v>3166</v>
      </c>
      <c r="B3227" s="138">
        <f>'Acct Summary 7-8'!I20</f>
        <v>14951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14951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14951</v>
      </c>
      <c r="C3232" s="2" t="s">
        <v>573</v>
      </c>
      <c r="D3232" s="2" t="str">
        <f t="shared" si="49"/>
        <v>Error?</v>
      </c>
    </row>
    <row r="3233" spans="1:4" x14ac:dyDescent="0.2">
      <c r="A3233" s="5">
        <v>3172</v>
      </c>
      <c r="B3233" s="138">
        <f>'Acct Summary 7-8'!C78</f>
        <v>222278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16843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-3981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-12317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-31722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44492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14951</v>
      </c>
      <c r="C3318" s="2" t="s">
        <v>573</v>
      </c>
      <c r="D3318" s="2" t="str">
        <f t="shared" si="50"/>
        <v>Error?</v>
      </c>
    </row>
    <row r="3319" spans="1:4" x14ac:dyDescent="0.2">
      <c r="A3319" s="5">
        <v>3258</v>
      </c>
      <c r="B3319" s="138">
        <f>'Acct Summary 7-8'!I77</f>
        <v>-14951</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48365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13971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66073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7180</v>
      </c>
      <c r="D3387" s="2" t="str">
        <f t="shared" si="51"/>
        <v>Error?</v>
      </c>
    </row>
    <row r="3388" spans="1:4" x14ac:dyDescent="0.2">
      <c r="A3388" s="5">
        <v>3327</v>
      </c>
      <c r="B3388" s="138">
        <f>'Expenditures 15-22'!D217</f>
        <v>2666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7180</v>
      </c>
      <c r="C3390" s="2" t="s">
        <v>573</v>
      </c>
      <c r="D3390" s="2" t="str">
        <f t="shared" si="51"/>
        <v>Error?</v>
      </c>
    </row>
    <row r="3391" spans="1:4" x14ac:dyDescent="0.2">
      <c r="A3391" s="5">
        <v>3330</v>
      </c>
      <c r="B3391" s="138">
        <f>'Expenditures 15-22'!K217</f>
        <v>2666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1005939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642155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33589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109194</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15583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1794</v>
      </c>
      <c r="C3446" s="2" t="s">
        <v>573</v>
      </c>
      <c r="D3446" s="2" t="str">
        <f t="shared" si="52"/>
        <v>Error?</v>
      </c>
    </row>
    <row r="3447" spans="1:4" x14ac:dyDescent="0.2">
      <c r="A3447" s="5">
        <v>3386</v>
      </c>
      <c r="B3447" s="138">
        <f>'Tax Sched 23'!D16</f>
        <v>1794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1800</v>
      </c>
      <c r="C3449" s="2" t="s">
        <v>573</v>
      </c>
      <c r="D3449" s="2" t="str">
        <f t="shared" si="52"/>
        <v>Error?</v>
      </c>
    </row>
    <row r="3450" spans="1:4" x14ac:dyDescent="0.2">
      <c r="A3450" s="5">
        <v>3389</v>
      </c>
      <c r="B3450" s="138">
        <f>'Tax Sched 23'!E16</f>
        <v>1800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10237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4452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14689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14689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14689</v>
      </c>
      <c r="C3568" s="2" t="s">
        <v>573</v>
      </c>
      <c r="D3568" s="2" t="str">
        <f t="shared" si="54"/>
        <v>Error?</v>
      </c>
    </row>
    <row r="3569" spans="1:4" x14ac:dyDescent="0.2">
      <c r="A3569" s="5">
        <v>3508</v>
      </c>
      <c r="B3569" s="138">
        <f>'Acct Summary 7-8'!K4</f>
        <v>14959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14959</v>
      </c>
      <c r="C3571" s="2" t="s">
        <v>573</v>
      </c>
      <c r="D3571" s="2" t="str">
        <f t="shared" si="54"/>
        <v>Error?</v>
      </c>
    </row>
    <row r="3572" spans="1:4" x14ac:dyDescent="0.2">
      <c r="A3572" s="5">
        <v>3511</v>
      </c>
      <c r="B3572" s="138">
        <f>'Acct Summary 7-8'!K13</f>
        <v>3017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3017</v>
      </c>
      <c r="C3575" s="2" t="s">
        <v>573</v>
      </c>
      <c r="D3575" s="2" t="str">
        <f t="shared" si="54"/>
        <v>Error?</v>
      </c>
    </row>
    <row r="3576" spans="1:4" x14ac:dyDescent="0.2">
      <c r="A3576" s="5">
        <v>3515</v>
      </c>
      <c r="B3576" s="138">
        <f>'Acct Summary 7-8'!K20</f>
        <v>11942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11942</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2747</v>
      </c>
      <c r="D3590" s="2" t="str">
        <f t="shared" si="55"/>
        <v>Error?</v>
      </c>
    </row>
    <row r="3591" spans="1:4" x14ac:dyDescent="0.2">
      <c r="A3591" s="5">
        <v>3530</v>
      </c>
      <c r="B3591" s="138">
        <f>'Acct Summary 7-8'!K81</f>
        <v>14689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2649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2649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2649</v>
      </c>
      <c r="C3636" s="2" t="s">
        <v>573</v>
      </c>
      <c r="D3636" s="2" t="str">
        <f t="shared" si="55"/>
        <v>Error?</v>
      </c>
    </row>
    <row r="3637" spans="1:4" x14ac:dyDescent="0.2">
      <c r="A3637" s="10">
        <v>3576</v>
      </c>
      <c r="D3637" s="2" t="str">
        <f t="shared" si="55"/>
        <v>OK</v>
      </c>
    </row>
    <row r="3638" spans="1:4" x14ac:dyDescent="0.2">
      <c r="A3638" s="5">
        <v>3577</v>
      </c>
      <c r="B3638" s="138">
        <f>'Expenditures 15-22'!F348</f>
        <v>368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368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368</v>
      </c>
      <c r="C3642" s="2" t="s">
        <v>573</v>
      </c>
      <c r="D3642" s="2" t="str">
        <f t="shared" si="55"/>
        <v>Error?</v>
      </c>
    </row>
    <row r="3643" spans="1:4" x14ac:dyDescent="0.2">
      <c r="A3643" s="5">
        <v>3582</v>
      </c>
      <c r="B3643" s="138">
        <f>'Expenditures 15-22'!F367</f>
        <v>368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3017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3017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3017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3017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11942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8971</v>
      </c>
      <c r="C3725" s="2" t="s">
        <v>573</v>
      </c>
      <c r="D3725" s="2" t="str">
        <f t="shared" si="57"/>
        <v>Error?</v>
      </c>
    </row>
    <row r="3726" spans="1:4" x14ac:dyDescent="0.2">
      <c r="A3726" s="5">
        <v>3665</v>
      </c>
      <c r="B3726" s="138">
        <f>'Tax Sched 23'!D13</f>
        <v>8971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9002</v>
      </c>
      <c r="C3728" s="2" t="s">
        <v>573</v>
      </c>
      <c r="D3728" s="2" t="str">
        <f t="shared" si="57"/>
        <v>Error?</v>
      </c>
    </row>
    <row r="3729" spans="1:4" x14ac:dyDescent="0.2">
      <c r="A3729" s="5">
        <v>3668</v>
      </c>
      <c r="B3729" s="138">
        <f>'Tax Sched 23'!E13</f>
        <v>9002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426477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1683975</v>
      </c>
      <c r="C4122" s="2" t="s">
        <v>573</v>
      </c>
      <c r="D4122" s="2" t="str">
        <f t="shared" si="63"/>
        <v>Error?</v>
      </c>
    </row>
    <row r="4123" spans="1:4" x14ac:dyDescent="0.2">
      <c r="A4123" s="5">
        <v>4062</v>
      </c>
      <c r="B4123" s="138">
        <f>'Acct Summary 7-8'!D10</f>
        <v>180697</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80754</v>
      </c>
      <c r="C4125" s="2" t="s">
        <v>573</v>
      </c>
      <c r="D4125" s="2" t="str">
        <f t="shared" si="63"/>
        <v>Error?</v>
      </c>
    </row>
    <row r="4126" spans="1:4" x14ac:dyDescent="0.2">
      <c r="A4126" s="5">
        <v>4065</v>
      </c>
      <c r="B4126" s="138">
        <f>'Acct Summary 7-8'!G10</f>
        <v>24637</v>
      </c>
      <c r="C4126" s="2" t="s">
        <v>573</v>
      </c>
      <c r="D4126" s="2" t="str">
        <f t="shared" si="63"/>
        <v>Error?</v>
      </c>
    </row>
    <row r="4127" spans="1:4" x14ac:dyDescent="0.2">
      <c r="A4127" s="5">
        <v>4066</v>
      </c>
      <c r="B4127" s="138">
        <f>'Acct Summary 7-8'!H10</f>
        <v>44492</v>
      </c>
      <c r="C4127" s="2" t="s">
        <v>573</v>
      </c>
      <c r="D4127" s="2" t="str">
        <f t="shared" si="63"/>
        <v>Error?</v>
      </c>
    </row>
    <row r="4128" spans="1:4" x14ac:dyDescent="0.2">
      <c r="A4128" s="5">
        <v>4067</v>
      </c>
      <c r="B4128" s="138">
        <f>'Acct Summary 7-8'!I10</f>
        <v>14951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14959</v>
      </c>
      <c r="C4130" s="2" t="s">
        <v>573</v>
      </c>
      <c r="D4130" s="2" t="str">
        <f t="shared" si="63"/>
        <v>Error?</v>
      </c>
    </row>
    <row r="4131" spans="1:4" x14ac:dyDescent="0.2">
      <c r="A4131" s="5">
        <v>4070</v>
      </c>
      <c r="B4131" s="138">
        <f>'Acct Summary 7-8'!C18</f>
        <v>426477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1476648</v>
      </c>
      <c r="C4136" s="2" t="s">
        <v>573</v>
      </c>
      <c r="D4136" s="2" t="str">
        <f t="shared" si="63"/>
        <v>Error?</v>
      </c>
    </row>
    <row r="4137" spans="1:4" x14ac:dyDescent="0.2">
      <c r="A4137" s="5">
        <v>4076</v>
      </c>
      <c r="B4137" s="138">
        <f>'Acct Summary 7-8'!D19</f>
        <v>163854</v>
      </c>
      <c r="C4137" s="2" t="s">
        <v>573</v>
      </c>
      <c r="D4137" s="2" t="str">
        <f t="shared" si="63"/>
        <v>Error?</v>
      </c>
    </row>
    <row r="4138" spans="1:4" x14ac:dyDescent="0.2">
      <c r="A4138" s="5">
        <v>4077</v>
      </c>
      <c r="B4138" s="138">
        <f>'Acct Summary 7-8'!E19</f>
        <v>31722</v>
      </c>
      <c r="C4138" s="2" t="s">
        <v>573</v>
      </c>
      <c r="D4138" s="2" t="str">
        <f t="shared" si="63"/>
        <v>Error?</v>
      </c>
    </row>
    <row r="4139" spans="1:4" x14ac:dyDescent="0.2">
      <c r="A4139" s="5">
        <v>4078</v>
      </c>
      <c r="B4139" s="138">
        <f>'Acct Summary 7-8'!F19</f>
        <v>84735</v>
      </c>
      <c r="C4139" s="2" t="s">
        <v>573</v>
      </c>
      <c r="D4139" s="2" t="str">
        <f t="shared" si="63"/>
        <v>Error?</v>
      </c>
    </row>
    <row r="4140" spans="1:4" x14ac:dyDescent="0.2">
      <c r="A4140" s="5">
        <v>4079</v>
      </c>
      <c r="B4140" s="138">
        <f>'Acct Summary 7-8'!G19</f>
        <v>36954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3017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274000</v>
      </c>
      <c r="C4171" s="2" t="s">
        <v>573</v>
      </c>
      <c r="D4171" s="2" t="str">
        <f t="shared" si="64"/>
        <v>Error?</v>
      </c>
    </row>
    <row r="4172" spans="1:4" x14ac:dyDescent="0.2">
      <c r="A4172" s="5">
        <v>4111</v>
      </c>
      <c r="B4172" s="138">
        <f>'Short-Term Long-Term Debt 24'!J49</f>
        <v>305666</v>
      </c>
      <c r="C4172" s="2" t="s">
        <v>573</v>
      </c>
      <c r="D4172" s="2" t="str">
        <f t="shared" si="64"/>
        <v>Error?</v>
      </c>
    </row>
    <row r="4173" spans="1:4" x14ac:dyDescent="0.2">
      <c r="A4173" s="5">
        <v>4112</v>
      </c>
      <c r="B4173" s="138">
        <f>'Short-Term Long-Term Debt 24'!H49</f>
        <v>18000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2565.25</v>
      </c>
      <c r="C4265" s="2" t="s">
        <v>573</v>
      </c>
      <c r="D4265" s="2" t="str">
        <f t="shared" si="65"/>
        <v>Error?</v>
      </c>
      <c r="E4265" s="128"/>
    </row>
    <row r="4266" spans="1:5" x14ac:dyDescent="0.2">
      <c r="A4266" s="12">
        <v>4205</v>
      </c>
      <c r="B4266" s="138">
        <f>('FP Info 3'!F10)*100000</f>
        <v>526.66</v>
      </c>
      <c r="C4266" s="2" t="s">
        <v>573</v>
      </c>
      <c r="D4266" s="2" t="str">
        <f t="shared" si="65"/>
        <v>Error?</v>
      </c>
      <c r="E4266" s="128"/>
    </row>
    <row r="4267" spans="1:5" x14ac:dyDescent="0.2">
      <c r="A4267" s="12">
        <v>4206</v>
      </c>
      <c r="B4267" s="138">
        <f>('FP Info 3'!H10)*100000</f>
        <v>109.47999999999999</v>
      </c>
      <c r="C4267" s="2" t="s">
        <v>573</v>
      </c>
      <c r="D4267" s="2" t="str">
        <f t="shared" si="65"/>
        <v>Error?</v>
      </c>
      <c r="E4267" s="128"/>
    </row>
    <row r="4268" spans="1:5" x14ac:dyDescent="0.2">
      <c r="A4268" s="12">
        <v>4207</v>
      </c>
      <c r="B4268" s="138">
        <f>('FP Info 3'!J10)*100000</f>
        <v>3200.9999999999995</v>
      </c>
      <c r="C4268" s="2" t="s">
        <v>573</v>
      </c>
      <c r="D4268" s="2" t="str">
        <f t="shared" si="65"/>
        <v>Error?</v>
      </c>
    </row>
    <row r="4269" spans="1:5" x14ac:dyDescent="0.2">
      <c r="A4269" s="12">
        <v>4208</v>
      </c>
      <c r="B4269" s="138">
        <f>'FP Info 3'!J16</f>
        <v>2271489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4270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4270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13894</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13894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5029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42.910000000000004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33797938</v>
      </c>
      <c r="D4995" s="2" t="str">
        <f t="shared" si="77"/>
        <v>Error?</v>
      </c>
    </row>
    <row r="4996" spans="1:4" x14ac:dyDescent="0.2">
      <c r="A4996" s="12">
        <v>4935</v>
      </c>
      <c r="B4996" s="138">
        <f>'FP Info 3'!H31</f>
        <v>2332057.7220000001</v>
      </c>
      <c r="D4996" s="2" t="str">
        <f t="shared" si="77"/>
        <v>Error?</v>
      </c>
    </row>
    <row r="4997" spans="1:4" x14ac:dyDescent="0.2">
      <c r="A4997" s="12">
        <v>4936</v>
      </c>
      <c r="B4997" s="138">
        <f>'FP Info 3'!H37</f>
        <v>274000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8971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871892</v>
      </c>
      <c r="D5061" s="2" t="str">
        <f t="shared" si="78"/>
        <v>Error?</v>
      </c>
    </row>
    <row r="5062" spans="1:4" x14ac:dyDescent="0.2">
      <c r="A5062" s="10">
        <v>5001</v>
      </c>
      <c r="D5062" s="2" t="str">
        <f t="shared" si="78"/>
        <v>OK</v>
      </c>
    </row>
    <row r="5063" spans="1:4" x14ac:dyDescent="0.2">
      <c r="A5063" s="5">
        <v>5002</v>
      </c>
      <c r="B5063" s="138">
        <f>'Revenues 9-14'!C7</f>
        <v>4784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885647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60842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60842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6448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6448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-1711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-1405</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1607</v>
      </c>
      <c r="C5102" s="2" t="s">
        <v>573</v>
      </c>
      <c r="D5102" s="2" t="str">
        <f t="shared" si="78"/>
        <v>Error?</v>
      </c>
    </row>
    <row r="5103" spans="1:4" x14ac:dyDescent="0.2">
      <c r="A5103" s="5">
        <v>5042</v>
      </c>
      <c r="B5103" s="138">
        <f>'Revenues 9-14'!C84</f>
        <v>2620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2620</v>
      </c>
      <c r="C5112" s="2" t="s">
        <v>573</v>
      </c>
      <c r="D5112" s="2" t="str">
        <f t="shared" si="78"/>
        <v>Error?</v>
      </c>
    </row>
    <row r="5113" spans="1:4" x14ac:dyDescent="0.2">
      <c r="A5113" s="5">
        <v>5052</v>
      </c>
      <c r="B5113" s="138">
        <f>'Revenues 9-14'!C95</f>
        <v>40</v>
      </c>
      <c r="D5113" s="2" t="str">
        <f t="shared" si="78"/>
        <v>Error?</v>
      </c>
    </row>
    <row r="5114" spans="1:4" x14ac:dyDescent="0.2">
      <c r="A5114" s="5">
        <v>5053</v>
      </c>
      <c r="B5114" s="138">
        <f>'Revenues 9-14'!C96</f>
        <v>2688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6355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302</v>
      </c>
      <c r="D5119" s="2" t="str">
        <f t="shared" ref="D5119:D5182" si="79">IF(ISBLANK(B5119),"OK",IF(A5119-B5119=0,"OK","Error?"))</f>
        <v>Error?</v>
      </c>
    </row>
    <row r="5120" spans="1:4" x14ac:dyDescent="0.2">
      <c r="A5120" s="5">
        <v>5059</v>
      </c>
      <c r="B5120" s="138">
        <f>'Revenues 9-14'!C108</f>
        <v>9637</v>
      </c>
      <c r="C5120" s="2" t="s">
        <v>573</v>
      </c>
      <c r="D5120" s="2" t="str">
        <f t="shared" si="79"/>
        <v>Error?</v>
      </c>
    </row>
    <row r="5121" spans="1:4" x14ac:dyDescent="0.2">
      <c r="A5121" s="5">
        <v>5060</v>
      </c>
      <c r="B5121" s="138">
        <f>'Revenues 9-14'!C109</f>
        <v>965396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159743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159743</v>
      </c>
      <c r="C5132" s="2" t="s">
        <v>573</v>
      </c>
      <c r="D5132" s="2" t="str">
        <f t="shared" si="79"/>
        <v>Error?</v>
      </c>
    </row>
    <row r="5133" spans="1:4" x14ac:dyDescent="0.2">
      <c r="A5133" s="5">
        <v>5072</v>
      </c>
      <c r="B5133" s="138">
        <f>'Revenues 9-14'!C125</f>
        <v>1033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24613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25646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954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26600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186343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31644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12612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44256</v>
      </c>
      <c r="C5246" s="2" t="s">
        <v>573</v>
      </c>
      <c r="D5246" s="2" t="str">
        <f t="shared" si="80"/>
        <v>Error?</v>
      </c>
    </row>
    <row r="5247" spans="1:4" x14ac:dyDescent="0.2">
      <c r="A5247" s="5">
        <v>5186</v>
      </c>
      <c r="B5247" s="138">
        <f>'Revenues 9-14'!C200</f>
        <v>26764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26764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1845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9701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11546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105759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105759</v>
      </c>
      <c r="C5326" s="2" t="s">
        <v>573</v>
      </c>
      <c r="D5326" s="2" t="str">
        <f t="shared" si="82"/>
        <v>Error?</v>
      </c>
    </row>
    <row r="5327" spans="1:5" x14ac:dyDescent="0.2">
      <c r="A5327" s="5">
        <v>5266</v>
      </c>
      <c r="B5327" s="138">
        <f>'Revenues 9-14'!C268</f>
        <v>1257498</v>
      </c>
      <c r="C5327" s="2" t="s">
        <v>573</v>
      </c>
      <c r="D5327" s="2" t="str">
        <f t="shared" si="82"/>
        <v>Error?</v>
      </c>
    </row>
    <row r="5328" spans="1:5" x14ac:dyDescent="0.2">
      <c r="A5328" s="5">
        <v>5267</v>
      </c>
      <c r="B5328" s="138">
        <f>'Revenues 9-14'!D5</f>
        <v>180354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180354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218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125</v>
      </c>
      <c r="C5355" s="2" t="s">
        <v>573</v>
      </c>
      <c r="D5355" s="2" t="str">
        <f t="shared" si="82"/>
        <v>Error?</v>
      </c>
    </row>
    <row r="5356" spans="1:4" x14ac:dyDescent="0.2">
      <c r="A5356" s="5">
        <v>5295</v>
      </c>
      <c r="B5356" s="138">
        <f>'Revenues 9-14'!D109</f>
        <v>180697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180697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38862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38862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38872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34177</v>
      </c>
      <c r="D5615" s="2" t="str">
        <f t="shared" si="86"/>
        <v>Error?</v>
      </c>
    </row>
    <row r="5616" spans="1:4" x14ac:dyDescent="0.2">
      <c r="A5616" s="10">
        <v>5555</v>
      </c>
      <c r="D5616" s="2" t="str">
        <f t="shared" si="86"/>
        <v>OK</v>
      </c>
    </row>
    <row r="5617" spans="1:5" x14ac:dyDescent="0.2">
      <c r="A5617" s="5">
        <v>5556</v>
      </c>
      <c r="B5617" s="138">
        <f>'Revenues 9-14'!F153</f>
        <v>7705</v>
      </c>
      <c r="D5617" s="2" t="str">
        <f t="shared" si="86"/>
        <v>Error?</v>
      </c>
    </row>
    <row r="5618" spans="1:5" x14ac:dyDescent="0.2">
      <c r="A5618" s="5">
        <v>5557</v>
      </c>
      <c r="B5618" s="138">
        <f>'Revenues 9-14'!F155</f>
        <v>41882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41882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41882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80754</v>
      </c>
      <c r="C5720" s="2" t="s">
        <v>573</v>
      </c>
      <c r="D5720" s="2" t="str">
        <f t="shared" si="88"/>
        <v>Error?</v>
      </c>
    </row>
    <row r="5721" spans="1:4" x14ac:dyDescent="0.2">
      <c r="A5721" s="5">
        <v>5660</v>
      </c>
      <c r="B5721" s="138">
        <f>'Revenues 9-14'!G5</f>
        <v>21921</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23715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890</v>
      </c>
      <c r="C5730" s="2" t="s">
        <v>573</v>
      </c>
      <c r="D5730" s="2" t="str">
        <f t="shared" si="88"/>
        <v>Error?</v>
      </c>
    </row>
    <row r="5731" spans="1:4" x14ac:dyDescent="0.2">
      <c r="A5731" s="5">
        <v>5670</v>
      </c>
      <c r="B5731" s="138">
        <f>'Revenues 9-14'!G65</f>
        <v>32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24637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44492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44492</v>
      </c>
      <c r="C5915" s="2" t="s">
        <v>573</v>
      </c>
      <c r="D5915" s="2" t="str">
        <f t="shared" si="91"/>
        <v>Error?</v>
      </c>
    </row>
    <row r="5916" spans="1:4" x14ac:dyDescent="0.2">
      <c r="A5916" s="5">
        <v>5855</v>
      </c>
      <c r="B5916" s="138">
        <f>'Revenues 9-14'!I5</f>
        <v>14949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14949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14951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14949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14949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14959</v>
      </c>
      <c r="C6023" s="2" t="s">
        <v>573</v>
      </c>
      <c r="D6023" s="2" t="str">
        <f t="shared" si="93"/>
        <v>Error?</v>
      </c>
    </row>
    <row r="6024" spans="1:5" x14ac:dyDescent="0.2">
      <c r="A6024" s="5">
        <v>5963</v>
      </c>
      <c r="B6024" s="138">
        <f>'Revenues 9-14'!G109</f>
        <v>24637</v>
      </c>
      <c r="C6024" s="2" t="s">
        <v>573</v>
      </c>
      <c r="D6024" s="2" t="str">
        <f t="shared" si="93"/>
        <v>Error?</v>
      </c>
    </row>
    <row r="6025" spans="1:5" x14ac:dyDescent="0.2">
      <c r="A6025" s="5">
        <v>5964</v>
      </c>
      <c r="B6025" s="138">
        <f>'Revenues 9-14'!H109</f>
        <v>44492</v>
      </c>
      <c r="C6025" s="2" t="s">
        <v>573</v>
      </c>
      <c r="D6025" s="2" t="str">
        <f t="shared" si="93"/>
        <v>Error?</v>
      </c>
    </row>
    <row r="6026" spans="1:5" x14ac:dyDescent="0.2">
      <c r="A6026" s="5">
        <v>5965</v>
      </c>
      <c r="B6026" s="138">
        <f>'Revenues 9-14'!I109</f>
        <v>14951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14959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5088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225000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78723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225000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31666</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9706</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78723</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78723</v>
      </c>
      <c r="D6216" s="2" t="str">
        <f t="shared" si="96"/>
        <v>Error?</v>
      </c>
      <c r="E6216" s="2" t="s">
        <v>190</v>
      </c>
    </row>
    <row r="6217" spans="1:5" x14ac:dyDescent="0.2">
      <c r="A6217">
        <v>6156</v>
      </c>
      <c r="B6217" s="138">
        <f>'Assets-Liab 5-6'!J4</f>
        <v>78723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27732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27732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27732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33609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33609</v>
      </c>
      <c r="D6229" s="2" t="str">
        <f t="shared" si="96"/>
        <v>Error?</v>
      </c>
      <c r="E6229" s="2" t="s">
        <v>190</v>
      </c>
    </row>
    <row r="6230" spans="1:5" x14ac:dyDescent="0.2">
      <c r="A6230">
        <v>6169</v>
      </c>
      <c r="B6230" s="138">
        <f>'Acct Summary 7-8'!J20</f>
        <v>-5877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-5877</v>
      </c>
      <c r="D6263" s="2" t="str">
        <f t="shared" si="96"/>
        <v>Error?</v>
      </c>
      <c r="E6263" s="2" t="s">
        <v>190</v>
      </c>
    </row>
    <row r="6264" spans="1:5" x14ac:dyDescent="0.2">
      <c r="A6264">
        <v>6203</v>
      </c>
      <c r="B6264" s="138">
        <f>'Acct Summary 7-8'!J79</f>
        <v>84600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78723</v>
      </c>
      <c r="D6266" s="2" t="str">
        <f t="shared" si="96"/>
        <v>Error?</v>
      </c>
      <c r="E6266" s="2" t="s">
        <v>190</v>
      </c>
    </row>
    <row r="6267" spans="1:5" x14ac:dyDescent="0.2">
      <c r="A6267">
        <v>6206</v>
      </c>
      <c r="B6267" s="138">
        <f>'Acct Summary 7-8'!C82</f>
        <v>222278</v>
      </c>
      <c r="D6267" s="2" t="str">
        <f t="shared" si="96"/>
        <v>Error?</v>
      </c>
      <c r="E6267" s="2" t="s">
        <v>190</v>
      </c>
    </row>
    <row r="6268" spans="1:5" x14ac:dyDescent="0.2">
      <c r="A6268">
        <v>6207</v>
      </c>
      <c r="B6268" s="138">
        <f>'Acct Summary 7-8'!D82</f>
        <v>494720</v>
      </c>
      <c r="D6268" s="2" t="str">
        <f t="shared" si="96"/>
        <v>Error?</v>
      </c>
      <c r="E6268" s="2" t="s">
        <v>190</v>
      </c>
    </row>
    <row r="6269" spans="1:5" x14ac:dyDescent="0.2">
      <c r="A6269">
        <v>6208</v>
      </c>
      <c r="B6269" s="138">
        <f>'Acct Summary 7-8'!E82</f>
        <v>-31722</v>
      </c>
      <c r="D6269" s="2" t="str">
        <f t="shared" si="96"/>
        <v>Error?</v>
      </c>
      <c r="E6269" s="2" t="s">
        <v>190</v>
      </c>
    </row>
    <row r="6270" spans="1:5" x14ac:dyDescent="0.2">
      <c r="A6270">
        <v>6209</v>
      </c>
      <c r="B6270" s="138">
        <f>'Acct Summary 7-8'!F82</f>
        <v>-3981</v>
      </c>
      <c r="D6270" s="2" t="str">
        <f t="shared" si="96"/>
        <v>Error?</v>
      </c>
      <c r="E6270" s="2" t="s">
        <v>190</v>
      </c>
    </row>
    <row r="6271" spans="1:5" x14ac:dyDescent="0.2">
      <c r="A6271">
        <v>6210</v>
      </c>
      <c r="B6271" s="138">
        <f>'Acct Summary 7-8'!G82</f>
        <v>-12317</v>
      </c>
      <c r="D6271" s="2" t="str">
        <f t="shared" ref="D6271:D6334" si="97">IF(ISBLANK(B6271),"OK",IF(A6271-B6271=0,"OK","Error?"))</f>
        <v>Error?</v>
      </c>
      <c r="E6271" s="2" t="s">
        <v>190</v>
      </c>
    </row>
    <row r="6272" spans="1:5" x14ac:dyDescent="0.2">
      <c r="A6272">
        <v>6211</v>
      </c>
      <c r="B6272" s="138">
        <f>'Acct Summary 7-8'!H82</f>
        <v>44492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-5877</v>
      </c>
      <c r="D6274" s="2" t="str">
        <f t="shared" si="97"/>
        <v>Error?</v>
      </c>
      <c r="E6274" s="2" t="s">
        <v>190</v>
      </c>
    </row>
    <row r="6275" spans="1:5" x14ac:dyDescent="0.2">
      <c r="A6275">
        <v>6214</v>
      </c>
      <c r="B6275" s="138">
        <f>'Acct Summary 7-8'!K82</f>
        <v>14689</v>
      </c>
      <c r="D6275" s="2" t="str">
        <f t="shared" si="97"/>
        <v>Error?</v>
      </c>
      <c r="E6275" s="2" t="s">
        <v>190</v>
      </c>
    </row>
    <row r="6276" spans="1:5" x14ac:dyDescent="0.2">
      <c r="A6276">
        <v>6215</v>
      </c>
      <c r="B6276" s="138">
        <f>'Acct Summary 7-8'!C83</f>
        <v>0.12755391307341818</v>
      </c>
      <c r="D6276" s="2" t="str">
        <f t="shared" si="97"/>
        <v>Error?</v>
      </c>
      <c r="E6276" s="2" t="s">
        <v>190</v>
      </c>
    </row>
    <row r="6277" spans="1:5" x14ac:dyDescent="0.2">
      <c r="A6277">
        <v>6216</v>
      </c>
      <c r="B6277" s="138">
        <f>'Acct Summary 7-8'!D83</f>
        <v>1</v>
      </c>
      <c r="D6277" s="2" t="str">
        <f t="shared" si="97"/>
        <v>Error?</v>
      </c>
      <c r="E6277" s="2" t="s">
        <v>190</v>
      </c>
    </row>
    <row r="6278" spans="1:5" x14ac:dyDescent="0.2">
      <c r="A6278">
        <v>6217</v>
      </c>
      <c r="B6278" s="138">
        <f>'Acct Summary 7-8'!E83</f>
        <v>1.0017684582833324</v>
      </c>
      <c r="D6278" s="2" t="str">
        <f t="shared" si="97"/>
        <v>Error?</v>
      </c>
      <c r="E6278" s="2" t="s">
        <v>190</v>
      </c>
    </row>
    <row r="6279" spans="1:5" x14ac:dyDescent="0.2">
      <c r="A6279">
        <v>6218</v>
      </c>
      <c r="B6279" s="138">
        <f>'Acct Summary 7-8'!F83</f>
        <v>-0.11657735219186506</v>
      </c>
      <c r="D6279" s="2" t="str">
        <f t="shared" si="97"/>
        <v>Error?</v>
      </c>
      <c r="E6279" s="2" t="s">
        <v>190</v>
      </c>
    </row>
    <row r="6280" spans="1:5" x14ac:dyDescent="0.2">
      <c r="A6280">
        <v>6219</v>
      </c>
      <c r="B6280" s="138">
        <f>'Acct Summary 7-8'!G83</f>
        <v>-5.898946360153257</v>
      </c>
      <c r="D6280" s="2" t="str">
        <f t="shared" si="97"/>
        <v>Error?</v>
      </c>
      <c r="E6280" s="2" t="s">
        <v>190</v>
      </c>
    </row>
    <row r="6281" spans="1:5" x14ac:dyDescent="0.2">
      <c r="A6281">
        <v>6220</v>
      </c>
      <c r="B6281" s="138">
        <f>'Acct Summary 7-8'!H83</f>
        <v>0.40745828525376854</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-7.4654167143020464E-2</v>
      </c>
      <c r="D6283" s="2" t="str">
        <f t="shared" si="97"/>
        <v>Error?</v>
      </c>
      <c r="E6283" s="2" t="s">
        <v>190</v>
      </c>
    </row>
    <row r="6284" spans="1:5" x14ac:dyDescent="0.2">
      <c r="A6284">
        <v>6223</v>
      </c>
      <c r="B6284" s="138">
        <f>'Acct Summary 7-8'!K83</f>
        <v>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25914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25914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1817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252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1817</v>
      </c>
      <c r="D6351" s="2" t="str">
        <f t="shared" si="98"/>
        <v>Error?</v>
      </c>
      <c r="E6351" s="2" t="s">
        <v>190</v>
      </c>
    </row>
    <row r="6352" spans="1:5" x14ac:dyDescent="0.2">
      <c r="A6352">
        <v>6291</v>
      </c>
      <c r="B6352" s="138">
        <f>'Revenues 9-14'!J109</f>
        <v>27732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12582</v>
      </c>
      <c r="D6983" s="2" t="str">
        <f t="shared" si="108"/>
        <v>Error?</v>
      </c>
    </row>
    <row r="6984" spans="1:4" x14ac:dyDescent="0.2">
      <c r="A6984">
        <v>6923</v>
      </c>
      <c r="B6984" s="138">
        <f>'Expenditures 15-22'!K86</f>
        <v>12582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12582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33609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27732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29</v>
      </c>
      <c r="D7093" s="2" t="str">
        <f t="shared" si="109"/>
        <v>Error?</v>
      </c>
    </row>
    <row r="7094" spans="1:4" x14ac:dyDescent="0.2">
      <c r="A7094">
        <v>7033</v>
      </c>
      <c r="B7094" s="138">
        <f>'Expenditures 15-22'!K254</f>
        <v>29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14934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14934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2000</v>
      </c>
      <c r="D7172" s="2" t="str">
        <f t="shared" si="111"/>
        <v>Error?</v>
      </c>
    </row>
    <row r="7173" spans="1:4" x14ac:dyDescent="0.2">
      <c r="A7173">
        <v>7112</v>
      </c>
      <c r="B7173" s="138">
        <f>'Expenditures 15-22'!D325</f>
        <v>258</v>
      </c>
      <c r="D7173" s="2" t="str">
        <f t="shared" si="111"/>
        <v>Error?</v>
      </c>
    </row>
    <row r="7174" spans="1:4" x14ac:dyDescent="0.2">
      <c r="A7174">
        <v>7113</v>
      </c>
      <c r="B7174" s="138">
        <f>'Expenditures 15-22'!E325</f>
        <v>699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2957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1679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1679</v>
      </c>
      <c r="D7198" s="2" t="str">
        <f t="shared" si="111"/>
        <v>Error?</v>
      </c>
    </row>
    <row r="7199" spans="1:4" x14ac:dyDescent="0.2">
      <c r="A7199">
        <v>7138</v>
      </c>
      <c r="B7199" s="138">
        <f>'Expenditures 15-22'!C330</f>
        <v>2000</v>
      </c>
      <c r="D7199" s="2" t="str">
        <f t="shared" si="111"/>
        <v>Error?</v>
      </c>
    </row>
    <row r="7200" spans="1:4" x14ac:dyDescent="0.2">
      <c r="A7200">
        <v>7139</v>
      </c>
      <c r="B7200" s="138">
        <f>'Expenditures 15-22'!D330</f>
        <v>258</v>
      </c>
      <c r="D7200" s="2" t="str">
        <f t="shared" si="111"/>
        <v>Error?</v>
      </c>
    </row>
    <row r="7201" spans="1:4" x14ac:dyDescent="0.2">
      <c r="A7201">
        <v>7140</v>
      </c>
      <c r="B7201" s="138">
        <f>'Expenditures 15-22'!E330</f>
        <v>31351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33609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2000</v>
      </c>
      <c r="D7216" s="2" t="str">
        <f t="shared" si="111"/>
        <v>Error?</v>
      </c>
    </row>
    <row r="7217" spans="1:4" x14ac:dyDescent="0.2">
      <c r="A7217">
        <v>7156</v>
      </c>
      <c r="B7217" s="138">
        <f>'Expenditures 15-22'!D342</f>
        <v>258</v>
      </c>
      <c r="D7217" s="2" t="str">
        <f t="shared" si="111"/>
        <v>Error?</v>
      </c>
    </row>
    <row r="7218" spans="1:4" x14ac:dyDescent="0.2">
      <c r="A7218">
        <v>7157</v>
      </c>
      <c r="B7218" s="138">
        <f>'Expenditures 15-22'!E342</f>
        <v>31351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33609</v>
      </c>
      <c r="D7224" s="2" t="str">
        <f t="shared" si="111"/>
        <v>Error?</v>
      </c>
    </row>
    <row r="7225" spans="1:4" x14ac:dyDescent="0.2">
      <c r="A7225">
        <v>7164</v>
      </c>
      <c r="B7225" s="138">
        <f>'Expenditures 15-22'!K343</f>
        <v>-5877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99939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14039</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14039</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4784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44492</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48767</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23767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I42" sqref="I42:O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1989</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New Holland-Middletown ED 88</v>
      </c>
      <c r="B7" s="2384"/>
      <c r="C7" s="2384"/>
      <c r="D7" s="2421"/>
      <c r="E7" s="2422">
        <f>COVER!A13</f>
        <v>17054088002</v>
      </c>
      <c r="F7" s="2423"/>
      <c r="G7" s="2390" t="str">
        <f>COVER!T23</f>
        <v>065-015457</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Pamela J. Simpson, CPA</v>
      </c>
      <c r="H9" s="2397"/>
      <c r="I9" s="2397"/>
      <c r="J9" s="2397"/>
      <c r="K9" s="2397"/>
      <c r="L9" s="2398"/>
    </row>
    <row r="10" spans="1:29" ht="13.5" customHeight="1" x14ac:dyDescent="0.2">
      <c r="A10" s="2380" t="str">
        <f>COVER!A38</f>
        <v>Marc Campbell</v>
      </c>
      <c r="B10" s="2381"/>
      <c r="C10" s="2381"/>
      <c r="D10" s="2381"/>
      <c r="E10" s="2381"/>
      <c r="F10" s="2382"/>
      <c r="G10" s="2396" t="str">
        <f>COVER!T17</f>
        <v>920 West Pershing Road</v>
      </c>
      <c r="H10" s="2409"/>
      <c r="I10" s="2409"/>
      <c r="J10" s="2409"/>
      <c r="K10" s="2409"/>
      <c r="L10" s="2410"/>
    </row>
    <row r="11" spans="1:29" ht="13.5" customHeight="1" x14ac:dyDescent="0.2">
      <c r="A11" s="1184" t="s">
        <v>1519</v>
      </c>
      <c r="B11" s="1185"/>
      <c r="C11" s="1186"/>
      <c r="D11" s="1191"/>
      <c r="E11" s="1186"/>
      <c r="F11" s="1190"/>
      <c r="G11" s="2396" t="str">
        <f>COVER!T19</f>
        <v>Decatur</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pjscpa31a@aol.com</v>
      </c>
      <c r="J13" s="2418"/>
      <c r="K13" s="2418"/>
      <c r="L13" s="2419"/>
    </row>
    <row r="14" spans="1:29" ht="13.5" customHeight="1" x14ac:dyDescent="0.2">
      <c r="A14" s="2396" t="str">
        <f>COVER!A19</f>
        <v>75 1250th Street</v>
      </c>
      <c r="B14" s="2409"/>
      <c r="C14" s="2409"/>
      <c r="D14" s="2409"/>
      <c r="E14" s="2409"/>
      <c r="F14" s="2410"/>
      <c r="G14" s="1195" t="s">
        <v>1185</v>
      </c>
      <c r="H14" s="1193"/>
      <c r="I14" s="1193"/>
      <c r="J14" s="1193"/>
      <c r="K14" s="1193"/>
      <c r="L14" s="1194"/>
    </row>
    <row r="15" spans="1:29" ht="13.5" customHeight="1" x14ac:dyDescent="0.2">
      <c r="A15" s="2396" t="str">
        <f>COVER!A21</f>
        <v>Middletown</v>
      </c>
      <c r="B15" s="2409"/>
      <c r="C15" s="2409"/>
      <c r="D15" s="2409"/>
      <c r="E15" s="2409"/>
      <c r="F15" s="2410"/>
      <c r="G15" s="2406" t="str">
        <f>COVER!T15</f>
        <v>Pamela J. Simpson</v>
      </c>
      <c r="H15" s="2407"/>
      <c r="I15" s="2407"/>
      <c r="J15" s="2407"/>
      <c r="K15" s="2407"/>
      <c r="L15" s="2408"/>
    </row>
    <row r="16" spans="1:29" ht="12.2" customHeight="1" x14ac:dyDescent="0.2">
      <c r="A16" s="2386" t="str">
        <f>COVER!A25</f>
        <v>62666-9701</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f>COVER!T21</f>
        <v>2178721908</v>
      </c>
      <c r="H18" s="2384"/>
      <c r="I18" s="2384"/>
      <c r="J18" s="2384"/>
      <c r="K18" s="2383">
        <f>COVER!X21</f>
        <v>2178721911</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I42" sqref="I42:O4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New Holland-Middletown ED 88</v>
      </c>
      <c r="B1" s="2420"/>
      <c r="C1" s="2420"/>
      <c r="D1" s="2420"/>
    </row>
    <row r="2" spans="1:11" s="1212" customFormat="1" ht="12.75" x14ac:dyDescent="0.2">
      <c r="A2" s="2425">
        <f>'Single Audit Cover'!E7</f>
        <v>17054088002</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I42" sqref="I42:O4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New Holland-Middletown ED 88</v>
      </c>
      <c r="B1" s="2428"/>
      <c r="C1" s="2428"/>
      <c r="D1" s="2428"/>
      <c r="E1" s="2428"/>
    </row>
    <row r="2" spans="1:5" x14ac:dyDescent="0.2">
      <c r="A2" s="2429">
        <f>'Single Audit Cover'!E7</f>
        <v>17054088002</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105759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5088</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110847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110847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110847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42" sqref="I42:O4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New Holland-Middletown ED 88</v>
      </c>
      <c r="C1" s="2432"/>
      <c r="D1" s="2432"/>
      <c r="E1" s="2432"/>
      <c r="F1" s="2432"/>
      <c r="G1" s="2432"/>
      <c r="H1" s="2432"/>
      <c r="I1" s="2432"/>
      <c r="J1" s="2432"/>
      <c r="K1" s="2432"/>
      <c r="L1" s="2432"/>
      <c r="M1" s="2432"/>
    </row>
    <row r="2" spans="2:14" ht="15" x14ac:dyDescent="0.2">
      <c r="B2" s="2433">
        <f>'Single Audit Cover'!E7</f>
        <v>17054088002</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I42" sqref="I42:O4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New Holland-Middletown ED 88</v>
      </c>
      <c r="B1" s="2437"/>
      <c r="C1" s="2437"/>
      <c r="D1" s="2437"/>
      <c r="E1" s="2437"/>
      <c r="F1" s="2437"/>
    </row>
    <row r="2" spans="1:7" ht="13.5" customHeight="1" x14ac:dyDescent="0.2">
      <c r="A2" s="2433">
        <f>'Single Audit Cover'!E7</f>
        <v>17054088002</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I42" sqref="I42:O4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New Holland-Middletown ED 88</v>
      </c>
      <c r="C1" s="2453"/>
      <c r="D1" s="2453"/>
      <c r="E1" s="2453"/>
      <c r="F1" s="2453"/>
      <c r="G1" s="2453"/>
      <c r="H1" s="2453"/>
      <c r="I1" s="2453"/>
      <c r="J1" s="1406"/>
    </row>
    <row r="2" spans="2:10" s="317" customFormat="1" ht="12.75" customHeight="1" x14ac:dyDescent="0.2">
      <c r="B2" s="2454">
        <f>'Single Audit Cover'!E7</f>
        <v>17054088002</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1841</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New Holland-Middletown ED 88</v>
      </c>
      <c r="C1" s="2452"/>
      <c r="D1" s="2452"/>
      <c r="E1" s="2452"/>
      <c r="F1" s="2452"/>
      <c r="G1" s="2452"/>
      <c r="H1" s="2452"/>
      <c r="I1" s="2452"/>
      <c r="J1" s="2452"/>
      <c r="K1" s="2452"/>
      <c r="L1" s="1371"/>
      <c r="M1" s="1371"/>
    </row>
    <row r="2" spans="1:13" ht="12" customHeight="1" x14ac:dyDescent="0.2">
      <c r="B2" s="2454">
        <f>'Single Audit Cover'!E7</f>
        <v>17054088002</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New Holland-Middletown ED 88</v>
      </c>
      <c r="C1" s="2479"/>
      <c r="D1" s="2479"/>
      <c r="E1" s="2479"/>
      <c r="F1" s="2479"/>
      <c r="G1" s="2479"/>
      <c r="H1" s="2479"/>
      <c r="I1" s="2479"/>
      <c r="J1" s="2479"/>
      <c r="K1" s="2479"/>
      <c r="L1" s="1449"/>
    </row>
    <row r="2" spans="1:12" ht="12.75" customHeight="1" x14ac:dyDescent="0.2">
      <c r="B2" s="2480">
        <f>'Single Audit Cover'!E7</f>
        <v>17054088002</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New Holland-Middletown ED 88</v>
      </c>
      <c r="C1" s="2452"/>
      <c r="D1" s="2452"/>
      <c r="E1" s="1469"/>
    </row>
    <row r="2" spans="2:5" s="1279" customFormat="1" ht="12.75" customHeight="1" x14ac:dyDescent="0.2">
      <c r="B2" s="2454">
        <f>'Single Audit Cover'!E7</f>
        <v>17054088002</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4d435f69-8686-490b-bd6d-b153bf22ab50"/>
    <ds:schemaRef ds:uri="d21dc803-237d-4c68-8692-8d731fd29118"/>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2019-10-29T21:32:43Z</cp:lastPrinted>
  <dcterms:created xsi:type="dcterms:W3CDTF">2003-10-29T19:06:34Z</dcterms:created>
  <dcterms:modified xsi:type="dcterms:W3CDTF">2019-12-03T20:24:36Z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