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0E31CA2C-79BD-4818-9CC7-8AE8CAE32B72}" xr6:coauthVersionLast="36" xr6:coauthVersionMax="36" xr10:uidLastSave="{00000000-0000-0000-0000-000000000000}"/>
  <bookViews>
    <workbookView xWindow="19080" yWindow="-120" windowWidth="19440" windowHeight="1560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Finding 2019-001"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16">'Shared Outsourced Services 31'!$A$1:$F$43</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30">#REF!</definedName>
    <definedName name="SCHADDRS" localSheetId="28">#REF!</definedName>
    <definedName name="SCHADDRS" localSheetId="26">#REF!</definedName>
    <definedName name="SCHADDRS" localSheetId="29">#REF!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30">#REF!</definedName>
    <definedName name="SCHCTY" localSheetId="28">#REF!</definedName>
    <definedName name="SCHCTY" localSheetId="26">#REF!</definedName>
    <definedName name="SCHCTY" localSheetId="29">#REF!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30">#REF!</definedName>
    <definedName name="SCHNMBR" localSheetId="28">#REF!</definedName>
    <definedName name="SCHNMBR" localSheetId="26">#REF!</definedName>
    <definedName name="SCHNMBR" localSheetId="29">#REF!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30">#REF!</definedName>
    <definedName name="SCHNME" localSheetId="28">#REF!</definedName>
    <definedName name="SCHNME" localSheetId="26">#REF!</definedName>
    <definedName name="SCHNME" localSheetId="29">#REF!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30">#REF!</definedName>
    <definedName name="SUPT" localSheetId="28">#REF!</definedName>
    <definedName name="SUPT" localSheetId="26">#REF!</definedName>
    <definedName name="SUPT" localSheetId="29">#REF!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3" i="127" l="1"/>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B7805" i="106"/>
  <c r="D7805" i="106" s="1"/>
  <c r="B7804" i="106"/>
  <c r="D7804" i="106" s="1"/>
  <c r="B7803" i="106"/>
  <c r="D7803" i="106" s="1"/>
  <c r="B7802" i="106"/>
  <c r="B7801" i="106"/>
  <c r="D7801" i="106" s="1"/>
  <c r="D7806" i="106"/>
  <c r="D7802"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F19" i="181" s="1"/>
  <c r="G44" i="181" l="1"/>
  <c r="G43" i="181"/>
  <c r="G34" i="181"/>
  <c r="G30" i="181"/>
  <c r="G28" i="181"/>
  <c r="G26" i="181"/>
  <c r="G20" i="181"/>
  <c r="G19" i="181"/>
  <c r="D142" i="181"/>
  <c r="D80" i="36" l="1"/>
  <c r="B7797" i="106"/>
  <c r="E142" i="181"/>
  <c r="E18" i="181"/>
  <c r="F18" i="181" s="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B5286" i="106" s="1"/>
  <c r="D5286" i="106" s="1"/>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F13" i="4" s="1"/>
  <c r="B2596" i="106" s="1"/>
  <c r="D2596" i="106" s="1"/>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B3723" i="106" s="1"/>
  <c r="D3723" i="106"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8" i="106"/>
  <c r="D6288"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I210" i="29"/>
  <c r="B7071" i="106" s="1"/>
  <c r="D7071" i="106" s="1"/>
  <c r="J210" i="29"/>
  <c r="B7072" i="106" s="1"/>
  <c r="D7072" i="106" s="1"/>
  <c r="B7073" i="106"/>
  <c r="D7073"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71" i="36"/>
  <c r="D72" i="36"/>
  <c r="D79" i="36"/>
  <c r="B64" i="127"/>
  <c r="B65" i="127"/>
  <c r="E27" i="108"/>
  <c r="G27" i="108"/>
  <c r="F31" i="108"/>
  <c r="F36" i="108"/>
  <c r="G28" i="108"/>
  <c r="G29" i="108"/>
  <c r="D31" i="108"/>
  <c r="E31" i="108"/>
  <c r="G31" i="108"/>
  <c r="E33" i="108"/>
  <c r="E35" i="108"/>
  <c r="G35" i="108"/>
  <c r="E36" i="108"/>
  <c r="G36" i="108"/>
  <c r="E37" i="108"/>
  <c r="G37" i="108"/>
  <c r="E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F36" i="34"/>
  <c r="C37" i="34"/>
  <c r="D37" i="34"/>
  <c r="F37" i="34"/>
  <c r="C38" i="34"/>
  <c r="D38" i="34"/>
  <c r="C39" i="34"/>
  <c r="D39" i="34"/>
  <c r="C40" i="34"/>
  <c r="D40" i="34"/>
  <c r="C41" i="34"/>
  <c r="D41" i="34"/>
  <c r="C42" i="34"/>
  <c r="D42" i="34"/>
  <c r="C43" i="34"/>
  <c r="D43" i="34"/>
  <c r="C44" i="34"/>
  <c r="D44" i="34"/>
  <c r="C45" i="34"/>
  <c r="D45" i="34"/>
  <c r="C46" i="34"/>
  <c r="D46" i="34"/>
  <c r="F46" i="34"/>
  <c r="C47" i="34"/>
  <c r="D47" i="34"/>
  <c r="C48" i="34"/>
  <c r="D48" i="34"/>
  <c r="C49" i="34"/>
  <c r="D49" i="34"/>
  <c r="C50" i="34"/>
  <c r="D50" i="34"/>
  <c r="C51" i="34"/>
  <c r="D51" i="34"/>
  <c r="C52" i="34"/>
  <c r="C53" i="34"/>
  <c r="D53" i="34"/>
  <c r="C56" i="34"/>
  <c r="F56" i="34"/>
  <c r="C57" i="34"/>
  <c r="D57" i="34"/>
  <c r="C61" i="34"/>
  <c r="C62" i="34"/>
  <c r="C63" i="34"/>
  <c r="D63" i="34"/>
  <c r="C64" i="34"/>
  <c r="F64" i="34"/>
  <c r="C67" i="34"/>
  <c r="D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7"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H28" i="118"/>
  <c r="D22" i="37"/>
  <c r="J22" i="37"/>
  <c r="L22" i="37"/>
  <c r="L5" i="11"/>
  <c r="B2056" i="106" s="1"/>
  <c r="D2056" i="106" s="1"/>
  <c r="B5752" i="106"/>
  <c r="D5752" i="106" s="1"/>
  <c r="D24" i="37" l="1"/>
  <c r="B4270" i="106" s="1"/>
  <c r="D4270" i="106" s="1"/>
  <c r="H33" i="118"/>
  <c r="F52" i="34"/>
  <c r="F50" i="34"/>
  <c r="F42" i="34"/>
  <c r="G39" i="108"/>
  <c r="E34" i="108"/>
  <c r="D36" i="108"/>
  <c r="G30" i="108"/>
  <c r="D69" i="36"/>
  <c r="D54" i="36"/>
  <c r="J352" i="29"/>
  <c r="J367" i="29" s="1"/>
  <c r="B7245" i="106" s="1"/>
  <c r="D7245" i="106" s="1"/>
  <c r="B7047" i="106"/>
  <c r="D7047" i="106" s="1"/>
  <c r="B6289" i="106"/>
  <c r="D6289" i="106" s="1"/>
  <c r="D6103" i="106"/>
  <c r="K76" i="4"/>
  <c r="B3586" i="106" s="1"/>
  <c r="D3586" i="106" s="1"/>
  <c r="B2724" i="106"/>
  <c r="D2724" i="106" s="1"/>
  <c r="L13" i="11"/>
  <c r="B2060" i="106" s="1"/>
  <c r="D2060" i="106" s="1"/>
  <c r="F19" i="7"/>
  <c r="B1807" i="106" s="1"/>
  <c r="D1807" i="106" s="1"/>
  <c r="C352" i="29"/>
  <c r="B3621" i="106" s="1"/>
  <c r="D3621" i="106" s="1"/>
  <c r="F67" i="34"/>
  <c r="G210" i="29"/>
  <c r="E29" i="108"/>
  <c r="F28" i="108"/>
  <c r="G15" i="145"/>
  <c r="G26" i="108"/>
  <c r="B1274" i="106"/>
  <c r="D1274" i="106" s="1"/>
  <c r="E26" i="108"/>
  <c r="D27" i="108"/>
  <c r="F38" i="34"/>
  <c r="F34" i="34"/>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D41" i="108" s="1"/>
  <c r="E43" i="108" s="1"/>
  <c r="E30" i="108"/>
  <c r="F37" i="108"/>
  <c r="E28" i="108"/>
  <c r="F26" i="108"/>
  <c r="D26" i="108"/>
  <c r="D31" i="36"/>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C367" i="29"/>
  <c r="B3622" i="106" s="1"/>
  <c r="D3622" i="106" s="1"/>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B5770" i="106"/>
  <c r="D5770" i="106" s="1"/>
  <c r="D109" i="5"/>
  <c r="I267" i="5"/>
  <c r="I7" i="4" s="1"/>
  <c r="B4444" i="106" s="1"/>
  <c r="D4444"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B5778" i="106" l="1"/>
  <c r="D5778" i="106" s="1"/>
  <c r="G6" i="4"/>
  <c r="B2604" i="106" s="1"/>
  <c r="D2604" i="106" s="1"/>
  <c r="D7254" i="106"/>
  <c r="D7250" i="106"/>
  <c r="D44" i="36"/>
  <c r="B7235" i="106"/>
  <c r="D7235" i="106" s="1"/>
  <c r="L16" i="11"/>
  <c r="B2061" i="106" s="1"/>
  <c r="D2061" i="106" s="1"/>
  <c r="N23" i="3"/>
  <c r="B284" i="106" s="1"/>
  <c r="D284" i="106" s="1"/>
  <c r="L114" i="29"/>
  <c r="K342" i="29"/>
  <c r="F13" i="34" s="1"/>
  <c r="F41" i="108"/>
  <c r="G43" i="108" s="1"/>
  <c r="B1365" i="106"/>
  <c r="D1365" i="106" s="1"/>
  <c r="F65" i="34"/>
  <c r="C114" i="29"/>
  <c r="B757" i="106" s="1"/>
  <c r="D757" i="106" s="1"/>
  <c r="B5527" i="106"/>
  <c r="D5527"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B7224" i="106" l="1"/>
  <c r="D7224" i="106" s="1"/>
  <c r="F24" i="37"/>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2567" i="106"/>
  <c r="D2567" i="106" s="1"/>
  <c r="J20" i="4" l="1"/>
  <c r="B6230" i="106" s="1"/>
  <c r="D6230"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J78" i="4" l="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D81" i="4"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3239" i="106" l="1"/>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<sst xmlns="http://schemas.openxmlformats.org/spreadsheetml/2006/main" count="5092" uniqueCount="2119">
  <si>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</si>
  <si>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</si>
  <si>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</si>
  <si>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</si>
  <si>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</si>
  <si>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</si>
  <si>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</si>
  <si>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</si>
  <si>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</si>
  <si>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</si>
  <si>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</si>
  <si>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</si>
  <si>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</si>
  <si>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</si>
  <si>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</si>
  <si>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</si>
  <si>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</si>
  <si>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</si>
  <si>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</si>
  <si>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</si>
  <si>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</si>
  <si>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</si>
  <si>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</si>
  <si>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</si>
  <si>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</si>
  <si>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</si>
  <si>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</si>
  <si>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</si>
  <si>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</si>
  <si>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</si>
  <si>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</si>
  <si>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</si>
  <si>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</si>
  <si>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</si>
  <si>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</si>
  <si>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</si>
  <si>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</si>
  <si>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</si>
  <si>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</si>
  <si>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</si>
  <si>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</si>
  <si>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</si>
  <si>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</si>
  <si>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</si>
  <si>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</si>
  <si>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</si>
  <si>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</si>
  <si>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</si>
  <si>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</si>
  <si>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</si>
  <si>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</si>
  <si>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</si>
  <si>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</si>
  <si>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</si>
  <si>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</si>
  <si>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</si>
  <si>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</si>
  <si>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</si>
  <si>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</si>
  <si>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</si>
  <si>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</si>
  <si>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</si>
  <si>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</si>
  <si>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</si>
  <si>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</si>
  <si>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</si>
  <si>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</si>
  <si>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</si>
  <si>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</si>
  <si>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</si>
  <si>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</si>
  <si>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</si>
  <si>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</si>
  <si>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</si>
  <si>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</si>
  <si>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</si>
  <si>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</si>
  <si>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</si>
  <si>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</si>
  <si>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</si>
  <si>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</si>
  <si>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</si>
  <si>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</si>
  <si>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</si>
  <si>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</si>
  <si>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</si>
  <si>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</si>
  <si>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</si>
  <si>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</si>
  <si>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</si>
  <si>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</si>
  <si>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</si>
  <si>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</si>
  <si>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</si>
  <si>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</si>
  <si>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</si>
  <si>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</si>
  <si>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</si>
  <si>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</si>
  <si>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</si>
  <si>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</si>
  <si>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</si>
  <si>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</si>
  <si>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</si>
  <si>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</si>
  <si>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</si>
  <si>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</si>
  <si>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</si>
  <si>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</si>
  <si>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</si>
  <si>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</si>
  <si>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</si>
  <si>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</si>
  <si>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</si>
  <si>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</si>
  <si>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</si>
  <si>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</si>
  <si>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</si>
  <si>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</si>
  <si>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</si>
  <si>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</si>
  <si>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</si>
  <si>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</si>
  <si>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</si>
  <si>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</si>
  <si>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</si>
  <si>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</si>
  <si>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</si>
  <si>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</si>
  <si>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</si>
  <si>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</si>
  <si>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</si>
  <si>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</si>
  <si>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</si>
  <si>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</si>
  <si>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</si>
  <si>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</si>
  <si>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</si>
  <si>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</si>
  <si>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</si>
  <si>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</si>
  <si>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</si>
  <si>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</si>
  <si>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</si>
  <si>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</si>
  <si>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</si>
  <si>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</si>
  <si>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</si>
  <si>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</si>
  <si>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</si>
  <si>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</si>
  <si>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</si>
  <si>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</si>
  <si>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</si>
  <si>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</si>
  <si>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</si>
  <si>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</si>
  <si>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</si>
  <si>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</si>
  <si>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</si>
  <si>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</si>
  <si>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</si>
  <si>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</si>
  <si>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</si>
  <si>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</si>
  <si>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</si>
  <si>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</si>
  <si>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</si>
  <si>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</si>
  <si>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</si>
  <si>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</si>
  <si>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</si>
  <si>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</si>
  <si>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</si>
  <si>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</si>
  <si>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</si>
  <si>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</si>
  <si>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</si>
  <si>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</si>
  <si>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</si>
  <si>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</si>
  <si>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</si>
  <si>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</si>
  <si>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</si>
  <si>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</si>
  <si>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</si>
  <si>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</si>
  <si>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</si>
  <si>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</si>
  <si>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</si>
  <si>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</si>
  <si>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</si>
  <si>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</si>
  <si>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</si>
  <si>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</si>
  <si>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</si>
  <si>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</si>
  <si>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</si>
  <si>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</si>
  <si>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</si>
  <si>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</si>
  <si>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</si>
  <si>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</si>
  <si>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</si>
  <si>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</si>
  <si>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</si>
  <si>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</si>
  <si>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</si>
  <si>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</si>
  <si>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</si>
  <si>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</si>
  <si>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</si>
  <si>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</si>
  <si>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</si>
  <si>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</si>
  <si>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</si>
  <si>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</si>
  <si>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</si>
  <si>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</si>
  <si>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</si>
  <si>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</si>
  <si>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</si>
  <si>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</si>
  <si>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</si>
  <si>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</si>
  <si>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</si>
  <si>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</si>
  <si>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</si>
  <si>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</si>
  <si>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</si>
  <si>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</si>
  <si>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</si>
  <si>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</si>
  <si>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</si>
  <si>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</si>
  <si>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</si>
  <si>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</si>
  <si>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</si>
  <si>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</si>
  <si>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</si>
  <si>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</si>
  <si>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</si>
  <si>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</si>
  <si>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</si>
  <si>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</si>
  <si>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</si>
  <si>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</si>
  <si>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</si>
  <si>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</si>
  <si>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</si>
  <si>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</si>
  <si>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</si>
  <si>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</si>
  <si>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</si>
  <si>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</si>
  <si>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</si>
  <si>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</si>
  <si>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</si>
  <si>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</si>
  <si>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</si>
  <si>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</si>
  <si>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</si>
  <si>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</si>
  <si>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</si>
  <si>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</si>
  <si>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</si>
  <si>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</si>
  <si>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</si>
  <si>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</si>
  <si>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</si>
  <si>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</si>
  <si>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</si>
  <si>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</si>
  <si>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</si>
  <si>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</si>
  <si>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</si>
  <si>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</si>
  <si>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</si>
  <si>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</si>
  <si>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</si>
  <si>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</si>
  <si>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</si>
  <si>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</si>
  <si>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</si>
  <si>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</si>
  <si>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</si>
  <si>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</si>
  <si>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</si>
  <si>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</si>
  <si>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</si>
  <si>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</si>
  <si>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</si>
  <si>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</si>
  <si>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</si>
  <si>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</si>
  <si>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</si>
  <si>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</si>
  <si>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</si>
  <si>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</si>
  <si>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</si>
  <si>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</si>
  <si>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</si>
  <si>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</si>
  <si>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</si>
  <si>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</si>
  <si>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</si>
  <si>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</si>
  <si>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</si>
  <si>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</si>
  <si>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</si>
  <si>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</si>
  <si>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</si>
  <si>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</si>
  <si>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</si>
  <si>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</si>
  <si>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</si>
  <si>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</si>
  <si>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</si>
  <si>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</si>
  <si>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</si>
  <si>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</si>
  <si>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</si>
  <si>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</si>
  <si>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</si>
  <si>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</si>
  <si>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</si>
  <si>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</si>
  <si>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</si>
  <si>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</si>
  <si>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</si>
  <si>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</si>
  <si>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</si>
  <si>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</si>
  <si>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</si>
  <si>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</si>
  <si>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</si>
  <si>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</si>
  <si>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</si>
  <si>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</si>
  <si>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</si>
  <si>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</si>
  <si>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</si>
  <si>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</si>
  <si>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</si>
  <si>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</si>
  <si>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</si>
  <si>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</si>
  <si>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</si>
  <si>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</si>
  <si>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</si>
  <si>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</si>
  <si>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</si>
  <si>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</si>
  <si>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</si>
  <si>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</si>
  <si>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</si>
  <si>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</si>
  <si>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</si>
  <si>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</si>
  <si>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</si>
  <si>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</si>
  <si>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</si>
  <si>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</si>
  <si>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</si>
  <si>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</si>
  <si>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</si>
  <si>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</si>
  <si>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</si>
  <si>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</si>
  <si>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</si>
  <si>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</si>
  <si>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</si>
  <si>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</si>
  <si>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</si>
  <si>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</si>
  <si>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</si>
  <si>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</si>
  <si>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</si>
  <si>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</si>
  <si>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</si>
  <si>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</si>
  <si>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</si>
  <si>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</si>
  <si>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</si>
  <si>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</si>
  <si>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</si>
  <si>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</si>
  <si>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</si>
  <si>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</si>
  <si>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</si>
  <si>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</si>
  <si>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</si>
  <si>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</si>
  <si>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</si>
  <si>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</si>
  <si>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</si>
  <si>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</si>
  <si>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</si>
  <si>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</si>
  <si>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</si>
  <si>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</si>
  <si>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</si>
  <si>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</si>
  <si>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</si>
  <si>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</si>
  <si>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</si>
  <si>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</si>
  <si>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</si>
  <si>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</si>
  <si>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</si>
  <si>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</si>
  <si>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</si>
  <si>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</si>
  <si>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</si>
  <si>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</si>
  <si>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</si>
  <si>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</si>
  <si>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</si>
  <si>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</si>
  <si>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</si>
  <si>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</si>
  <si>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</si>
  <si>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</si>
  <si>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</si>
  <si>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</si>
  <si>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</si>
  <si>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</si>
  <si>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</si>
  <si>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</si>
  <si>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</si>
  <si>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</si>
  <si>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</si>
  <si>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</si>
  <si>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</si>
  <si>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</si>
  <si>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</si>
  <si>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</si>
  <si>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</si>
  <si>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</si>
  <si>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</si>
  <si>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</si>
  <si>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</si>
  <si>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</si>
  <si>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</si>
  <si>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</si>
  <si>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</si>
  <si>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</si>
  <si>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</si>
  <si>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</si>
  <si>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</si>
  <si>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</si>
  <si>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</si>
  <si>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</si>
  <si>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</si>
  <si>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</si>
  <si>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</si>
  <si>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</si>
  <si>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</si>
  <si>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</si>
  <si>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</si>
  <si>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</si>
  <si>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</si>
  <si>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</si>
  <si>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</si>
  <si>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</si>
  <si>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</si>
  <si>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</si>
  <si>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</si>
  <si>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</si>
  <si>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</si>
  <si>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</si>
  <si>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</si>
  <si>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</si>
  <si>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</si>
  <si>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</si>
  <si>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</si>
  <si>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</si>
  <si>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</si>
  <si>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</si>
  <si>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</si>
  <si>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</si>
  <si>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</si>
  <si>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</si>
  <si>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</si>
  <si>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</si>
  <si>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</si>
  <si>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</si>
  <si>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</si>
  <si>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</si>
  <si>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</si>
  <si>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</si>
  <si>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</si>
  <si>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</si>
  <si>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</si>
  <si>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</si>
  <si>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</si>
  <si>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</si>
  <si>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</si>
  <si>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</si>
  <si>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</si>
  <si>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</si>
  <si>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</si>
  <si>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</si>
  <si>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</si>
  <si>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</si>
  <si>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</si>
  <si>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</si>
  <si>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</si>
  <si>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</si>
  <si>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</si>
  <si>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</si>
  <si>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</si>
  <si>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</si>
  <si>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</si>
  <si>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</si>
  <si>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</si>
  <si>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</si>
  <si>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</si>
  <si>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</si>
  <si>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</si>
  <si>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</si>
  <si>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</si>
  <si>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</si>
  <si>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</si>
  <si>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</si>
  <si>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</si>
  <si>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</si>
  <si>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</si>
  <si>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</si>
  <si>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</si>
  <si>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</si>
  <si>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</si>
  <si>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</si>
  <si>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</si>
  <si>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</si>
  <si>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</si>
  <si>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</si>
  <si>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</si>
  <si>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</si>
  <si>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</si>
  <si>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</si>
  <si>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</si>
  <si>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</si>
  <si>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</si>
  <si>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</si>
  <si>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</si>
  <si>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</si>
  <si>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</si>
  <si>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</si>
  <si>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</si>
  <si>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</si>
  <si>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</si>
  <si>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</si>
  <si>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</si>
  <si>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</si>
  <si>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</si>
  <si>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</si>
  <si>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</si>
  <si>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</si>
  <si>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</si>
  <si>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</si>
  <si>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</si>
  <si>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</si>
  <si>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</si>
  <si>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</si>
  <si>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</si>
  <si>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</si>
  <si>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</si>
  <si>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</si>
  <si>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</si>
  <si>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</si>
  <si>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</si>
  <si>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</si>
  <si>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</si>
  <si>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</si>
  <si>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</si>
  <si>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</si>
  <si>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</si>
  <si>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</si>
  <si>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</si>
  <si>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</si>
  <si>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</si>
  <si>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</si>
  <si>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</si>
  <si>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</si>
  <si>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</si>
  <si>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</si>
  <si>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</si>
  <si>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</si>
  <si>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</si>
  <si>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</si>
  <si>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</si>
  <si>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</si>
  <si>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</si>
  <si>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</si>
  <si>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</si>
  <si>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</si>
  <si>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</si>
  <si>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</si>
  <si>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</si>
  <si>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</si>
  <si>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</si>
  <si>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</si>
  <si>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</si>
  <si>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</si>
  <si>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</si>
  <si>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</si>
  <si>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</si>
  <si>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</si>
  <si>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</si>
  <si>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</si>
  <si>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</si>
  <si>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</si>
  <si>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</si>
  <si>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</si>
  <si>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</si>
  <si>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</si>
  <si>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</si>
  <si>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</si>
  <si>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</si>
  <si>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</si>
  <si>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</si>
  <si>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</si>
  <si>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</si>
  <si>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</si>
  <si>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</si>
  <si>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</si>
  <si>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</si>
  <si>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</si>
  <si>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</si>
  <si>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</si>
  <si>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</si>
  <si>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</si>
  <si>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</si>
  <si>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</si>
  <si>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</si>
  <si>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</si>
  <si>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</si>
  <si>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</si>
  <si>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</si>
  <si>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</si>
  <si>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</si>
  <si>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</si>
  <si>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</si>
  <si>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</si>
  <si>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</si>
  <si>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</si>
  <si>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</si>
  <si>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</si>
  <si>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</si>
  <si>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</si>
  <si>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</si>
  <si>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</si>
  <si>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</si>
  <si>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</si>
  <si>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</si>
  <si>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</si>
  <si>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</si>
  <si>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</si>
  <si>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</si>
  <si>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</si>
  <si>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</si>
  <si>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</si>
  <si>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</si>
  <si>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</si>
  <si>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</si>
  <si>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</si>
  <si>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</si>
  <si>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</si>
  <si>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</si>
  <si>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</si>
  <si>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</si>
  <si>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</si>
  <si>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</si>
  <si>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</si>
  <si>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</si>
  <si>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</si>
  <si>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</si>
  <si>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</si>
  <si>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</si>
  <si>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</si>
  <si>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</si>
  <si>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</si>
  <si>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</si>
  <si>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</si>
  <si>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</si>
  <si>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</si>
  <si>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</si>
  <si>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</si>
  <si>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</si>
  <si>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</si>
  <si>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</si>
  <si>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</si>
  <si>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</si>
  <si>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</si>
  <si>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</si>
  <si>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</si>
  <si>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</si>
  <si>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</si>
  <si>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</si>
  <si>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</si>
  <si>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</si>
  <si>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</si>
  <si>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</si>
  <si>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</si>
  <si>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</si>
  <si>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</si>
  <si>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</si>
  <si>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</si>
  <si>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</si>
  <si>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</si>
  <si>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</si>
  <si>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</si>
  <si>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</si>
  <si>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</si>
  <si>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</si>
  <si>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</si>
  <si>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</si>
  <si>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</si>
  <si>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</si>
  <si>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</si>
  <si>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</si>
  <si>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</si>
  <si>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</si>
  <si>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</si>
  <si>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</si>
  <si>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</si>
  <si>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</si>
  <si>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</si>
  <si>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</si>
  <si>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</si>
  <si>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</si>
  <si>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</si>
  <si>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</si>
  <si>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</si>
  <si>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</si>
  <si>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</si>
  <si>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</si>
  <si>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</si>
  <si>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</si>
  <si>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</si>
  <si>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</si>
  <si>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</si>
  <si>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</si>
  <si>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</si>
  <si>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</si>
  <si>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</si>
  <si>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</si>
  <si>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</si>
  <si>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</si>
  <si>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</si>
  <si>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</si>
  <si>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</si>
  <si>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</si>
  <si>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</si>
  <si>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</si>
  <si>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</si>
  <si>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</si>
  <si>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</si>
  <si>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</si>
  <si>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</si>
  <si>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</si>
  <si>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</si>
  <si>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</si>
  <si>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</si>
  <si>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</si>
  <si>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</si>
  <si>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</si>
  <si>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</si>
  <si>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</si>
  <si>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</si>
  <si>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</si>
  <si>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</si>
  <si>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</si>
  <si>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</si>
  <si>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</si>
  <si>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</si>
  <si>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</si>
  <si>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</si>
  <si>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</si>
  <si>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</si>
  <si>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</si>
  <si>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</si>
  <si>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</si>
  <si>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</si>
  <si>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</si>
  <si>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</si>
  <si>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</si>
  <si>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</si>
  <si>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</si>
  <si>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</si>
  <si>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</si>
  <si>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</si>
  <si>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</si>
  <si>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</si>
  <si>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</si>
  <si>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</si>
  <si>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</si>
  <si>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</si>
  <si>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</si>
  <si>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</si>
  <si>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</si>
  <si>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</si>
  <si>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</si>
  <si>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</si>
  <si>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</si>
  <si>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</si>
  <si>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</si>
  <si>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</si>
  <si>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</si>
  <si>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</si>
  <si>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</si>
  <si>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</si>
  <si>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</si>
  <si>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</si>
  <si>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</si>
  <si>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</si>
  <si>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</si>
  <si>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</si>
  <si>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</si>
  <si>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</si>
  <si>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</si>
  <si>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</si>
  <si>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</si>
  <si>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</si>
  <si>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</si>
  <si>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</si>
  <si>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</si>
  <si>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</si>
  <si>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</si>
  <si>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</si>
  <si>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</si>
  <si>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</si>
  <si>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</si>
  <si>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</si>
  <si>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</si>
  <si>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</si>
  <si>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</si>
  <si>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</si>
  <si>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</si>
  <si>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</si>
  <si>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</si>
  <si>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</si>
  <si>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</si>
  <si>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</si>
  <si>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</si>
  <si>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</si>
  <si>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</si>
  <si>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</si>
  <si>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</si>
  <si>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</si>
  <si>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</si>
  <si>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</si>
  <si>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</si>
  <si>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</si>
  <si>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</si>
  <si>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</si>
  <si>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</si>
  <si>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</si>
  <si>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</si>
  <si>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</si>
  <si>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</si>
  <si>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</si>
  <si>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</si>
  <si>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</si>
  <si>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</si>
  <si>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</si>
  <si>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</si>
  <si>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</si>
  <si>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</si>
  <si>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</si>
  <si>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</si>
  <si>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</si>
  <si>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</si>
  <si>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</si>
  <si>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</si>
  <si>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</si>
  <si>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</si>
  <si>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</si>
  <si>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</si>
  <si>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</si>
  <si>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</si>
  <si>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</si>
  <si>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</si>
  <si>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</si>
  <si>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</si>
  <si>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</si>
  <si>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</si>
  <si>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</si>
  <si>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</si>
  <si>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</si>
  <si>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</si>
  <si>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</si>
  <si>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</si>
  <si>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</si>
  <si>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</si>
  <si>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</si>
  <si>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</si>
  <si>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</si>
  <si>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</si>
  <si>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</si>
  <si>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</si>
  <si>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</si>
  <si>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</si>
  <si>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</si>
  <si>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</si>
  <si>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</si>
  <si>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</si>
  <si>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</si>
  <si>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</si>
  <si>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</si>
  <si>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</si>
  <si>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</si>
  <si>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</si>
  <si>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</si>
  <si>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</si>
  <si>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</si>
  <si>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</si>
  <si>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</si>
  <si>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</si>
  <si>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</si>
  <si>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</si>
  <si>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</si>
  <si>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</si>
  <si>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</si>
  <si>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</si>
  <si>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</si>
  <si>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</si>
  <si>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</si>
  <si>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</si>
  <si>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</si>
  <si>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</si>
  <si>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</si>
  <si>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</si>
  <si>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</si>
  <si>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</si>
  <si>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</si>
  <si>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</si>
  <si>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</si>
  <si>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</si>
  <si>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</si>
  <si>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</si>
  <si>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</si>
  <si>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</si>
  <si>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</si>
  <si>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</si>
  <si>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</si>
  <si>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</si>
  <si>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</si>
  <si>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</si>
  <si>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</si>
  <si>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</si>
  <si>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</si>
  <si>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</si>
  <si>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</si>
  <si>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</si>
  <si>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</si>
  <si>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</si>
  <si>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</si>
  <si>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</si>
  <si>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</si>
  <si>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</si>
  <si>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</si>
  <si>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</si>
  <si>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</si>
  <si>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</si>
  <si>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</si>
  <si>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</si>
  <si>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</si>
  <si>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</si>
  <si>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</si>
  <si>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</si>
  <si>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</si>
  <si>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</si>
  <si>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</si>
  <si>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</si>
  <si>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</si>
  <si>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</si>
  <si>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</si>
  <si>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</si>
  <si>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</si>
  <si>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</si>
  <si>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</si>
  <si>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</si>
  <si>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</si>
  <si>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</si>
  <si>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</si>
  <si>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</si>
  <si>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</si>
  <si>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</si>
  <si>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</si>
  <si>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</si>
  <si>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</si>
  <si>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</si>
  <si>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</si>
  <si>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</si>
  <si>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</si>
  <si>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</si>
  <si>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</si>
  <si>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</si>
  <si>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</si>
  <si>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</si>
  <si>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</si>
  <si>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</si>
  <si>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</si>
  <si>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</si>
  <si>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</si>
  <si>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</si>
  <si>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</si>
  <si>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</si>
  <si>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</si>
  <si>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</si>
  <si>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</si>
  <si>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</si>
  <si>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</si>
  <si>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</si>
  <si>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</si>
  <si>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</si>
  <si>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</si>
  <si>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</si>
  <si>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</si>
  <si>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</si>
  <si>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</si>
  <si>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</si>
  <si>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</si>
  <si>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</si>
  <si>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</si>
  <si>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</si>
  <si>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</si>
  <si>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</si>
  <si>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</si>
  <si>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</si>
  <si>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</si>
  <si>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</si>
  <si>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</si>
  <si>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</si>
  <si>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</si>
  <si>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</si>
  <si>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</si>
  <si>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</si>
  <si>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</si>
  <si>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</si>
  <si>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</si>
  <si>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</si>
  <si>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</si>
  <si>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</si>
  <si>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</si>
  <si>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</si>
  <si>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</si>
  <si>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</si>
  <si>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</si>
  <si>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</si>
  <si>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</si>
  <si>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</si>
  <si>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</si>
  <si>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</si>
  <si>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</si>
  <si>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</si>
  <si>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</si>
  <si>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</si>
  <si>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</si>
  <si>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</si>
  <si>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</si>
  <si>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</si>
  <si>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</si>
  <si>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</si>
  <si>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</si>
  <si>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</si>
  <si>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</si>
  <si>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</si>
  <si>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</si>
  <si>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</si>
  <si>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</si>
  <si>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</si>
  <si>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</si>
  <si>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</si>
  <si>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</si>
  <si>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</si>
  <si>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</si>
  <si>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</si>
  <si>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</si>
  <si>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</si>
  <si>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</si>
  <si>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</si>
  <si>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</si>
  <si>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</si>
  <si>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</si>
  <si>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</si>
  <si>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</si>
  <si>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</si>
  <si>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</si>
  <si>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</si>
  <si>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</si>
  <si>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</si>
  <si>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</si>
  <si>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</si>
  <si>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</si>
  <si>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</si>
  <si>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</si>
  <si>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</si>
  <si>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</si>
  <si>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</si>
  <si>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</si>
  <si>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</si>
  <si>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</si>
  <si>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</si>
  <si>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</si>
  <si>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</si>
  <si>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</si>
  <si>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</si>
  <si>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</si>
  <si>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</si>
  <si>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</si>
  <si>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</si>
  <si>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</si>
  <si>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</si>
  <si>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</si>
  <si>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</si>
  <si>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</si>
  <si>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</si>
  <si>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</si>
  <si>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</si>
  <si>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</si>
  <si>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</si>
  <si>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</si>
  <si>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</si>
  <si>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</si>
  <si>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</si>
  <si>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</si>
  <si>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</si>
  <si>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</si>
  <si>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</si>
  <si>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</si>
  <si>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</si>
  <si>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</si>
  <si>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</si>
  <si>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</si>
  <si>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</si>
  <si>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</si>
  <si>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</si>
  <si>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</si>
  <si>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</si>
  <si>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</si>
  <si>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</si>
  <si>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</si>
  <si>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</si>
  <si>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</si>
  <si>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</si>
  <si>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</si>
  <si>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</si>
  <si>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</si>
  <si>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</si>
  <si>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</si>
  <si>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</si>
  <si>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</si>
  <si>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</si>
  <si>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</si>
  <si>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</si>
  <si>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</si>
  <si>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</si>
  <si>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</si>
  <si>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</si>
  <si>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</si>
  <si>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</si>
  <si>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</si>
  <si>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</si>
  <si>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</si>
  <si>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</si>
  <si>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</si>
  <si>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</si>
  <si>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</si>
  <si>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</si>
  <si>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</si>
  <si>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</si>
  <si>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</si>
  <si>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</si>
  <si>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</si>
  <si>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</si>
  <si>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</si>
  <si>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</si>
  <si>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</si>
  <si>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</si>
  <si>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</si>
  <si>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</si>
  <si>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</si>
  <si>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</si>
  <si>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</si>
  <si>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</si>
  <si>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</si>
  <si>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</si>
  <si>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</si>
  <si>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</si>
  <si>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</si>
  <si>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</si>
  <si>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</si>
  <si>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</si>
  <si>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</si>
  <si>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</si>
  <si>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</si>
  <si>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</si>
  <si>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</si>
  <si>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</si>
  <si>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</si>
  <si>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</si>
  <si>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</si>
  <si>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</si>
  <si>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</si>
  <si>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</si>
  <si>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</si>
  <si>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</si>
  <si>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</si>
  <si>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</si>
  <si>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</si>
  <si>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</si>
  <si>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</si>
  <si>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</si>
  <si>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</si>
  <si>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</si>
  <si>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</si>
  <si>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</si>
  <si>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</si>
  <si>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</si>
  <si>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</si>
  <si>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</si>
  <si>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</si>
  <si>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</si>
  <si>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</si>
  <si>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</si>
  <si>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</si>
  <si>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</si>
  <si>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</si>
  <si>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</si>
  <si>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</si>
  <si>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</si>
  <si>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</si>
  <si>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</si>
  <si>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</si>
  <si>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</si>
  <si>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</si>
  <si>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</si>
  <si>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</si>
  <si>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</si>
  <si>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</si>
  <si>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</si>
  <si>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</si>
  <si>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</si>
  <si>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</si>
  <si>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</si>
  <si>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</si>
  <si>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</si>
  <si>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</si>
  <si>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</si>
  <si>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</si>
  <si>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</si>
  <si>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</si>
  <si>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</si>
  <si>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</si>
  <si>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</si>
  <si>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</si>
  <si>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</si>
  <si>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</si>
  <si>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</si>
  <si>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</si>
  <si>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</si>
  <si>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</si>
  <si>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</si>
  <si>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</si>
  <si>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</si>
  <si>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</si>
  <si>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</si>
  <si>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</si>
  <si>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</si>
  <si>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</si>
  <si>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</si>
  <si>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</si>
  <si>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</si>
  <si>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</si>
  <si>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</si>
  <si>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</si>
  <si>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</si>
  <si>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</si>
  <si>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</si>
  <si>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</si>
  <si>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</si>
  <si>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</si>
  <si>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</si>
  <si>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</si>
  <si>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</si>
  <si>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</si>
  <si>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</si>
  <si>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</si>
  <si>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</si>
  <si>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</si>
  <si>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</si>
  <si>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</si>
  <si>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</si>
  <si>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</si>
  <si>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</si>
  <si>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</si>
  <si>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</si>
  <si>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</si>
  <si>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</si>
  <si>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</si>
  <si>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</si>
  <si>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</si>
  <si>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</si>
  <si>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</si>
  <si>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</si>
  <si>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</si>
  <si>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</si>
  <si>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</si>
  <si>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</si>
  <si>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</si>
  <si>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</si>
  <si>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</si>
  <si>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</si>
  <si>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</si>
  <si>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</si>
  <si>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</si>
  <si>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</si>
  <si>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</si>
  <si>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</si>
  <si>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</si>
  <si>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</si>
  <si>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</si>
  <si>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</si>
  <si>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</si>
  <si>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</si>
  <si>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</si>
  <si>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</si>
  <si>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</si>
  <si>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</si>
  <si>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</si>
  <si>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</si>
  <si>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</si>
  <si>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</si>
  <si>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</si>
  <si>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</si>
  <si>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</si>
  <si>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</si>
  <si>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</si>
  <si>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</si>
  <si>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</si>
  <si>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</si>
  <si>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</si>
  <si>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</si>
  <si>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</si>
  <si>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</si>
  <si>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</si>
  <si>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</si>
  <si>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</si>
  <si>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</si>
  <si>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</si>
  <si>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</si>
  <si>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</si>
  <si>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</si>
  <si>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</si>
  <si>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</si>
  <si>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</si>
  <si>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</si>
  <si>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</si>
  <si>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</si>
  <si>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</si>
  <si>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</si>
  <si>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</si>
  <si>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</si>
  <si>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</si>
  <si>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</si>
  <si>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</si>
  <si>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</si>
  <si>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</si>
  <si>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</si>
  <si>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</si>
  <si>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</si>
  <si>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</si>
  <si>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</si>
  <si>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</si>
  <si>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</si>
  <si>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</si>
  <si>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</si>
  <si>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</si>
  <si>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</si>
  <si>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</si>
  <si>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</si>
  <si>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</si>
  <si>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</si>
  <si>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</si>
  <si>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</si>
  <si>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</si>
  <si>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</si>
  <si>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</si>
  <si>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</si>
  <si>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</si>
  <si>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</si>
  <si>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</si>
  <si>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</si>
  <si>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</si>
  <si>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</si>
  <si>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</si>
  <si>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</si>
  <si>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</si>
  <si>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</si>
  <si>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</si>
  <si>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</si>
  <si>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</si>
  <si>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</si>
  <si>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</si>
  <si>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</si>
  <si>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</si>
  <si>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</si>
  <si>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</si>
  <si>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</si>
  <si>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</si>
  <si>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</si>
  <si>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</si>
  <si>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</si>
  <si>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</si>
  <si>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</si>
  <si>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</si>
  <si>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</si>
  <si>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</si>
  <si>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</si>
  <si>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</si>
  <si>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</si>
  <si>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</si>
  <si>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</si>
  <si>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</si>
  <si>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</si>
  <si>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</si>
  <si>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</si>
  <si>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</si>
  <si>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</si>
  <si>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</si>
  <si>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</si>
  <si>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</si>
  <si>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</si>
  <si>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</si>
  <si>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</si>
  <si>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</si>
  <si>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</si>
  <si>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</si>
  <si>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</si>
  <si>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</si>
  <si>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</si>
  <si>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</si>
  <si>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</si>
  <si>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</si>
  <si>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</si>
  <si>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</si>
  <si>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</si>
  <si>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</si>
  <si>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</si>
  <si>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</si>
  <si>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</si>
  <si>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</si>
  <si>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</si>
  <si>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</si>
  <si>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</si>
  <si>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</si>
  <si>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</si>
  <si>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</si>
  <si>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</si>
  <si>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</si>
  <si>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</si>
  <si>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</si>
  <si>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</si>
  <si>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</si>
  <si>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</si>
  <si>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</si>
  <si>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</si>
  <si>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</si>
  <si>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</si>
  <si>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</si>
  <si>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</si>
  <si>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</si>
  <si>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</si>
  <si>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</si>
  <si>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</si>
  <si>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</si>
  <si>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</si>
  <si>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</si>
  <si>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</si>
  <si>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</si>
  <si>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</si>
  <si>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</si>
  <si>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</si>
  <si>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</si>
  <si>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</si>
  <si>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</si>
  <si>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</si>
  <si>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</si>
  <si>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</si>
  <si>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</si>
  <si>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</si>
  <si>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</si>
  <si>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</si>
  <si>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</si>
  <si>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</si>
  <si>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</si>
  <si>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</si>
  <si>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</si>
  <si>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</si>
  <si>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</si>
  <si>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</si>
  <si>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</si>
  <si>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</si>
  <si>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</si>
  <si>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</si>
  <si>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</si>
  <si>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</si>
  <si>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</si>
  <si>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</si>
  <si>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</si>
  <si>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</si>
  <si>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</si>
  <si>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</si>
  <si>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</si>
  <si>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</si>
  <si>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</si>
  <si>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</si>
  <si>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</si>
  <si>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</si>
  <si>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</si>
  <si>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</si>
  <si>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</si>
  <si>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</si>
  <si>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</si>
  <si>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</si>
  <si>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</si>
  <si>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</si>
  <si>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</si>
  <si>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</si>
  <si>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</si>
  <si>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</si>
  <si>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</si>
  <si>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</si>
  <si>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</si>
  <si>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</si>
  <si>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</si>
  <si>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</si>
  <si>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</si>
  <si>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</si>
  <si>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</si>
  <si>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</si>
  <si>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</si>
  <si>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</si>
  <si>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</si>
  <si>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</si>
  <si>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</si>
  <si>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</si>
  <si>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</si>
  <si>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</si>
  <si>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</si>
  <si>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</si>
  <si>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</si>
  <si>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</si>
  <si>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</si>
  <si>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</si>
  <si>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</si>
  <si>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</si>
  <si>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</si>
  <si>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</si>
  <si>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</si>
  <si>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</si>
  <si>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</si>
  <si>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</si>
  <si>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</si>
  <si>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</si>
  <si>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</si>
  <si>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</si>
  <si>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</si>
  <si>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</si>
  <si>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</si>
  <si>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</si>
  <si>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</si>
  <si>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</si>
  <si>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</si>
  <si>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</si>
  <si>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</si>
  <si>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</si>
  <si>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</si>
  <si>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</si>
  <si>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</si>
  <si>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</si>
  <si>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</si>
  <si>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</si>
  <si>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</si>
  <si>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</si>
  <si>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</si>
  <si>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</si>
  <si>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</si>
  <si>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</si>
  <si>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</si>
  <si>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</si>
  <si>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</si>
  <si>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</si>
  <si>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</si>
  <si>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</si>
  <si>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</si>
  <si>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</si>
  <si>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</si>
  <si>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</si>
  <si>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</si>
  <si>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</si>
  <si>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</si>
  <si>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</si>
  <si>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</si>
  <si>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</si>
  <si>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</si>
  <si>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</si>
  <si>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</si>
  <si>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</si>
  <si>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</si>
  <si>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</si>
  <si>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</si>
  <si>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</si>
  <si>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</si>
  <si>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</si>
  <si>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</si>
  <si>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</si>
  <si>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</si>
  <si>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</si>
  <si>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</si>
  <si>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</si>
  <si>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</si>
  <si>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</si>
  <si>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</si>
  <si>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</si>
  <si>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</si>
  <si>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</si>
  <si>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</si>
  <si>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</si>
  <si>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</si>
  <si>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</si>
  <si>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</si>
  <si>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</si>
  <si>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</si>
  <si>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</si>
  <si>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</si>
  <si>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</si>
  <si>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</si>
  <si>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</si>
  <si>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</si>
  <si>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</si>
  <si>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</si>
  <si>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</si>
  <si>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</si>
  <si>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</si>
  <si>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</si>
  <si>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</si>
  <si>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</si>
  <si>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</si>
  <si>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</si>
  <si>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</si>
  <si>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</si>
  <si>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</si>
  <si>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</si>
  <si>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</si>
  <si>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</si>
  <si>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</si>
  <si>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</si>
  <si>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</si>
  <si>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</si>
  <si>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</si>
  <si>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</si>
  <si>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</si>
  <si>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</si>
  <si>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</si>
  <si>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</si>
  <si>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</si>
  <si>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</si>
  <si>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</si>
  <si>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</si>
  <si>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</si>
  <si>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</si>
  <si>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</si>
  <si>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</si>
  <si>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</si>
  <si>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</si>
  <si>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</si>
  <si>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</si>
  <si>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</si>
  <si>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</si>
  <si>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</si>
  <si>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</si>
  <si>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</si>
  <si>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</si>
  <si>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</si>
  <si>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</si>
  <si>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</si>
  <si>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</si>
  <si>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</si>
  <si>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</si>
  <si>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</si>
  <si>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</si>
  <si>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</si>
  <si>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</si>
  <si>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</si>
  <si>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</si>
  <si>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</si>
  <si>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</si>
  <si>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</si>
  <si>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</si>
  <si>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</si>
  <si>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</si>
  <si>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</si>
  <si>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</si>
  <si>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</si>
  <si>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</si>
  <si>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</si>
  <si>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</si>
  <si>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</si>
  <si>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</si>
  <si>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</si>
  <si>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</si>
  <si>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</si>
  <si>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</si>
  <si>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</si>
  <si>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</si>
  <si>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</si>
  <si>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</si>
  <si>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</si>
  <si>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</si>
  <si>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</si>
  <si>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</si>
  <si>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</si>
  <si>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</si>
  <si>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</si>
  <si>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</si>
  <si>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</si>
  <si>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</si>
  <si>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</si>
  <si>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</si>
  <si>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</si>
  <si>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</si>
  <si>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</si>
  <si>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</si>
  <si>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</si>
  <si>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</si>
  <si>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</si>
  <si>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</si>
  <si>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</si>
  <si>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</si>
  <si>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</si>
  <si>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</si>
  <si>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</si>
  <si>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</si>
  <si>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</si>
  <si>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</si>
  <si>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</si>
  <si>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</si>
  <si>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</si>
  <si>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</si>
  <si>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</si>
  <si>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</si>
  <si>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</si>
  <si>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</si>
  <si>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</si>
  <si>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</si>
  <si>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</si>
  <si>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</si>
  <si>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</si>
  <si>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</si>
  <si>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</si>
  <si>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</si>
  <si>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</si>
  <si>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</si>
  <si>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</si>
  <si>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</si>
  <si>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</si>
  <si>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</si>
  <si>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</si>
  <si>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</si>
  <si>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</si>
  <si>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</si>
  <si>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</si>
  <si>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</si>
  <si>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</si>
  <si>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</si>
  <si>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</si>
  <si>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</si>
  <si>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</si>
  <si>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</si>
  <si>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</si>
  <si>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</si>
  <si>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</si>
  <si>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</si>
  <si>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</si>
  <si>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</si>
  <si>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</si>
  <si>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</si>
  <si>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</si>
  <si>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</si>
  <si>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</si>
  <si>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</si>
  <si>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</si>
  <si>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</si>
  <si>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</si>
  <si>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</si>
  <si>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</si>
  <si>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</si>
  <si>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</si>
  <si>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</si>
  <si>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</si>
  <si>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</si>
  <si>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</si>
  <si>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</si>
  <si>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</si>
  <si>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</si>
  <si>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</si>
  <si>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</si>
  <si>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</si>
  <si>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</si>
  <si>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</si>
  <si>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</si>
  <si>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</si>
  <si>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</si>
  <si>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</si>
  <si>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</si>
  <si>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</si>
  <si>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</si>
  <si>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</si>
  <si>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</si>
  <si>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</si>
  <si>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</si>
  <si>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</si>
  <si>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</si>
  <si>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</si>
  <si>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</si>
  <si>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</si>
  <si>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</si>
  <si>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</si>
  <si>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</si>
  <si>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</si>
  <si>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</si>
  <si>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</si>
  <si>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</si>
  <si>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</si>
  <si>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</si>
  <si>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</si>
  <si>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</si>
  <si>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</si>
  <si>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</si>
  <si>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</si>
  <si>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</si>
  <si>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</si>
  <si>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</si>
  <si>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</si>
  <si>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</si>
  <si>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</si>
  <si>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</si>
  <si>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</si>
  <si>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</si>
  <si>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</si>
  <si>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</si>
  <si>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</si>
  <si>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</si>
  <si>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</si>
  <si>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</si>
  <si>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</si>
  <si>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</si>
  <si>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</si>
  <si>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</si>
  <si>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</si>
  <si>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</si>
  <si>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</si>
  <si>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</si>
  <si>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</si>
  <si>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</si>
  <si>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</si>
  <si>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</si>
  <si>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</si>
  <si>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</si>
  <si>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</si>
  <si>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</si>
  <si>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</si>
  <si>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</si>
  <si>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</si>
  <si>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</si>
  <si>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</si>
  <si>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</si>
  <si>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</si>
  <si>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</si>
  <si>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</si>
  <si>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</si>
  <si>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</si>
  <si>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</si>
  <si>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</si>
  <si>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</si>
  <si>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</si>
  <si>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</si>
  <si>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</si>
  <si>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</si>
  <si>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</si>
  <si>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</si>
  <si>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</si>
  <si>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</si>
  <si>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</si>
  <si>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</si>
  <si>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</si>
  <si>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</si>
  <si>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</si>
  <si>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</si>
  <si>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</si>
  <si>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</si>
  <si>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</si>
  <si>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</si>
  <si>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</si>
  <si>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</si>
  <si>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</si>
  <si>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</si>
  <si>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</si>
  <si>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</si>
  <si>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</si>
  <si>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</si>
  <si>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</si>
  <si>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</si>
  <si>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</si>
  <si>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</si>
  <si>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</si>
  <si>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</si>
  <si>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</si>
  <si>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</si>
  <si>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</si>
  <si>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</si>
  <si>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</si>
  <si>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</si>
  <si>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</si>
  <si>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</si>
  <si>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</si>
  <si>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</si>
  <si>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</si>
  <si>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</si>
  <si>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</si>
  <si>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</si>
  <si>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</si>
  <si>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</si>
  <si>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</si>
  <si>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</si>
  <si>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</si>
  <si>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</si>
  <si>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</si>
  <si>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</si>
  <si>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</si>
  <si>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</si>
  <si>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</si>
  <si>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</si>
  <si>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</si>
  <si>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</si>
  <si>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</si>
  <si>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</si>
  <si>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</si>
  <si>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</si>
  <si>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</si>
  <si>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</si>
  <si>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</si>
  <si>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</si>
  <si>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</si>
  <si>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</si>
  <si>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</si>
  <si>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</si>
  <si>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</si>
  <si>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</si>
  <si>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</si>
  <si>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</si>
  <si>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</si>
  <si>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</si>
  <si>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</si>
  <si>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</si>
  <si>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</si>
  <si>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</si>
  <si>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</si>
  <si>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</si>
  <si>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</si>
  <si>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</si>
  <si>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</si>
  <si>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</si>
  <si>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</si>
  <si>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</si>
  <si>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</si>
  <si>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</si>
  <si>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</si>
  <si>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</si>
  <si>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</si>
  <si>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</si>
  <si>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</si>
  <si>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</si>
  <si>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</si>
  <si>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</si>
  <si>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</si>
  <si>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</si>
  <si>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</si>
  <si>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</si>
  <si>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</si>
  <si>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</si>
  <si>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</si>
  <si>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</si>
  <si>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</si>
  <si>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</si>
  <si>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</si>
  <si>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</si>
  <si>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</si>
  <si>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</si>
  <si>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</si>
  <si>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</si>
  <si>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</si>
  <si>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</si>
  <si>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</si>
  <si>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</si>
  <si>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</si>
  <si>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</si>
  <si>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</si>
  <si>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</si>
  <si>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</si>
  <si>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</si>
  <si>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</si>
  <si>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</si>
  <si>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</si>
  <si>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</si>
  <si>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</si>
  <si>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</si>
  <si>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</si>
  <si>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</si>
  <si>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</si>
  <si>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</si>
  <si>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</si>
  <si>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</si>
  <si>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</si>
  <si>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</si>
  <si>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</si>
  <si>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</si>
  <si>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</si>
  <si>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</si>
  <si>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</si>
  <si>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</si>
  <si>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</si>
  <si>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</si>
  <si>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</si>
  <si>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</si>
  <si>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</si>
  <si>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</si>
  <si>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</si>
  <si>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</si>
  <si>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</si>
  <si>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</si>
  <si>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</si>
  <si>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</si>
  <si>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</si>
  <si>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</si>
  <si>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</si>
  <si>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</si>
  <si>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</si>
  <si>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</si>
  <si>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</si>
  <si>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</si>
  <si>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</si>
  <si>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</si>
  <si>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</si>
  <si>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</si>
  <si>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</si>
  <si>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</si>
  <si>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</si>
  <si>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</si>
  <si>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</si>
  <si>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</si>
  <si>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X</t>
  </si>
  <si>
    <t>Logan</t>
  </si>
  <si>
    <t>1300 1500th Street</t>
  </si>
  <si>
    <t>Lincoln</t>
  </si>
  <si>
    <t>office@cel61.com</t>
  </si>
  <si>
    <t>Laura Irwin</t>
  </si>
  <si>
    <t>lirwin@cel61.com</t>
  </si>
  <si>
    <t>(217) 732-4136</t>
  </si>
  <si>
    <t>(217) 732-3265</t>
  </si>
  <si>
    <t>Koch Consultants, Ltd.</t>
  </si>
  <si>
    <t>Nathan D. Koch</t>
  </si>
  <si>
    <t>PO Box 1400</t>
  </si>
  <si>
    <t>Tremont</t>
  </si>
  <si>
    <t>IL</t>
  </si>
  <si>
    <t>(309) 267-3796</t>
  </si>
  <si>
    <t>(309) 216-3796</t>
  </si>
  <si>
    <t>nate@kochconsultants.com</t>
  </si>
  <si>
    <t xml:space="preserve">As described more fully in Note 1, the District has prepared these financial statements using accounting practices prescribed or permitted by the Illinois State Board of Education, which practices differ from accounting principles generally accepted in the United States of America.  The effects on the financial statements of the variances between these regulatory accounting practices and accounting principles generally accepted in the United States of America, although not reasonably determinable, are presumed to be material.   </t>
  </si>
  <si>
    <t>Page 10, Line 81, Account 1790 - Other District/School Activity Revenue</t>
  </si>
  <si>
    <t>Fees for lost PE locks (Educational Fund)</t>
  </si>
  <si>
    <t>Page 11, Line 107, Account 1999 - Other Local Revenues</t>
  </si>
  <si>
    <t xml:space="preserve">Other </t>
  </si>
  <si>
    <t>(Educational Fund)</t>
  </si>
  <si>
    <t>ROE sub and other reimbursements</t>
  </si>
  <si>
    <t>Conference reimbursements (Transportation Fund)</t>
  </si>
  <si>
    <t>Page 16, Line 73, Account 2900 - Other Support Services</t>
  </si>
  <si>
    <t>Homeless supplies (Supplies and Materials)</t>
  </si>
  <si>
    <t>Page 16, Line 83, Account 4190 - Other Payments to In-State Govt. Units</t>
  </si>
  <si>
    <t>Vision hearing/screenings (Purchased Services)</t>
  </si>
  <si>
    <t>2013 A GO School Bonds</t>
  </si>
  <si>
    <t>2013 B Debt Certificates</t>
  </si>
  <si>
    <t>ED-Food Services-Supplies and Materials</t>
  </si>
  <si>
    <t>10-2560-400</t>
  </si>
  <si>
    <t>Gordon Food Services</t>
  </si>
  <si>
    <t>TR-Pupil Transportation Services-Purchased Services</t>
  </si>
  <si>
    <t>40-2550-300</t>
  </si>
  <si>
    <t>TCF Equipment Finance</t>
  </si>
  <si>
    <t>Lincoln Elementary School District 27, Hartsburg-Emden CUSD 21</t>
  </si>
  <si>
    <t>Tri-County Special Education Association</t>
  </si>
  <si>
    <t>Segregating accounting and finance duties among properly trained and informed employees is a key internal control and is considered a good business practice.</t>
  </si>
  <si>
    <t>Some of the District's accounting and finance functions are not ideally segregated. While the District has segregated many of the accounting duties, the limited number of people involved still presents a situation that by necessity some functions overlap.  This situation is more pronounced in activity related to bank accounts outside the main operating account of the District and in certain situations where cash is collected.  Further, in areas where ideal segregation of duties normally exists, employees have the ability and access to perform additional duties in case of the absence of other employees or to expedite transactions.  These additional abilities and access present a situation where existing controls can be overridden.</t>
  </si>
  <si>
    <t>This situation was noted while obtaining an understanding of the District's internal control.</t>
  </si>
  <si>
    <t xml:space="preserve">Errors or irregularities may arise and not be prevented or detected and corrected on a timely basis – such as reclassification entries (audit adjustments) that arose as a result of the audit. </t>
  </si>
  <si>
    <t xml:space="preserve">With limited resources and personnel, the District cannot segregate all duties to an ideal level. </t>
  </si>
  <si>
    <t xml:space="preserve">Administration has undertaken processes to mitigate the risks presented by this control deficiency.  Administration should continue those processes.  Administration and the board should continue to closely oversee and review accounting information and consider the appropriateness of that information in light of their knowledge of the District and its operations. </t>
  </si>
  <si>
    <t xml:space="preserve">Administration has implemented additional reviews and spot checks to mitigate this risk and will continue to evaluate financial processes to determine if other controls or policies can be implemented to reduce the risks this condition presents.  Administration and the Board will continue to carefully review the financial activity and position of the District on an ongoing basis. </t>
  </si>
  <si>
    <t>2018-001</t>
  </si>
  <si>
    <t>Inadequate segregation of duties</t>
  </si>
  <si>
    <t>Modified and repeated - See Finding 2019-001</t>
  </si>
  <si>
    <t>2018-002</t>
  </si>
  <si>
    <t>Inconsistent application of controls and procedures</t>
  </si>
  <si>
    <t>Finding not repeated -corrective action taken</t>
  </si>
  <si>
    <t>x</t>
  </si>
  <si>
    <t>Chester-East Lincoln Community CCSD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</si>
</sst>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_);_(&quot;$&quot;* \(#,##0\);_(&quot;$&quot;* &quot;-&quot;??_);_(@_)"/>
    <numFmt numFmtId="182" formatCode="_(* #,##0_);_(* \(#,##0\);_(* &quot;-&quot;??_);_(@_)"/>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
      <sz val="10"/>
      <name val="Arial"/>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style="thin">
        <color indexed="64"/>
      </top>
      <bottom style="double">
        <color indexed="64"/>
      </bottom>
      <diagonal/>
    </border>
  </borders>
  <cellStyleXfs count="20">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xf numFmtId="44" fontId="138" fillId="0" borderId="0" applyFont="0" applyFill="0" applyBorder="0" applyAlignment="0" applyProtection="0"/>
  </cellStyleXfs>
  <cellXfs count="2493">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9" borderId="101" xfId="0" applyFont="1" applyFill="1" applyBorder="1" applyAlignment="1">
      <alignment horizontal="center" vertical="center"/>
    </xf>
    <xf numFmtId="0" fontId="75" fillId="9" borderId="102" xfId="0" applyFont="1" applyFill="1" applyBorder="1" applyAlignment="1">
      <alignment horizontal="center" vertical="center"/>
    </xf>
    <xf numFmtId="0" fontId="53" fillId="17" borderId="121" xfId="0" applyFont="1" applyFill="1" applyBorder="1" applyAlignment="1" applyProtection="1">
      <alignment horizontal="left" vertical="center"/>
    </xf>
    <xf numFmtId="164" fontId="53" fillId="17" borderId="121" xfId="0" applyNumberFormat="1" applyFont="1" applyFill="1" applyBorder="1" applyAlignment="1" applyProtection="1">
      <alignment horizontal="center" vertical="center"/>
    </xf>
    <xf numFmtId="164" fontId="63" fillId="17" borderId="121" xfId="0" applyNumberFormat="1" applyFont="1" applyFill="1" applyBorder="1" applyAlignment="1" applyProtection="1">
      <alignment vertical="center"/>
    </xf>
    <xf numFmtId="0" fontId="76" fillId="10" borderId="122" xfId="0" applyFont="1" applyFill="1" applyBorder="1" applyAlignment="1">
      <alignment horizontal="left" vertical="center"/>
    </xf>
    <xf numFmtId="38" fontId="48" fillId="10" borderId="103" xfId="0" applyNumberFormat="1" applyFont="1" applyFill="1" applyBorder="1" applyAlignment="1">
      <alignment horizontal="right"/>
    </xf>
    <xf numFmtId="38" fontId="48" fillId="10" borderId="110" xfId="0" applyNumberFormat="1" applyFont="1" applyFill="1" applyBorder="1" applyAlignment="1">
      <alignment horizontal="right"/>
    </xf>
    <xf numFmtId="0" fontId="77" fillId="11" borderId="103" xfId="0" applyFont="1" applyFill="1" applyBorder="1" applyAlignment="1">
      <alignment vertical="center"/>
    </xf>
    <xf numFmtId="164" fontId="53" fillId="13" borderId="117"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56" fillId="13" borderId="103" xfId="0" applyFont="1" applyFill="1" applyBorder="1" applyAlignment="1" applyProtection="1">
      <alignment vertical="center"/>
    </xf>
    <xf numFmtId="38" fontId="48" fillId="11" borderId="120" xfId="0" applyNumberFormat="1" applyFont="1" applyFill="1" applyBorder="1" applyAlignment="1" applyProtection="1">
      <alignment horizontal="right"/>
      <protection locked="0"/>
    </xf>
    <xf numFmtId="38" fontId="48" fillId="11" borderId="103" xfId="0" applyNumberFormat="1" applyFont="1" applyFill="1" applyBorder="1" applyAlignment="1" applyProtection="1">
      <alignment horizontal="right"/>
      <protection locked="0"/>
    </xf>
    <xf numFmtId="38" fontId="48" fillId="11" borderId="110" xfId="0" applyNumberFormat="1" applyFont="1" applyFill="1" applyBorder="1" applyAlignment="1" applyProtection="1">
      <alignment horizontal="right"/>
      <protection locked="0"/>
    </xf>
    <xf numFmtId="0" fontId="53" fillId="17" borderId="110" xfId="0" applyFont="1" applyFill="1" applyBorder="1" applyAlignment="1" applyProtection="1">
      <alignment horizontal="center" vertical="center"/>
    </xf>
    <xf numFmtId="164" fontId="53" fillId="17" borderId="110" xfId="0" applyNumberFormat="1" applyFont="1" applyFill="1" applyBorder="1" applyAlignment="1" applyProtection="1">
      <alignment horizontal="center" vertical="center"/>
    </xf>
    <xf numFmtId="164" fontId="63" fillId="17" borderId="110" xfId="0" applyNumberFormat="1" applyFont="1" applyFill="1" applyBorder="1" applyAlignment="1" applyProtection="1">
      <alignment vertical="center"/>
    </xf>
    <xf numFmtId="0" fontId="76" fillId="10" borderId="103" xfId="0" applyFont="1" applyFill="1" applyBorder="1" applyAlignment="1">
      <alignment horizontal="left" vertical="center"/>
    </xf>
    <xf numFmtId="0" fontId="53" fillId="17" borderId="0" xfId="0" applyFont="1" applyFill="1" applyBorder="1" applyAlignment="1" applyProtection="1">
      <alignment horizontal="left" vertical="center"/>
    </xf>
    <xf numFmtId="164" fontId="53" fillId="17" borderId="0" xfId="0" applyNumberFormat="1" applyFont="1" applyFill="1" applyBorder="1" applyAlignment="1" applyProtection="1">
      <alignment horizontal="center" vertical="center"/>
    </xf>
    <xf numFmtId="164" fontId="63" fillId="17" borderId="0" xfId="0" applyNumberFormat="1" applyFont="1" applyFill="1" applyBorder="1" applyAlignment="1" applyProtection="1">
      <alignment vertical="center"/>
    </xf>
    <xf numFmtId="0" fontId="61" fillId="13" borderId="117" xfId="0" applyFont="1" applyFill="1" applyBorder="1" applyAlignment="1" applyProtection="1">
      <alignment horizontal="left" vertical="center"/>
    </xf>
    <xf numFmtId="164" fontId="53" fillId="13" borderId="110" xfId="0" applyNumberFormat="1" applyFont="1" applyFill="1" applyBorder="1" applyAlignment="1" applyProtection="1">
      <alignment horizontal="center" vertical="center"/>
    </xf>
    <xf numFmtId="164" fontId="61" fillId="13"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3" fillId="13" borderId="118" xfId="0" applyFont="1" applyFill="1" applyBorder="1" applyAlignment="1" applyProtection="1">
      <alignment horizontal="center" vertical="center"/>
    </xf>
    <xf numFmtId="164" fontId="53" fillId="13" borderId="119" xfId="0" applyNumberFormat="1" applyFont="1" applyFill="1" applyBorder="1" applyAlignment="1" applyProtection="1">
      <alignment horizontal="center" vertical="center"/>
    </xf>
    <xf numFmtId="164" fontId="63" fillId="13" borderId="119" xfId="0" applyNumberFormat="1" applyFont="1" applyFill="1" applyBorder="1" applyAlignment="1" applyProtection="1">
      <alignment vertical="center"/>
    </xf>
    <xf numFmtId="38" fontId="48" fillId="11" borderId="110" xfId="0" applyNumberFormat="1" applyFont="1" applyFill="1" applyBorder="1" applyAlignment="1">
      <alignment horizontal="right"/>
    </xf>
    <xf numFmtId="0" fontId="76" fillId="10" borderId="104" xfId="0" applyFont="1" applyFill="1" applyBorder="1" applyAlignment="1">
      <alignment horizontal="left" vertical="center"/>
    </xf>
    <xf numFmtId="38" fontId="48" fillId="10" borderId="104" xfId="0" applyNumberFormat="1" applyFont="1" applyFill="1" applyBorder="1" applyAlignment="1">
      <alignment horizontal="right"/>
    </xf>
    <xf numFmtId="38" fontId="48" fillId="10"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3" xfId="0" applyNumberFormat="1" applyFont="1" applyFill="1" applyBorder="1" applyAlignment="1" applyProtection="1">
      <alignment horizontal="right"/>
      <protection locked="0"/>
    </xf>
    <xf numFmtId="38" fontId="54" fillId="0" borderId="111"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19"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5"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5"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4" fillId="0" borderId="0" xfId="3" applyNumberFormat="1" applyFont="1" applyProtection="1"/>
    <xf numFmtId="0" fontId="61" fillId="0" borderId="0" xfId="3" quotePrefix="1" applyNumberFormat="1" applyFont="1" applyAlignment="1" applyProtection="1">
      <alignment horizontal="left"/>
    </xf>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0" borderId="72" xfId="3" applyFont="1" applyFill="1" applyBorder="1" applyAlignment="1" applyProtection="1">
      <alignment horizontal="center"/>
    </xf>
    <xf numFmtId="0" fontId="63" fillId="21"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0"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1"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0" borderId="0" xfId="3" applyFont="1" applyFill="1" applyProtection="1"/>
    <xf numFmtId="169" fontId="56" fillId="20" borderId="0" xfId="3" applyNumberFormat="1" applyFont="1" applyFill="1" applyProtection="1"/>
    <xf numFmtId="1" fontId="56" fillId="20" borderId="0" xfId="3" applyNumberFormat="1" applyFont="1" applyFill="1" applyProtection="1"/>
    <xf numFmtId="0" fontId="56" fillId="20"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2" borderId="157" xfId="17" applyNumberFormat="1" applyFill="1" applyBorder="1" applyAlignment="1">
      <alignment horizontal="right" vertical="top"/>
    </xf>
    <xf numFmtId="38" fontId="6" fillId="22"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6" xfId="17" applyFont="1" applyFill="1" applyBorder="1" applyAlignment="1">
      <alignment horizontal="center" vertical="center" wrapText="1"/>
    </xf>
    <xf numFmtId="38" fontId="124" fillId="23" borderId="156" xfId="17" applyNumberFormat="1" applyFont="1" applyFill="1" applyBorder="1" applyAlignment="1">
      <alignment horizontal="center" vertical="center" wrapText="1"/>
    </xf>
    <xf numFmtId="3" fontId="54" fillId="23" borderId="131" xfId="0" applyNumberFormat="1" applyFont="1" applyFill="1" applyBorder="1" applyAlignment="1">
      <alignment horizontal="center"/>
    </xf>
    <xf numFmtId="3" fontId="54" fillId="23" borderId="131" xfId="0" applyNumberFormat="1" applyFont="1" applyFill="1" applyBorder="1" applyAlignment="1">
      <alignment horizontal="right"/>
    </xf>
    <xf numFmtId="3" fontId="54" fillId="23" borderId="132"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5"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7" borderId="14" xfId="0" applyFont="1" applyFill="1" applyBorder="1" applyAlignment="1" applyProtection="1">
      <alignment horizontal="left" vertical="center"/>
    </xf>
    <xf numFmtId="0" fontId="63" fillId="17" borderId="2" xfId="0" applyFont="1" applyFill="1" applyBorder="1" applyAlignment="1" applyProtection="1">
      <alignment horizontal="center" vertical="top"/>
    </xf>
    <xf numFmtId="0" fontId="63" fillId="17"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7" borderId="20" xfId="0" applyNumberFormat="1" applyFont="1" applyFill="1" applyBorder="1" applyAlignment="1" applyProtection="1">
      <alignment horizontal="left" vertical="center"/>
    </xf>
    <xf numFmtId="0" fontId="63" fillId="17" borderId="2" xfId="0" applyFont="1" applyFill="1" applyBorder="1" applyAlignment="1">
      <alignment horizontal="center" vertical="center"/>
    </xf>
    <xf numFmtId="164" fontId="63" fillId="17" borderId="20" xfId="0" applyNumberFormat="1" applyFont="1" applyFill="1" applyBorder="1" applyAlignment="1" applyProtection="1">
      <alignment horizontal="left" vertical="center"/>
    </xf>
    <xf numFmtId="0" fontId="63" fillId="17" borderId="29" xfId="0" applyFont="1" applyFill="1" applyBorder="1" applyAlignment="1" applyProtection="1">
      <alignment horizontal="center" vertical="center"/>
    </xf>
    <xf numFmtId="0" fontId="63" fillId="17" borderId="127" xfId="0" applyFont="1" applyFill="1" applyBorder="1" applyAlignment="1" applyProtection="1">
      <alignment horizontal="center" vertical="center"/>
    </xf>
    <xf numFmtId="164" fontId="63" fillId="17" borderId="21" xfId="0" applyNumberFormat="1" applyFont="1" applyFill="1" applyBorder="1" applyAlignment="1" applyProtection="1">
      <alignment horizontal="left" vertical="center"/>
    </xf>
    <xf numFmtId="0" fontId="63" fillId="17" borderId="14" xfId="0" applyFont="1" applyFill="1" applyBorder="1" applyAlignment="1" applyProtection="1">
      <alignment horizontal="center" vertical="center"/>
    </xf>
    <xf numFmtId="0" fontId="63" fillId="17" borderId="31" xfId="0" applyFont="1" applyFill="1" applyBorder="1" applyAlignment="1" applyProtection="1">
      <alignment horizontal="center" vertical="center"/>
    </xf>
    <xf numFmtId="164" fontId="63" fillId="15" borderId="21" xfId="0" applyNumberFormat="1" applyFont="1" applyFill="1" applyBorder="1" applyAlignment="1" applyProtection="1">
      <alignment horizontal="left" vertical="center" indent="1"/>
    </xf>
    <xf numFmtId="0" fontId="61" fillId="15" borderId="14" xfId="0" applyFont="1" applyFill="1" applyBorder="1" applyAlignment="1" applyProtection="1">
      <alignment horizontal="center" vertical="center"/>
    </xf>
    <xf numFmtId="164" fontId="63" fillId="15" borderId="20" xfId="0" applyNumberFormat="1" applyFont="1" applyFill="1" applyBorder="1" applyAlignment="1" applyProtection="1">
      <alignment horizontal="left" vertical="center" indent="1"/>
    </xf>
    <xf numFmtId="1" fontId="61" fillId="15" borderId="11" xfId="0" applyNumberFormat="1" applyFont="1" applyFill="1" applyBorder="1" applyAlignment="1" applyProtection="1">
      <alignment horizontal="center" vertical="center"/>
    </xf>
    <xf numFmtId="1" fontId="61" fillId="15" borderId="4" xfId="0" applyNumberFormat="1" applyFont="1" applyFill="1" applyBorder="1" applyAlignment="1" applyProtection="1">
      <alignment horizontal="center" vertical="center"/>
    </xf>
    <xf numFmtId="0" fontId="63" fillId="15" borderId="21" xfId="0" applyFont="1" applyFill="1" applyBorder="1" applyAlignment="1">
      <alignment horizontal="left" vertical="center" indent="1"/>
    </xf>
    <xf numFmtId="0" fontId="61" fillId="15" borderId="14" xfId="0" applyFont="1" applyFill="1" applyBorder="1" applyAlignment="1">
      <alignment horizontal="left" vertical="center"/>
    </xf>
    <xf numFmtId="0" fontId="61" fillId="15" borderId="11" xfId="0" applyFont="1" applyFill="1" applyBorder="1" applyAlignment="1" applyProtection="1">
      <alignment horizontal="center" vertical="center"/>
    </xf>
    <xf numFmtId="3" fontId="63" fillId="17" borderId="125" xfId="0" applyNumberFormat="1" applyFont="1" applyFill="1" applyBorder="1" applyAlignment="1">
      <alignment horizontal="left" vertical="center" wrapText="1"/>
    </xf>
    <xf numFmtId="49" fontId="63" fillId="17" borderId="127" xfId="0" applyNumberFormat="1" applyFont="1" applyFill="1" applyBorder="1" applyAlignment="1">
      <alignment horizontal="center" vertical="center"/>
    </xf>
    <xf numFmtId="0" fontId="63" fillId="17" borderId="17" xfId="0" applyFont="1" applyFill="1" applyBorder="1" applyAlignment="1">
      <alignment horizontal="left" vertical="center" wrapText="1"/>
    </xf>
    <xf numFmtId="49" fontId="63" fillId="17" borderId="29" xfId="0" applyNumberFormat="1" applyFont="1" applyFill="1" applyBorder="1" applyAlignment="1">
      <alignment horizontal="center" vertical="center"/>
    </xf>
    <xf numFmtId="3" fontId="63" fillId="17" borderId="33" xfId="0" applyNumberFormat="1" applyFont="1" applyFill="1" applyBorder="1" applyAlignment="1">
      <alignment horizontal="left" vertical="center" wrapText="1"/>
    </xf>
    <xf numFmtId="49" fontId="63" fillId="17" borderId="33" xfId="0" applyNumberFormat="1" applyFont="1" applyFill="1" applyBorder="1" applyAlignment="1">
      <alignment horizontal="center" vertical="center"/>
    </xf>
    <xf numFmtId="164" fontId="63" fillId="17" borderId="125" xfId="0" applyNumberFormat="1" applyFont="1" applyFill="1" applyBorder="1" applyAlignment="1">
      <alignment horizontal="left" vertical="center" wrapText="1"/>
    </xf>
    <xf numFmtId="49" fontId="63" fillId="17" borderId="4" xfId="0" applyNumberFormat="1" applyFont="1" applyFill="1" applyBorder="1" applyAlignment="1">
      <alignment horizontal="center" vertical="center"/>
    </xf>
    <xf numFmtId="3" fontId="63" fillId="17" borderId="13" xfId="0" applyNumberFormat="1" applyFont="1" applyFill="1" applyBorder="1" applyAlignment="1">
      <alignment horizontal="left" vertical="center" wrapText="1"/>
    </xf>
    <xf numFmtId="49" fontId="63" fillId="17" borderId="2" xfId="0" applyNumberFormat="1" applyFont="1" applyFill="1" applyBorder="1" applyAlignment="1">
      <alignment horizontal="center" vertical="center"/>
    </xf>
    <xf numFmtId="164" fontId="63" fillId="17" borderId="17" xfId="0" applyNumberFormat="1" applyFont="1" applyFill="1" applyBorder="1" applyAlignment="1">
      <alignment horizontal="left" vertical="center" wrapText="1"/>
    </xf>
    <xf numFmtId="0" fontId="63" fillId="17" borderId="36" xfId="0" applyFont="1" applyFill="1" applyBorder="1" applyAlignment="1">
      <alignment horizontal="left" vertical="center" wrapText="1"/>
    </xf>
    <xf numFmtId="49" fontId="63" fillId="17" borderId="27" xfId="0" applyNumberFormat="1" applyFont="1" applyFill="1" applyBorder="1" applyAlignment="1">
      <alignment horizontal="center" vertical="center"/>
    </xf>
    <xf numFmtId="3" fontId="63" fillId="17" borderId="37" xfId="0" applyNumberFormat="1" applyFont="1" applyFill="1" applyBorder="1" applyAlignment="1">
      <alignment horizontal="left" vertical="center" wrapText="1"/>
    </xf>
    <xf numFmtId="0" fontId="63" fillId="17" borderId="13" xfId="0" applyFont="1" applyFill="1" applyBorder="1" applyAlignment="1">
      <alignment horizontal="left" vertical="center" wrapText="1"/>
    </xf>
    <xf numFmtId="49" fontId="63" fillId="17" borderId="14" xfId="0" applyNumberFormat="1" applyFont="1" applyFill="1" applyBorder="1" applyAlignment="1">
      <alignment horizontal="center" vertical="center"/>
    </xf>
    <xf numFmtId="0" fontId="63" fillId="17" borderId="37" xfId="0" applyFont="1" applyFill="1" applyBorder="1" applyAlignment="1">
      <alignment horizontal="left" vertical="center" wrapText="1"/>
    </xf>
    <xf numFmtId="164" fontId="63" fillId="17" borderId="13" xfId="0" applyNumberFormat="1" applyFont="1" applyFill="1" applyBorder="1" applyAlignment="1">
      <alignment horizontal="left" vertical="center" wrapText="1"/>
    </xf>
    <xf numFmtId="0" fontId="63" fillId="17" borderId="127" xfId="0" applyFont="1" applyFill="1" applyBorder="1" applyAlignment="1">
      <alignment horizontal="left" vertical="center" wrapText="1"/>
    </xf>
    <xf numFmtId="3" fontId="63" fillId="17" borderId="127"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7" borderId="50" xfId="0" applyFont="1" applyFill="1" applyBorder="1" applyAlignment="1" applyProtection="1">
      <alignment horizontal="left" vertical="center"/>
    </xf>
    <xf numFmtId="0" fontId="63" fillId="17" borderId="22" xfId="0" applyFont="1" applyFill="1" applyBorder="1" applyAlignment="1" applyProtection="1">
      <alignment horizontal="center" vertical="center"/>
    </xf>
    <xf numFmtId="0" fontId="63" fillId="17" borderId="46" xfId="0" applyFont="1" applyFill="1" applyBorder="1" applyAlignment="1" applyProtection="1">
      <alignment horizontal="left" vertical="center"/>
    </xf>
    <xf numFmtId="0" fontId="63" fillId="17" borderId="46" xfId="0" applyFont="1" applyFill="1" applyBorder="1" applyAlignment="1" applyProtection="1">
      <alignment horizontal="left" vertical="center" wrapText="1"/>
    </xf>
    <xf numFmtId="0" fontId="63" fillId="17"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5"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0" borderId="157" xfId="17" applyFont="1" applyFill="1" applyBorder="1" applyAlignment="1" applyProtection="1">
      <alignment horizontal="left" vertical="top" wrapText="1"/>
    </xf>
    <xf numFmtId="49" fontId="126" fillId="20" borderId="157" xfId="17" applyNumberFormat="1" applyFont="1" applyFill="1" applyBorder="1" applyAlignment="1" applyProtection="1">
      <alignment horizontal="center" vertical="top"/>
    </xf>
    <xf numFmtId="0" fontId="126" fillId="20" borderId="157" xfId="17" applyFont="1" applyFill="1" applyBorder="1" applyAlignment="1" applyProtection="1">
      <alignment vertical="top"/>
    </xf>
    <xf numFmtId="38" fontId="126" fillId="20" borderId="157" xfId="17" applyNumberFormat="1" applyFont="1" applyFill="1" applyBorder="1" applyAlignment="1" applyProtection="1">
      <alignment horizontal="right" vertical="top"/>
    </xf>
    <xf numFmtId="38" fontId="126" fillId="20"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horizontal="left" vertical="top" wrapText="1"/>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7" xfId="17" applyNumberFormat="1" applyBorder="1" applyAlignment="1" applyProtection="1">
      <alignment horizontal="center" vertical="center"/>
      <protection locked="0"/>
    </xf>
    <xf numFmtId="49" fontId="4" fillId="0" borderId="157" xfId="17" applyNumberFormat="1" applyFont="1" applyBorder="1" applyAlignment="1" applyProtection="1">
      <alignment horizontal="center" vertical="center"/>
      <protection locked="0"/>
    </xf>
    <xf numFmtId="3" fontId="63" fillId="16" borderId="36" xfId="0" applyNumberFormat="1" applyFont="1" applyFill="1" applyBorder="1" applyAlignment="1">
      <alignment horizontal="left" vertical="center" wrapText="1" indent="1"/>
    </xf>
    <xf numFmtId="49" fontId="63" fillId="16" borderId="27" xfId="0" applyNumberFormat="1" applyFont="1" applyFill="1" applyBorder="1" applyAlignment="1">
      <alignment horizontal="center" vertical="center"/>
    </xf>
    <xf numFmtId="38" fontId="54" fillId="16" borderId="27" xfId="0" applyNumberFormat="1" applyFont="1" applyFill="1" applyBorder="1" applyAlignment="1">
      <alignment horizontal="right"/>
    </xf>
    <xf numFmtId="38" fontId="54" fillId="16" borderId="2" xfId="0" applyNumberFormat="1" applyFont="1" applyFill="1" applyBorder="1" applyAlignment="1">
      <alignment horizontal="right"/>
    </xf>
    <xf numFmtId="38" fontId="54" fillId="16" borderId="4" xfId="0" applyNumberFormat="1" applyFont="1" applyFill="1" applyBorder="1" applyAlignment="1">
      <alignment horizontal="right"/>
    </xf>
    <xf numFmtId="49" fontId="63" fillId="16" borderId="36" xfId="0" applyNumberFormat="1" applyFont="1" applyFill="1" applyBorder="1" applyAlignment="1">
      <alignment horizontal="center" vertical="center"/>
    </xf>
    <xf numFmtId="38" fontId="54" fillId="16" borderId="30" xfId="0" applyNumberFormat="1" applyFont="1" applyFill="1" applyBorder="1" applyAlignment="1">
      <alignment horizontal="right"/>
    </xf>
    <xf numFmtId="49" fontId="63" fillId="16" borderId="30" xfId="0" applyNumberFormat="1" applyFont="1" applyFill="1" applyBorder="1" applyAlignment="1">
      <alignment horizontal="center" vertical="center"/>
    </xf>
    <xf numFmtId="0" fontId="63" fillId="16" borderId="32" xfId="0" applyNumberFormat="1" applyFont="1" applyFill="1" applyBorder="1" applyAlignment="1">
      <alignment horizontal="center" vertical="center"/>
    </xf>
    <xf numFmtId="38" fontId="54" fillId="16" borderId="32" xfId="0" applyNumberFormat="1" applyFont="1" applyFill="1" applyBorder="1" applyAlignment="1">
      <alignment horizontal="right"/>
    </xf>
    <xf numFmtId="0" fontId="63" fillId="16" borderId="27" xfId="0" applyFont="1" applyFill="1" applyBorder="1" applyAlignment="1">
      <alignment horizontal="center" vertical="center"/>
    </xf>
    <xf numFmtId="38" fontId="54" fillId="16" borderId="33" xfId="0" applyNumberFormat="1" applyFont="1" applyFill="1" applyBorder="1" applyAlignment="1">
      <alignment horizontal="right"/>
    </xf>
    <xf numFmtId="3" fontId="63" fillId="16" borderId="27" xfId="0" applyNumberFormat="1" applyFont="1" applyFill="1" applyBorder="1" applyAlignment="1">
      <alignment horizontal="left" vertical="center" indent="1"/>
    </xf>
    <xf numFmtId="0" fontId="63" fillId="16" borderId="27" xfId="0" applyFont="1" applyFill="1" applyBorder="1" applyAlignment="1">
      <alignment horizontal="center" vertical="top"/>
    </xf>
    <xf numFmtId="0" fontId="56" fillId="16" borderId="30" xfId="0" applyFont="1" applyFill="1" applyBorder="1" applyAlignment="1">
      <alignment horizontal="left" vertical="center" indent="1"/>
    </xf>
    <xf numFmtId="38" fontId="54" fillId="16" borderId="26" xfId="0" applyNumberFormat="1" applyFont="1" applyFill="1" applyBorder="1" applyAlignment="1">
      <alignment horizontal="right"/>
    </xf>
    <xf numFmtId="38" fontId="54" fillId="16" borderId="28" xfId="0" applyNumberFormat="1" applyFont="1" applyFill="1" applyBorder="1" applyAlignment="1">
      <alignment horizontal="right"/>
    </xf>
    <xf numFmtId="38" fontId="54" fillId="16" borderId="29" xfId="0" applyNumberFormat="1" applyFont="1" applyFill="1" applyBorder="1" applyAlignment="1">
      <alignment horizontal="right"/>
    </xf>
    <xf numFmtId="3" fontId="63" fillId="16" borderId="55" xfId="0" applyNumberFormat="1" applyFont="1" applyFill="1" applyBorder="1" applyAlignment="1">
      <alignment horizontal="left" vertical="center" wrapText="1" indent="1"/>
    </xf>
    <xf numFmtId="49" fontId="63" fillId="16" borderId="32" xfId="0" applyNumberFormat="1" applyFont="1" applyFill="1" applyBorder="1" applyAlignment="1">
      <alignment horizontal="center" vertical="center"/>
    </xf>
    <xf numFmtId="38" fontId="54" fillId="16" borderId="27" xfId="0" applyNumberFormat="1" applyFont="1" applyFill="1" applyBorder="1" applyAlignment="1" applyProtection="1">
      <alignment horizontal="right"/>
    </xf>
    <xf numFmtId="3" fontId="63" fillId="16" borderId="55" xfId="0" applyNumberFormat="1" applyFont="1" applyFill="1" applyBorder="1" applyAlignment="1">
      <alignment horizontal="left" vertical="top" wrapText="1" indent="1"/>
    </xf>
    <xf numFmtId="49" fontId="61" fillId="16" borderId="51" xfId="0" applyNumberFormat="1" applyFont="1" applyFill="1" applyBorder="1" applyAlignment="1">
      <alignment horizontal="center" vertical="top"/>
    </xf>
    <xf numFmtId="3" fontId="63" fillId="16" borderId="27" xfId="0" applyNumberFormat="1" applyFont="1" applyFill="1" applyBorder="1" applyAlignment="1">
      <alignment horizontal="left" vertical="center" wrapText="1" indent="1"/>
    </xf>
    <xf numFmtId="3" fontId="63" fillId="16" borderId="36" xfId="0" applyNumberFormat="1" applyFont="1" applyFill="1" applyBorder="1" applyAlignment="1">
      <alignment horizontal="left" vertical="top" wrapText="1" indent="1"/>
    </xf>
    <xf numFmtId="0" fontId="61" fillId="16" borderId="30" xfId="0" applyFont="1" applyFill="1" applyBorder="1" applyAlignment="1">
      <alignment vertical="top"/>
    </xf>
    <xf numFmtId="3" fontId="63" fillId="16" borderId="36" xfId="0" applyNumberFormat="1" applyFont="1" applyFill="1" applyBorder="1" applyAlignment="1">
      <alignment horizontal="left" vertical="center" indent="1"/>
    </xf>
    <xf numFmtId="0" fontId="63" fillId="16" borderId="30" xfId="0" applyFont="1" applyFill="1" applyBorder="1" applyAlignment="1">
      <alignment horizontal="center" vertical="center"/>
    </xf>
    <xf numFmtId="0" fontId="63" fillId="16" borderId="27" xfId="0" applyFont="1" applyFill="1" applyBorder="1" applyAlignment="1">
      <alignment horizontal="center" vertical="center" wrapText="1"/>
    </xf>
    <xf numFmtId="49" fontId="63" fillId="16" borderId="27" xfId="0" applyNumberFormat="1" applyFont="1" applyFill="1" applyBorder="1" applyAlignment="1">
      <alignment horizontal="center" vertical="top" wrapText="1"/>
    </xf>
    <xf numFmtId="3" fontId="63" fillId="16" borderId="36" xfId="0" applyNumberFormat="1" applyFont="1" applyFill="1" applyBorder="1" applyAlignment="1">
      <alignment horizontal="left" vertical="top" indent="1"/>
    </xf>
    <xf numFmtId="38" fontId="54" fillId="16" borderId="3" xfId="0" applyNumberFormat="1" applyFont="1" applyFill="1" applyBorder="1" applyAlignment="1">
      <alignment horizontal="right"/>
    </xf>
    <xf numFmtId="0" fontId="63" fillId="16" borderId="36" xfId="0" applyFont="1" applyFill="1" applyBorder="1" applyAlignment="1">
      <alignment horizontal="left" vertical="center" wrapText="1" indent="1"/>
    </xf>
    <xf numFmtId="49" fontId="61" fillId="16" borderId="51" xfId="0" applyNumberFormat="1" applyFont="1" applyFill="1" applyBorder="1" applyAlignment="1">
      <alignment horizontal="center" vertical="center"/>
    </xf>
    <xf numFmtId="38" fontId="54" fillId="16" borderId="33" xfId="0" applyNumberFormat="1" applyFont="1" applyFill="1" applyBorder="1" applyAlignment="1" applyProtection="1">
      <alignment horizontal="right"/>
    </xf>
    <xf numFmtId="38" fontId="54" fillId="16" borderId="32" xfId="0" applyNumberFormat="1" applyFont="1" applyFill="1" applyBorder="1" applyAlignment="1" applyProtection="1">
      <alignment horizontal="right"/>
    </xf>
    <xf numFmtId="0" fontId="61"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center" wrapText="1" indent="1"/>
    </xf>
    <xf numFmtId="0" fontId="61" fillId="16" borderId="30" xfId="0" applyFont="1" applyFill="1" applyBorder="1" applyAlignment="1" applyProtection="1">
      <alignment horizontal="left" vertical="center"/>
    </xf>
    <xf numFmtId="38" fontId="54" fillId="16" borderId="36" xfId="0" applyNumberFormat="1" applyFont="1" applyFill="1" applyBorder="1" applyAlignment="1" applyProtection="1">
      <alignment horizontal="right"/>
    </xf>
    <xf numFmtId="0" fontId="63" fillId="16" borderId="35" xfId="0" applyFont="1" applyFill="1" applyBorder="1" applyAlignment="1" applyProtection="1">
      <alignment horizontal="left" vertical="center" indent="1"/>
    </xf>
    <xf numFmtId="0" fontId="61" fillId="16" borderId="30" xfId="0" applyFont="1" applyFill="1" applyBorder="1" applyAlignment="1" applyProtection="1">
      <alignment horizontal="center" vertical="center"/>
    </xf>
    <xf numFmtId="37" fontId="54" fillId="16" borderId="36" xfId="0" applyNumberFormat="1" applyFont="1" applyFill="1" applyBorder="1" applyAlignment="1" applyProtection="1">
      <alignment horizontal="right"/>
    </xf>
    <xf numFmtId="37" fontId="54" fillId="16" borderId="27" xfId="0" applyNumberFormat="1" applyFont="1" applyFill="1" applyBorder="1" applyAlignment="1" applyProtection="1">
      <alignment horizontal="right"/>
    </xf>
    <xf numFmtId="0" fontId="61"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top" wrapText="1" indent="1"/>
    </xf>
    <xf numFmtId="49" fontId="63" fillId="16" borderId="33" xfId="0" applyNumberFormat="1" applyFont="1" applyFill="1" applyBorder="1" applyAlignment="1">
      <alignment horizontal="center" vertical="center"/>
    </xf>
    <xf numFmtId="38" fontId="54" fillId="16" borderId="37" xfId="0" applyNumberFormat="1" applyFont="1" applyFill="1" applyBorder="1" applyAlignment="1" applyProtection="1">
      <alignment horizontal="right"/>
    </xf>
    <xf numFmtId="49" fontId="63" fillId="16" borderId="35" xfId="0" applyNumberFormat="1" applyFont="1" applyFill="1" applyBorder="1" applyAlignment="1" applyProtection="1">
      <alignment horizontal="left" vertical="top" indent="1"/>
    </xf>
    <xf numFmtId="49" fontId="63" fillId="16" borderId="27" xfId="0" applyNumberFormat="1" applyFont="1" applyFill="1" applyBorder="1" applyAlignment="1">
      <alignment horizontal="center" vertical="top"/>
    </xf>
    <xf numFmtId="38" fontId="54" fillId="16" borderId="12" xfId="0" applyNumberFormat="1" applyFont="1" applyFill="1" applyBorder="1" applyAlignment="1" applyProtection="1">
      <alignment horizontal="right"/>
    </xf>
    <xf numFmtId="49" fontId="61" fillId="16" borderId="30" xfId="0" applyNumberFormat="1" applyFont="1" applyFill="1" applyBorder="1" applyAlignment="1" applyProtection="1">
      <alignment horizontal="center" vertical="center"/>
    </xf>
    <xf numFmtId="1" fontId="61" fillId="16" borderId="30"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55" xfId="0" applyNumberFormat="1" applyFont="1" applyFill="1" applyBorder="1" applyAlignment="1" applyProtection="1">
      <alignment horizontal="right"/>
    </xf>
    <xf numFmtId="0" fontId="63" fillId="16" borderId="35" xfId="0" applyFont="1" applyFill="1" applyBorder="1" applyAlignment="1" applyProtection="1">
      <alignment horizontal="left" indent="1"/>
    </xf>
    <xf numFmtId="0" fontId="61" fillId="16" borderId="30" xfId="0" applyFont="1" applyFill="1" applyBorder="1" applyAlignment="1" applyProtection="1">
      <alignment horizontal="center"/>
    </xf>
    <xf numFmtId="0" fontId="63" fillId="16" borderId="36" xfId="0" applyFont="1" applyFill="1" applyBorder="1" applyAlignment="1" applyProtection="1">
      <alignment horizontal="left" vertical="center" indent="1"/>
    </xf>
    <xf numFmtId="0" fontId="61" fillId="16" borderId="27" xfId="0" applyFont="1" applyFill="1" applyBorder="1" applyAlignment="1" applyProtection="1">
      <alignment horizontal="center" vertical="center"/>
    </xf>
    <xf numFmtId="0" fontId="63" fillId="16" borderId="30" xfId="0" applyFont="1" applyFill="1" applyBorder="1" applyAlignment="1">
      <alignment vertical="center"/>
    </xf>
    <xf numFmtId="49" fontId="63" fillId="16" borderId="33" xfId="0" applyNumberFormat="1" applyFont="1" applyFill="1" applyBorder="1" applyAlignment="1" applyProtection="1">
      <alignment horizontal="left" vertical="center" wrapText="1" indent="1"/>
    </xf>
    <xf numFmtId="49" fontId="63" fillId="16" borderId="53" xfId="0" applyNumberFormat="1" applyFont="1" applyFill="1" applyBorder="1" applyAlignment="1">
      <alignment horizontal="center" vertical="center"/>
    </xf>
    <xf numFmtId="0" fontId="63" fillId="16" borderId="52" xfId="0" applyFont="1" applyFill="1" applyBorder="1" applyAlignment="1" applyProtection="1">
      <alignment horizontal="left" wrapText="1" indent="1"/>
    </xf>
    <xf numFmtId="0" fontId="61" fillId="16" borderId="53" xfId="0" applyFont="1" applyFill="1" applyBorder="1" applyAlignment="1" applyProtection="1">
      <alignment horizontal="left" indent="2"/>
    </xf>
    <xf numFmtId="176" fontId="56" fillId="16" borderId="2" xfId="0" applyNumberFormat="1" applyFont="1" applyFill="1" applyBorder="1" applyAlignment="1" applyProtection="1">
      <alignment vertical="center"/>
    </xf>
    <xf numFmtId="38" fontId="56" fillId="16" borderId="2"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vertical="center"/>
    </xf>
    <xf numFmtId="37" fontId="56" fillId="16" borderId="13" xfId="5" applyNumberFormat="1" applyFont="1" applyFill="1" applyBorder="1" applyAlignment="1" applyProtection="1">
      <alignment horizontal="right"/>
    </xf>
    <xf numFmtId="0" fontId="63" fillId="16" borderId="35" xfId="0" applyFont="1" applyFill="1" applyBorder="1" applyAlignment="1" applyProtection="1">
      <alignment horizontal="left" vertical="center" indent="2"/>
    </xf>
    <xf numFmtId="38" fontId="54" fillId="16" borderId="30" xfId="0" applyNumberFormat="1" applyFont="1" applyFill="1" applyBorder="1" applyAlignment="1" applyProtection="1">
      <alignment horizontal="right"/>
    </xf>
    <xf numFmtId="0" fontId="63" fillId="16" borderId="20" xfId="0" applyFont="1" applyFill="1" applyBorder="1" applyAlignment="1" applyProtection="1">
      <alignment horizontal="left" vertical="center" indent="2"/>
    </xf>
    <xf numFmtId="0" fontId="63" fillId="16" borderId="14" xfId="0" applyFont="1" applyFill="1" applyBorder="1" applyAlignment="1" applyProtection="1">
      <alignment horizontal="center" vertical="center"/>
    </xf>
    <xf numFmtId="38" fontId="54" fillId="16" borderId="26" xfId="0" applyNumberFormat="1" applyFont="1" applyFill="1" applyBorder="1" applyAlignment="1" applyProtection="1">
      <alignment horizontal="right"/>
    </xf>
    <xf numFmtId="0" fontId="63" fillId="16" borderId="30" xfId="0" applyFont="1" applyFill="1" applyBorder="1" applyAlignment="1" applyProtection="1">
      <alignment horizontal="center" vertical="center"/>
    </xf>
    <xf numFmtId="38" fontId="54" fillId="16" borderId="4" xfId="0" applyNumberFormat="1" applyFont="1" applyFill="1" applyBorder="1" applyAlignment="1" applyProtection="1">
      <alignment horizontal="right"/>
    </xf>
    <xf numFmtId="38" fontId="54" fillId="16" borderId="2" xfId="0" applyNumberFormat="1" applyFont="1" applyFill="1" applyBorder="1" applyAlignment="1" applyProtection="1">
      <alignment horizontal="right"/>
    </xf>
    <xf numFmtId="0" fontId="72" fillId="16" borderId="20" xfId="0" applyFont="1" applyFill="1" applyBorder="1" applyAlignment="1" applyProtection="1">
      <alignment horizontal="left" vertical="center" indent="1"/>
    </xf>
    <xf numFmtId="0" fontId="61" fillId="16" borderId="4" xfId="0" applyFont="1" applyFill="1" applyBorder="1" applyAlignment="1" applyProtection="1">
      <alignment horizontal="center"/>
    </xf>
    <xf numFmtId="38" fontId="54" fillId="16" borderId="28" xfId="0" applyNumberFormat="1" applyFont="1" applyFill="1" applyBorder="1" applyAlignment="1" applyProtection="1">
      <alignment horizontal="right"/>
    </xf>
    <xf numFmtId="38" fontId="54" fillId="16" borderId="18" xfId="0" applyNumberFormat="1" applyFont="1" applyFill="1" applyBorder="1" applyAlignment="1" applyProtection="1">
      <alignment horizontal="right"/>
    </xf>
    <xf numFmtId="38" fontId="54" fillId="16" borderId="0" xfId="0" applyNumberFormat="1" applyFont="1" applyFill="1" applyAlignment="1" applyProtection="1">
      <alignment horizontal="right"/>
    </xf>
    <xf numFmtId="38" fontId="54" fillId="16" borderId="127" xfId="0" applyNumberFormat="1" applyFont="1" applyFill="1" applyBorder="1" applyAlignment="1" applyProtection="1">
      <alignment horizontal="right" vertical="center"/>
      <protection locked="0"/>
    </xf>
    <xf numFmtId="38" fontId="54" fillId="16" borderId="2" xfId="0" applyNumberFormat="1" applyFont="1" applyFill="1" applyBorder="1" applyAlignment="1" applyProtection="1">
      <alignment horizontal="right" vertical="center"/>
      <protection locked="0"/>
    </xf>
    <xf numFmtId="38" fontId="54" fillId="16" borderId="27" xfId="0" applyNumberFormat="1" applyFont="1" applyFill="1" applyBorder="1" applyAlignment="1" applyProtection="1">
      <alignment horizontal="right" vertical="center"/>
      <protection locked="0"/>
    </xf>
    <xf numFmtId="38" fontId="54" fillId="16" borderId="127" xfId="0" applyNumberFormat="1" applyFont="1" applyFill="1" applyBorder="1" applyAlignment="1" applyProtection="1">
      <alignment horizontal="right" vertical="center"/>
    </xf>
    <xf numFmtId="38" fontId="54" fillId="16" borderId="2" xfId="0" applyNumberFormat="1" applyFont="1" applyFill="1" applyBorder="1" applyAlignment="1" applyProtection="1">
      <alignment horizontal="right" vertical="center"/>
    </xf>
    <xf numFmtId="0" fontId="63" fillId="16" borderId="27" xfId="0" applyFont="1" applyFill="1" applyBorder="1" applyAlignment="1">
      <alignment horizontal="left" vertical="center" wrapText="1" indent="1"/>
    </xf>
    <xf numFmtId="38" fontId="54" fillId="16" borderId="27" xfId="0" applyNumberFormat="1" applyFont="1" applyFill="1" applyBorder="1" applyAlignment="1" applyProtection="1">
      <alignment horizontal="right" vertical="center"/>
    </xf>
    <xf numFmtId="38" fontId="54" fillId="16" borderId="2" xfId="9" applyNumberFormat="1" applyFont="1" applyFill="1" applyBorder="1" applyAlignment="1" applyProtection="1">
      <alignment horizontal="right"/>
    </xf>
    <xf numFmtId="49" fontId="61" fillId="16" borderId="41"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vertical="center"/>
    </xf>
    <xf numFmtId="49" fontId="61" fillId="16" borderId="7"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horizontal="right" vertical="center"/>
    </xf>
    <xf numFmtId="49" fontId="61" fillId="16" borderId="7" xfId="0" applyNumberFormat="1" applyFont="1" applyFill="1" applyBorder="1" applyAlignment="1" applyProtection="1">
      <alignment horizontal="left" vertical="center" indent="2"/>
    </xf>
    <xf numFmtId="0" fontId="56" fillId="16" borderId="7" xfId="0" applyFont="1" applyFill="1" applyBorder="1" applyAlignment="1">
      <alignment horizontal="left" indent="2"/>
    </xf>
    <xf numFmtId="38" fontId="54" fillId="16" borderId="60" xfId="0" applyNumberFormat="1" applyFont="1" applyFill="1" applyBorder="1" applyAlignment="1" applyProtection="1"/>
    <xf numFmtId="38" fontId="54" fillId="16" borderId="41" xfId="0" applyNumberFormat="1" applyFont="1" applyFill="1" applyBorder="1" applyAlignment="1" applyProtection="1">
      <alignment horizontal="right"/>
    </xf>
    <xf numFmtId="0" fontId="63" fillId="16" borderId="54" xfId="0" applyFont="1" applyFill="1" applyBorder="1" applyAlignment="1" applyProtection="1">
      <alignment horizontal="left" vertical="center" indent="2"/>
    </xf>
    <xf numFmtId="0" fontId="63" fillId="16" borderId="41" xfId="0" applyFont="1" applyFill="1" applyBorder="1" applyAlignment="1" applyProtection="1">
      <alignment horizontal="center" vertical="center"/>
    </xf>
    <xf numFmtId="0" fontId="63" fillId="16" borderId="41" xfId="0" applyFont="1" applyFill="1" applyBorder="1" applyAlignment="1" applyProtection="1">
      <alignment horizontal="left" vertical="center" indent="1"/>
    </xf>
    <xf numFmtId="0" fontId="56" fillId="16" borderId="41" xfId="0" applyFont="1" applyFill="1" applyBorder="1" applyAlignment="1" applyProtection="1">
      <alignment vertical="center"/>
    </xf>
    <xf numFmtId="38" fontId="54" fillId="16" borderId="22" xfId="0" applyNumberFormat="1" applyFont="1" applyFill="1" applyBorder="1" applyAlignment="1" applyProtection="1">
      <alignment horizontal="right" vertical="center"/>
    </xf>
    <xf numFmtId="0" fontId="61" fillId="16" borderId="0" xfId="10" applyFont="1" applyFill="1" applyAlignment="1">
      <alignment vertical="center"/>
    </xf>
    <xf numFmtId="0" fontId="61" fillId="16" borderId="0" xfId="10" applyFont="1" applyFill="1" applyAlignment="1">
      <alignment horizontal="center" vertical="center"/>
    </xf>
    <xf numFmtId="0" fontId="61" fillId="16" borderId="0" xfId="10" applyFont="1" applyFill="1" applyAlignment="1">
      <alignment horizontal="right" vertical="center"/>
    </xf>
    <xf numFmtId="0" fontId="63" fillId="16" borderId="0" xfId="10" applyFont="1" applyFill="1" applyAlignment="1">
      <alignment horizontal="right" vertical="center" indent="3"/>
    </xf>
    <xf numFmtId="0" fontId="61" fillId="16" borderId="0" xfId="10" applyFont="1" applyFill="1" applyBorder="1" applyAlignment="1">
      <alignment horizontal="right" vertical="center"/>
    </xf>
    <xf numFmtId="3" fontId="63" fillId="16" borderId="57" xfId="10" applyNumberFormat="1" applyFont="1" applyFill="1" applyBorder="1" applyAlignment="1" applyProtection="1">
      <alignment vertical="center"/>
    </xf>
    <xf numFmtId="0" fontId="61" fillId="16" borderId="0" xfId="10" applyFont="1" applyFill="1" applyAlignment="1">
      <alignment horizontal="left" vertical="center"/>
    </xf>
    <xf numFmtId="0" fontId="63" fillId="16" borderId="0" xfId="10" applyFont="1" applyFill="1" applyAlignment="1">
      <alignment horizontal="right" vertical="center"/>
    </xf>
    <xf numFmtId="38" fontId="63" fillId="16" borderId="47" xfId="10" applyNumberFormat="1" applyFont="1" applyFill="1" applyBorder="1" applyAlignment="1">
      <alignment horizontal="right"/>
    </xf>
    <xf numFmtId="0" fontId="61" fillId="16" borderId="0" xfId="10" quotePrefix="1" applyFont="1" applyFill="1" applyAlignment="1">
      <alignment horizontal="left" vertical="center"/>
    </xf>
    <xf numFmtId="38" fontId="61" fillId="16" borderId="58" xfId="10" applyNumberFormat="1" applyFont="1" applyFill="1" applyBorder="1" applyAlignment="1" applyProtection="1">
      <alignment horizontal="right"/>
    </xf>
    <xf numFmtId="0" fontId="61" fillId="16" borderId="0" xfId="11" quotePrefix="1" applyFont="1" applyFill="1" applyAlignment="1">
      <alignment horizontal="left" vertical="center"/>
    </xf>
    <xf numFmtId="0" fontId="63" fillId="16" borderId="0" xfId="10" quotePrefix="1" applyFont="1" applyFill="1" applyAlignment="1">
      <alignment horizontal="left" vertical="center"/>
    </xf>
    <xf numFmtId="40" fontId="63" fillId="16" borderId="47" xfId="10" applyNumberFormat="1" applyFont="1" applyFill="1" applyBorder="1" applyAlignment="1" applyProtection="1">
      <alignment horizontal="right"/>
    </xf>
    <xf numFmtId="0" fontId="61" fillId="16" borderId="0" xfId="11" applyFont="1" applyFill="1" applyAlignment="1">
      <alignment horizontal="left" vertical="center"/>
    </xf>
    <xf numFmtId="0" fontId="61" fillId="16" borderId="0" xfId="11" applyFont="1" applyFill="1" applyAlignment="1">
      <alignment horizontal="right" vertical="center"/>
    </xf>
    <xf numFmtId="0" fontId="63" fillId="16" borderId="0" xfId="11" applyFont="1" applyFill="1" applyAlignment="1">
      <alignment horizontal="right" vertical="center"/>
    </xf>
    <xf numFmtId="0" fontId="61" fillId="16" borderId="0" xfId="11" applyFont="1" applyFill="1" applyBorder="1" applyAlignment="1">
      <alignment horizontal="right" vertical="center"/>
    </xf>
    <xf numFmtId="38" fontId="63" fillId="16" borderId="9" xfId="11" applyNumberFormat="1" applyFont="1" applyFill="1" applyBorder="1" applyAlignment="1" applyProtection="1">
      <alignment horizontal="right"/>
    </xf>
    <xf numFmtId="38" fontId="61" fillId="16" borderId="6" xfId="11" applyNumberFormat="1" applyFont="1" applyFill="1" applyBorder="1" applyAlignment="1" applyProtection="1">
      <alignment horizontal="right"/>
    </xf>
    <xf numFmtId="0" fontId="61" fillId="16" borderId="0" xfId="11" applyFont="1" applyFill="1" applyAlignment="1">
      <alignment vertical="center"/>
    </xf>
    <xf numFmtId="40" fontId="61" fillId="16" borderId="9" xfId="11" applyNumberFormat="1" applyFont="1" applyFill="1" applyBorder="1" applyAlignment="1" applyProtection="1">
      <alignment horizontal="right"/>
    </xf>
    <xf numFmtId="40" fontId="63" fillId="16" borderId="57" xfId="11" applyNumberFormat="1" applyFont="1" applyFill="1" applyBorder="1" applyAlignment="1" applyProtection="1">
      <alignment horizontal="right"/>
    </xf>
    <xf numFmtId="38" fontId="6" fillId="16" borderId="157" xfId="17" applyNumberFormat="1" applyFill="1" applyBorder="1" applyAlignment="1" applyProtection="1">
      <alignment vertical="top"/>
    </xf>
    <xf numFmtId="38" fontId="6" fillId="16" borderId="158" xfId="17" applyNumberFormat="1" applyFill="1" applyBorder="1" applyAlignment="1" applyProtection="1">
      <alignment horizontal="right" vertical="top"/>
    </xf>
    <xf numFmtId="38" fontId="6" fillId="16" borderId="158" xfId="17" applyNumberFormat="1" applyFill="1" applyBorder="1" applyAlignment="1" applyProtection="1">
      <alignment vertical="top"/>
    </xf>
    <xf numFmtId="0" fontId="6" fillId="16" borderId="158" xfId="17" applyFill="1" applyBorder="1" applyAlignment="1" applyProtection="1">
      <alignment horizontal="left" vertical="top" wrapText="1"/>
    </xf>
    <xf numFmtId="49" fontId="6" fillId="16" borderId="158" xfId="17" applyNumberFormat="1" applyFill="1" applyBorder="1" applyAlignment="1" applyProtection="1">
      <alignment vertical="top"/>
    </xf>
    <xf numFmtId="0" fontId="6" fillId="16" borderId="158" xfId="17" applyFill="1" applyBorder="1" applyAlignment="1" applyProtection="1">
      <alignment vertical="top"/>
    </xf>
    <xf numFmtId="0" fontId="54" fillId="16" borderId="126" xfId="0" applyFont="1" applyFill="1" applyBorder="1"/>
    <xf numFmtId="37" fontId="54" fillId="16" borderId="126" xfId="0" applyNumberFormat="1" applyFont="1" applyFill="1" applyBorder="1"/>
    <xf numFmtId="37" fontId="54" fillId="16" borderId="128" xfId="0" applyNumberFormat="1" applyFont="1" applyFill="1" applyBorder="1"/>
    <xf numFmtId="0" fontId="54" fillId="16" borderId="14" xfId="0" applyFont="1" applyFill="1" applyBorder="1"/>
    <xf numFmtId="0" fontId="54" fillId="16" borderId="21" xfId="0" applyFont="1" applyFill="1" applyBorder="1"/>
    <xf numFmtId="37" fontId="54" fillId="16" borderId="14" xfId="0" applyNumberFormat="1" applyFont="1" applyFill="1" applyBorder="1"/>
    <xf numFmtId="37" fontId="54" fillId="16" borderId="21" xfId="0" applyNumberFormat="1" applyFont="1" applyFill="1" applyBorder="1"/>
    <xf numFmtId="38" fontId="54" fillId="16" borderId="14" xfId="0" applyNumberFormat="1" applyFont="1" applyFill="1" applyBorder="1"/>
    <xf numFmtId="0" fontId="61" fillId="16" borderId="0" xfId="0" applyFont="1" applyFill="1" applyBorder="1" applyAlignment="1">
      <alignment horizontal="right"/>
    </xf>
    <xf numFmtId="38" fontId="54" fillId="16" borderId="18" xfId="0" applyNumberFormat="1" applyFont="1" applyFill="1" applyBorder="1"/>
    <xf numFmtId="0" fontId="54" fillId="16" borderId="13" xfId="0" applyFont="1" applyFill="1" applyBorder="1" applyAlignment="1">
      <alignment horizontal="right"/>
    </xf>
    <xf numFmtId="10" fontId="53" fillId="16" borderId="14" xfId="0" applyNumberFormat="1" applyFont="1" applyFill="1" applyBorder="1" applyAlignment="1">
      <alignment horizontal="left" indent="2"/>
    </xf>
    <xf numFmtId="38" fontId="54" fillId="16" borderId="2" xfId="3" applyNumberFormat="1" applyFont="1" applyFill="1" applyBorder="1" applyAlignment="1">
      <alignment vertical="center"/>
    </xf>
    <xf numFmtId="38" fontId="54" fillId="16" borderId="2" xfId="3" applyNumberFormat="1" applyFont="1" applyFill="1" applyBorder="1" applyAlignment="1" applyProtection="1">
      <alignment vertical="center"/>
    </xf>
    <xf numFmtId="38" fontId="54" fillId="16" borderId="27" xfId="3" applyNumberFormat="1" applyFont="1" applyFill="1" applyBorder="1" applyAlignment="1">
      <alignment vertical="center"/>
    </xf>
    <xf numFmtId="9" fontId="54" fillId="16" borderId="4" xfId="3" applyNumberFormat="1" applyFont="1" applyFill="1" applyBorder="1" applyAlignment="1">
      <alignment horizontal="center" vertical="center"/>
    </xf>
    <xf numFmtId="38" fontId="54" fillId="16" borderId="22" xfId="3" applyNumberFormat="1" applyFont="1" applyFill="1" applyBorder="1" applyAlignment="1">
      <alignment horizontal="right" vertical="center"/>
    </xf>
    <xf numFmtId="38" fontId="54" fillId="16" borderId="41"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4" fillId="16" borderId="127" xfId="0" applyNumberFormat="1" applyFont="1" applyFill="1" applyBorder="1" applyAlignment="1" applyProtection="1">
      <alignment horizontal="right"/>
    </xf>
    <xf numFmtId="0" fontId="63" fillId="15" borderId="17" xfId="0" applyFont="1" applyFill="1" applyBorder="1" applyAlignment="1">
      <alignment horizontal="left" vertical="center" wrapText="1"/>
    </xf>
    <xf numFmtId="49" fontId="63" fillId="15" borderId="26" xfId="0" applyNumberFormat="1" applyFont="1" applyFill="1" applyBorder="1" applyAlignment="1">
      <alignment horizontal="center" vertical="center"/>
    </xf>
    <xf numFmtId="38" fontId="54" fillId="15" borderId="26" xfId="0" applyNumberFormat="1" applyFont="1" applyFill="1" applyBorder="1" applyAlignment="1">
      <alignment horizontal="right"/>
    </xf>
    <xf numFmtId="38" fontId="54" fillId="15"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6" borderId="13" xfId="0" applyFont="1" applyFill="1" applyBorder="1" applyAlignment="1">
      <alignment horizontal="left" vertical="center" wrapText="1"/>
    </xf>
    <xf numFmtId="49" fontId="63" fillId="16"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6"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7"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5" borderId="3" xfId="0" applyNumberFormat="1" applyFont="1" applyFill="1" applyBorder="1" applyAlignment="1" applyProtection="1">
      <alignment horizontal="right"/>
    </xf>
    <xf numFmtId="38" fontId="54" fillId="15"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7"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5"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2" borderId="46" xfId="0" applyFont="1" applyFill="1" applyBorder="1" applyAlignment="1" applyProtection="1">
      <alignment horizontal="left" vertical="center"/>
    </xf>
    <xf numFmtId="0" fontId="63" fillId="12" borderId="6" xfId="0" applyFont="1" applyFill="1" applyBorder="1" applyAlignment="1" applyProtection="1">
      <alignment horizontal="left" vertical="center"/>
    </xf>
    <xf numFmtId="0" fontId="61" fillId="12" borderId="7" xfId="0" applyFont="1" applyFill="1" applyBorder="1" applyAlignment="1" applyProtection="1">
      <alignment horizontal="left" vertical="center" indent="2"/>
    </xf>
    <xf numFmtId="0" fontId="64" fillId="12"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8" xfId="18" applyFont="1" applyFill="1" applyBorder="1" applyAlignment="1">
      <alignment horizontal="center" vertical="center" wrapText="1"/>
    </xf>
    <xf numFmtId="0" fontId="103" fillId="23" borderId="163" xfId="18" applyFont="1" applyFill="1" applyBorder="1" applyAlignment="1">
      <alignment horizontal="center" vertical="center" wrapText="1"/>
    </xf>
    <xf numFmtId="0" fontId="103" fillId="17" borderId="139" xfId="18" applyFont="1" applyFill="1" applyBorder="1" applyAlignment="1">
      <alignment horizontal="center" vertical="center" wrapText="1"/>
    </xf>
    <xf numFmtId="49" fontId="103" fillId="17" borderId="107" xfId="18" applyNumberFormat="1" applyFont="1" applyFill="1" applyBorder="1" applyAlignment="1">
      <alignment horizontal="center" vertical="center" wrapText="1"/>
    </xf>
    <xf numFmtId="0" fontId="48" fillId="17" borderId="108" xfId="18" applyFont="1" applyFill="1" applyBorder="1" applyAlignment="1">
      <alignment horizontal="center"/>
    </xf>
    <xf numFmtId="0" fontId="101" fillId="0" borderId="139"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2" borderId="39" xfId="0" applyFont="1" applyFill="1" applyBorder="1"/>
    <xf numFmtId="0" fontId="54" fillId="12" borderId="23" xfId="0" applyFont="1" applyFill="1" applyBorder="1" applyAlignment="1">
      <alignment horizontal="left" vertical="top"/>
    </xf>
    <xf numFmtId="0" fontId="54" fillId="12" borderId="23" xfId="0" applyFont="1" applyFill="1" applyBorder="1" applyAlignment="1">
      <alignment vertical="top" wrapText="1"/>
    </xf>
    <xf numFmtId="0" fontId="63" fillId="12"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6" borderId="9" xfId="11" applyNumberFormat="1" applyFont="1" applyFill="1" applyBorder="1" applyAlignment="1" applyProtection="1">
      <alignment horizontal="right"/>
    </xf>
    <xf numFmtId="3" fontId="61" fillId="16" borderId="9" xfId="10" applyNumberFormat="1" applyFont="1" applyFill="1" applyBorder="1" applyAlignment="1" applyProtection="1">
      <alignment vertical="center"/>
    </xf>
    <xf numFmtId="3" fontId="61" fillId="16" borderId="6" xfId="10" applyNumberFormat="1" applyFont="1" applyFill="1" applyBorder="1" applyAlignment="1" applyProtection="1">
      <alignment vertical="center"/>
    </xf>
    <xf numFmtId="38" fontId="61" fillId="16" borderId="9" xfId="10" applyNumberFormat="1" applyFont="1" applyFill="1" applyBorder="1" applyAlignment="1" applyProtection="1">
      <alignment horizontal="right" vertical="center"/>
    </xf>
    <xf numFmtId="38" fontId="61" fillId="16" borderId="0" xfId="10" applyNumberFormat="1" applyFont="1" applyFill="1" applyAlignment="1">
      <alignment vertical="top"/>
    </xf>
    <xf numFmtId="38" fontId="61" fillId="16" borderId="6" xfId="10" applyNumberFormat="1" applyFont="1" applyFill="1" applyBorder="1" applyAlignment="1" applyProtection="1">
      <alignment horizontal="right" vertical="center"/>
    </xf>
    <xf numFmtId="38" fontId="61" fillId="16" borderId="6" xfId="10" applyNumberFormat="1" applyFont="1" applyFill="1" applyBorder="1" applyAlignment="1" applyProtection="1">
      <alignment horizontal="right"/>
    </xf>
    <xf numFmtId="38" fontId="61" fillId="16" borderId="0" xfId="10" applyNumberFormat="1" applyFont="1" applyFill="1" applyAlignment="1">
      <alignment horizontal="right"/>
    </xf>
    <xf numFmtId="38" fontId="61" fillId="16" borderId="9" xfId="10" applyNumberFormat="1" applyFont="1" applyFill="1" applyBorder="1" applyAlignment="1" applyProtection="1">
      <alignment horizontal="right"/>
    </xf>
    <xf numFmtId="38" fontId="61" fillId="16" borderId="6" xfId="10" applyNumberFormat="1" applyFont="1" applyFill="1" applyBorder="1" applyAlignment="1">
      <alignment horizontal="right"/>
    </xf>
    <xf numFmtId="38" fontId="61" fillId="16"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7" borderId="21" xfId="0" applyFont="1" applyFill="1" applyBorder="1" applyAlignment="1" applyProtection="1">
      <alignment vertical="center"/>
    </xf>
    <xf numFmtId="0" fontId="63" fillId="17" borderId="2" xfId="0" applyFont="1" applyFill="1" applyBorder="1" applyAlignment="1" applyProtection="1">
      <alignment vertical="center"/>
    </xf>
    <xf numFmtId="0" fontId="61" fillId="0" borderId="21" xfId="0" applyFont="1" applyBorder="1" applyAlignment="1" applyProtection="1">
      <alignment horizontal="left" vertical="center" indent="1"/>
    </xf>
    <xf numFmtId="0" fontId="123" fillId="0" borderId="21" xfId="0" applyFont="1" applyBorder="1" applyAlignment="1" applyProtection="1">
      <alignment horizontal="left" vertical="center" indent="1"/>
    </xf>
    <xf numFmtId="38" fontId="2" fillId="16" borderId="158" xfId="17" applyNumberFormat="1" applyFont="1" applyFill="1" applyBorder="1" applyAlignment="1" applyProtection="1">
      <alignment horizontal="right" vertical="top"/>
    </xf>
    <xf numFmtId="49" fontId="2" fillId="0" borderId="157" xfId="17" applyNumberFormat="1" applyFont="1" applyBorder="1" applyAlignment="1" applyProtection="1">
      <alignment horizontal="center" vertical="top"/>
      <protection locked="0"/>
    </xf>
    <xf numFmtId="49" fontId="2" fillId="0" borderId="157" xfId="17" applyNumberFormat="1" applyFont="1" applyBorder="1" applyAlignment="1" applyProtection="1">
      <alignment horizontal="center" vertical="center"/>
      <protection locked="0"/>
    </xf>
    <xf numFmtId="0" fontId="56" fillId="0" borderId="77" xfId="3" applyNumberFormat="1" applyFont="1" applyBorder="1" applyAlignment="1" applyProtection="1">
      <alignment horizontal="center"/>
      <protection locked="0"/>
    </xf>
    <xf numFmtId="38" fontId="126" fillId="16" borderId="157" xfId="17" applyNumberFormat="1" applyFont="1" applyFill="1" applyBorder="1" applyAlignment="1" applyProtection="1">
      <alignment horizontal="right" vertical="top"/>
    </xf>
    <xf numFmtId="0" fontId="125" fillId="0" borderId="149" xfId="17" applyFont="1" applyFill="1" applyBorder="1" applyAlignment="1">
      <alignment vertical="center"/>
    </xf>
    <xf numFmtId="0" fontId="125" fillId="0" borderId="76" xfId="17" applyFont="1" applyFill="1" applyBorder="1" applyAlignment="1">
      <alignment vertical="center"/>
    </xf>
    <xf numFmtId="0" fontId="125" fillId="0" borderId="150" xfId="17" applyFont="1" applyFill="1" applyBorder="1" applyAlignment="1">
      <alignment vertical="center"/>
    </xf>
    <xf numFmtId="181" fontId="56" fillId="0" borderId="0" xfId="19" applyNumberFormat="1" applyFont="1"/>
    <xf numFmtId="164" fontId="74" fillId="0" borderId="0" xfId="0" applyNumberFormat="1" applyFont="1"/>
    <xf numFmtId="182" fontId="56" fillId="0" borderId="0" xfId="1" applyNumberFormat="1" applyFont="1"/>
    <xf numFmtId="181" fontId="56" fillId="0" borderId="165" xfId="0" applyNumberFormat="1" applyFont="1" applyBorder="1"/>
    <xf numFmtId="0" fontId="1" fillId="0" borderId="157" xfId="17" applyFont="1" applyBorder="1" applyAlignment="1" applyProtection="1">
      <alignment horizontal="left" vertical="top" wrapText="1"/>
      <protection locked="0"/>
    </xf>
    <xf numFmtId="49" fontId="1" fillId="0" borderId="157" xfId="17" applyNumberFormat="1" applyFont="1" applyBorder="1" applyAlignment="1" applyProtection="1">
      <alignment horizontal="center" vertical="top"/>
      <protection locked="0"/>
    </xf>
    <xf numFmtId="0" fontId="1" fillId="0" borderId="157" xfId="17" applyFont="1" applyBorder="1" applyAlignment="1" applyProtection="1">
      <alignment vertical="top"/>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8" borderId="0" xfId="0" applyFont="1" applyFill="1" applyBorder="1" applyAlignment="1" applyProtection="1">
      <alignment horizontal="center" vertical="center"/>
    </xf>
    <xf numFmtId="0" fontId="53" fillId="18"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6" borderId="36" xfId="0" applyNumberFormat="1" applyFont="1" applyFill="1" applyBorder="1" applyAlignment="1" applyProtection="1">
      <alignment horizontal="left" vertical="center" wrapText="1" indent="2"/>
    </xf>
    <xf numFmtId="164" fontId="63" fillId="16" borderId="30" xfId="0" applyNumberFormat="1" applyFont="1" applyFill="1" applyBorder="1" applyAlignment="1" applyProtection="1">
      <alignment horizontal="left" vertical="center" wrapText="1" indent="2"/>
    </xf>
    <xf numFmtId="0" fontId="63" fillId="16" borderId="52" xfId="0" applyFont="1" applyFill="1" applyBorder="1" applyAlignment="1" applyProtection="1">
      <alignment horizontal="left" vertical="center" indent="2"/>
    </xf>
    <xf numFmtId="0" fontId="63" fillId="16" borderId="53" xfId="0" applyFont="1" applyFill="1" applyBorder="1" applyAlignment="1" applyProtection="1">
      <alignment horizontal="left" vertical="center" indent="2"/>
    </xf>
    <xf numFmtId="0" fontId="63" fillId="16" borderId="35" xfId="0" applyFont="1" applyFill="1" applyBorder="1" applyAlignment="1" applyProtection="1">
      <alignment horizontal="left" vertical="center" indent="2"/>
    </xf>
    <xf numFmtId="0" fontId="63" fillId="16" borderId="30" xfId="0" applyFont="1" applyFill="1" applyBorder="1" applyAlignment="1" applyProtection="1">
      <alignment horizontal="left" vertical="center" indent="2"/>
    </xf>
    <xf numFmtId="0" fontId="61" fillId="16" borderId="52" xfId="0" applyFont="1" applyFill="1" applyBorder="1" applyAlignment="1" applyProtection="1">
      <alignment horizontal="left" vertical="center" wrapText="1" indent="2"/>
    </xf>
    <xf numFmtId="0" fontId="56" fillId="16"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6" borderId="34" xfId="0" applyFont="1" applyFill="1" applyBorder="1" applyAlignment="1" applyProtection="1">
      <alignment horizontal="left" vertical="center" indent="1"/>
    </xf>
    <xf numFmtId="0" fontId="63" fillId="16"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4" borderId="13" xfId="0" applyNumberFormat="1" applyFont="1" applyFill="1" applyBorder="1" applyAlignment="1" applyProtection="1">
      <alignment horizontal="left" vertical="center" wrapText="1" indent="1"/>
    </xf>
    <xf numFmtId="164" fontId="63" fillId="14" borderId="14" xfId="0" applyNumberFormat="1" applyFont="1" applyFill="1" applyBorder="1" applyAlignment="1" applyProtection="1">
      <alignment horizontal="left" vertical="center" wrapText="1" indent="1"/>
    </xf>
    <xf numFmtId="164" fontId="63" fillId="17" borderId="13" xfId="0" applyNumberFormat="1" applyFont="1" applyFill="1" applyBorder="1" applyAlignment="1" applyProtection="1">
      <alignment horizontal="left" vertical="center" wrapText="1"/>
    </xf>
    <xf numFmtId="164" fontId="63" fillId="17"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6" borderId="13" xfId="0" applyNumberFormat="1" applyFont="1" applyFill="1" applyBorder="1" applyAlignment="1" applyProtection="1">
      <alignment horizontal="left" vertical="center" wrapText="1" indent="2"/>
    </xf>
    <xf numFmtId="164" fontId="63" fillId="16"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6" borderId="24" xfId="0" applyFont="1" applyFill="1" applyBorder="1" applyAlignment="1" applyProtection="1">
      <alignment horizontal="left" vertical="center" indent="1"/>
    </xf>
    <xf numFmtId="0" fontId="56" fillId="16" borderId="51" xfId="0" applyFont="1" applyFill="1" applyBorder="1" applyAlignment="1">
      <alignment horizontal="left" vertical="center" indent="1"/>
    </xf>
    <xf numFmtId="0" fontId="63" fillId="17" borderId="21" xfId="0" applyFont="1" applyFill="1" applyBorder="1" applyAlignment="1">
      <alignment horizontal="left" vertical="center" wrapText="1"/>
    </xf>
    <xf numFmtId="0" fontId="56" fillId="17" borderId="14" xfId="0" applyFont="1" applyFill="1" applyBorder="1" applyAlignment="1">
      <alignment horizontal="left" vertical="center" wrapText="1"/>
    </xf>
    <xf numFmtId="0" fontId="63" fillId="17" borderId="34" xfId="0" applyFont="1" applyFill="1" applyBorder="1" applyAlignment="1">
      <alignment vertical="top" wrapText="1"/>
    </xf>
    <xf numFmtId="0" fontId="56" fillId="17" borderId="31" xfId="0" applyFont="1" applyFill="1" applyBorder="1" applyAlignment="1">
      <alignment vertical="top" wrapText="1"/>
    </xf>
    <xf numFmtId="0" fontId="63" fillId="16" borderId="35" xfId="0" applyFont="1" applyFill="1" applyBorder="1" applyAlignment="1" applyProtection="1">
      <alignment horizontal="left" vertical="top" wrapText="1" indent="1"/>
    </xf>
    <xf numFmtId="0" fontId="56"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top" indent="1"/>
    </xf>
    <xf numFmtId="0" fontId="56" fillId="16" borderId="30" xfId="0" applyFont="1" applyFill="1" applyBorder="1" applyAlignment="1">
      <alignment horizontal="left" vertical="top" indent="1"/>
    </xf>
    <xf numFmtId="0" fontId="63" fillId="17" borderId="34" xfId="0" applyFont="1" applyFill="1" applyBorder="1" applyAlignment="1">
      <alignment vertical="center" wrapText="1"/>
    </xf>
    <xf numFmtId="0" fontId="56" fillId="17"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7" xfId="0" applyFont="1" applyFill="1" applyBorder="1" applyAlignment="1">
      <alignment horizontal="center" vertical="center"/>
    </xf>
    <xf numFmtId="0" fontId="56" fillId="23" borderId="131" xfId="0" applyFont="1" applyFill="1" applyBorder="1" applyAlignment="1">
      <alignment horizontal="center" vertical="center"/>
    </xf>
    <xf numFmtId="0" fontId="64" fillId="23" borderId="20" xfId="0" applyFont="1" applyFill="1" applyBorder="1" applyAlignment="1">
      <alignment horizontal="center" vertical="center"/>
    </xf>
    <xf numFmtId="3" fontId="63" fillId="16" borderId="34" xfId="0" applyNumberFormat="1" applyFont="1" applyFill="1" applyBorder="1" applyAlignment="1">
      <alignment horizontal="left" vertical="top" wrapText="1" indent="1"/>
    </xf>
    <xf numFmtId="0" fontId="56" fillId="16" borderId="31" xfId="0" applyFont="1" applyFill="1" applyBorder="1" applyAlignment="1">
      <alignment horizontal="left" vertical="top" wrapText="1"/>
    </xf>
    <xf numFmtId="3" fontId="63" fillId="16" borderId="23" xfId="0" applyNumberFormat="1" applyFont="1" applyFill="1" applyBorder="1" applyAlignment="1">
      <alignment horizontal="left" vertical="top" wrapText="1" indent="1"/>
    </xf>
    <xf numFmtId="0" fontId="56" fillId="16" borderId="38" xfId="0" applyFont="1" applyFill="1" applyBorder="1" applyAlignment="1">
      <alignment horizontal="left" vertical="top" wrapText="1" indent="1"/>
    </xf>
    <xf numFmtId="3" fontId="63" fillId="16" borderId="24" xfId="0" applyNumberFormat="1" applyFont="1" applyFill="1" applyBorder="1" applyAlignment="1">
      <alignment horizontal="left" vertical="top" wrapText="1" indent="1"/>
    </xf>
    <xf numFmtId="0" fontId="61" fillId="16" borderId="51" xfId="0" applyFont="1" applyFill="1" applyBorder="1" applyAlignment="1">
      <alignment horizontal="left" vertical="top" wrapText="1" indent="1"/>
    </xf>
    <xf numFmtId="3" fontId="63" fillId="16" borderId="35" xfId="0" applyNumberFormat="1" applyFont="1" applyFill="1" applyBorder="1" applyAlignment="1">
      <alignment horizontal="left" vertical="top" wrapText="1" indent="1"/>
    </xf>
    <xf numFmtId="3" fontId="63" fillId="16" borderId="35" xfId="0" applyNumberFormat="1" applyFont="1" applyFill="1" applyBorder="1" applyAlignment="1">
      <alignment horizontal="left" vertical="top" indent="1"/>
    </xf>
    <xf numFmtId="0" fontId="61" fillId="16"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6" borderId="49" xfId="0" applyNumberFormat="1" applyFont="1" applyFill="1" applyBorder="1" applyAlignment="1">
      <alignment horizontal="left" vertical="top" indent="1"/>
    </xf>
    <xf numFmtId="3" fontId="63" fillId="16" borderId="31" xfId="0" applyNumberFormat="1" applyFont="1" applyFill="1" applyBorder="1" applyAlignment="1">
      <alignment horizontal="left" vertical="top" indent="1"/>
    </xf>
    <xf numFmtId="3" fontId="63" fillId="15" borderId="10" xfId="0" applyNumberFormat="1" applyFont="1" applyFill="1" applyBorder="1" applyAlignment="1" applyProtection="1">
      <alignment horizontal="center" vertical="center" wrapText="1"/>
    </xf>
    <xf numFmtId="3" fontId="63" fillId="15" borderId="126"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6" borderId="13" xfId="0" applyNumberFormat="1" applyFont="1" applyFill="1" applyBorder="1" applyAlignment="1" applyProtection="1">
      <alignment horizontal="left" vertical="center" wrapText="1" indent="1"/>
    </xf>
    <xf numFmtId="0" fontId="56" fillId="16" borderId="14" xfId="0" applyFont="1" applyFill="1" applyBorder="1" applyAlignment="1">
      <alignment horizontal="left" vertical="center" wrapText="1" indent="1"/>
    </xf>
    <xf numFmtId="49" fontId="64" fillId="12" borderId="13" xfId="0" applyNumberFormat="1" applyFont="1" applyFill="1" applyBorder="1" applyAlignment="1" applyProtection="1">
      <alignment horizontal="center" vertical="center"/>
    </xf>
    <xf numFmtId="0" fontId="56" fillId="12"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6" borderId="13" xfId="0" applyNumberFormat="1" applyFont="1" applyFill="1" applyBorder="1" applyAlignment="1" applyProtection="1">
      <alignment horizontal="left" vertical="center" indent="1"/>
    </xf>
    <xf numFmtId="0" fontId="56" fillId="16"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2"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6" borderId="54" xfId="0" applyFont="1" applyFill="1" applyBorder="1" applyAlignment="1" applyProtection="1">
      <alignment horizontal="left" vertical="center" indent="1"/>
    </xf>
    <xf numFmtId="0" fontId="63" fillId="16" borderId="57" xfId="0" applyFont="1" applyFill="1" applyBorder="1" applyAlignment="1" applyProtection="1">
      <alignment horizontal="left" vertical="center" indent="1"/>
    </xf>
    <xf numFmtId="0" fontId="63" fillId="16" borderId="61" xfId="0" applyFont="1" applyFill="1" applyBorder="1" applyAlignment="1" applyProtection="1">
      <alignment horizontal="left" vertical="center" indent="1"/>
    </xf>
    <xf numFmtId="0" fontId="63" fillId="16" borderId="147" xfId="0" applyFont="1" applyFill="1" applyBorder="1" applyAlignment="1" applyProtection="1">
      <alignment horizontal="left" vertical="center" indent="1"/>
    </xf>
    <xf numFmtId="0" fontId="63" fillId="16"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64" fillId="12" borderId="46" xfId="0" applyFont="1" applyFill="1" applyBorder="1" applyAlignment="1" applyProtection="1">
      <alignment horizontal="left" vertical="center" wrapText="1"/>
    </xf>
    <xf numFmtId="0" fontId="56" fillId="12" borderId="6" xfId="0" applyFont="1" applyFill="1" applyBorder="1" applyAlignment="1">
      <alignment horizontal="left" wrapText="1"/>
    </xf>
    <xf numFmtId="0" fontId="56" fillId="12"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6" xfId="0" applyFont="1" applyFill="1" applyBorder="1" applyAlignment="1" applyProtection="1">
      <alignment horizontal="left" vertical="center" indent="1"/>
    </xf>
    <xf numFmtId="0" fontId="64" fillId="23" borderId="147" xfId="0" applyFont="1" applyFill="1" applyBorder="1" applyAlignment="1" applyProtection="1">
      <alignment horizontal="left" vertical="center" indent="1"/>
    </xf>
    <xf numFmtId="0" fontId="64" fillId="23"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3" borderId="92"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93" xfId="0" applyFont="1" applyFill="1" applyBorder="1" applyAlignment="1">
      <alignment horizontal="center" vertical="center" wrapText="1"/>
    </xf>
    <xf numFmtId="0" fontId="129" fillId="23" borderId="94"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3" borderId="140" xfId="17" applyFont="1" applyFill="1" applyBorder="1" applyAlignment="1">
      <alignment horizontal="center" vertical="center"/>
    </xf>
    <xf numFmtId="0" fontId="125" fillId="23" borderId="141" xfId="17" applyFont="1" applyFill="1" applyBorder="1" applyAlignment="1">
      <alignment horizontal="center" vertical="center"/>
    </xf>
    <xf numFmtId="0" fontId="125" fillId="23" borderId="142" xfId="17" applyFont="1" applyFill="1" applyBorder="1" applyAlignment="1">
      <alignment horizontal="center" vertical="center"/>
    </xf>
    <xf numFmtId="0" fontId="125" fillId="23" borderId="98" xfId="17" applyFont="1" applyFill="1" applyBorder="1" applyAlignment="1">
      <alignment horizontal="center" vertical="center"/>
    </xf>
    <xf numFmtId="0" fontId="125" fillId="23" borderId="78" xfId="17" applyFont="1" applyFill="1" applyBorder="1" applyAlignment="1">
      <alignment horizontal="center" vertical="center"/>
    </xf>
    <xf numFmtId="0" fontId="125" fillId="23"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19" borderId="13" xfId="0" applyFont="1" applyFill="1" applyBorder="1" applyAlignment="1" applyProtection="1">
      <alignment horizontal="left" vertical="center" wrapText="1" indent="1"/>
    </xf>
    <xf numFmtId="0" fontId="56" fillId="19" borderId="21" xfId="0" applyFont="1" applyFill="1" applyBorder="1" applyAlignment="1">
      <alignment horizontal="left" vertical="center" wrapText="1" indent="1"/>
    </xf>
    <xf numFmtId="0" fontId="56" fillId="19"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2" borderId="13" xfId="3" applyFont="1" applyFill="1" applyBorder="1" applyAlignment="1">
      <alignment horizontal="center" vertical="center" wrapText="1"/>
    </xf>
    <xf numFmtId="0" fontId="64" fillId="12" borderId="21" xfId="3" applyFont="1" applyFill="1" applyBorder="1" applyAlignment="1">
      <alignment horizontal="center" vertical="center" wrapText="1"/>
    </xf>
    <xf numFmtId="0" fontId="64" fillId="12" borderId="14" xfId="3" applyFont="1" applyFill="1" applyBorder="1" applyAlignment="1">
      <alignment horizontal="center" vertical="center" wrapText="1"/>
    </xf>
    <xf numFmtId="0" fontId="56" fillId="0" borderId="0" xfId="3" applyFont="1" applyBorder="1" applyAlignment="1">
      <alignment wrapText="1"/>
    </xf>
    <xf numFmtId="0" fontId="108" fillId="0" borderId="112"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3"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2" borderId="125" xfId="0" applyFont="1" applyFill="1" applyBorder="1" applyAlignment="1">
      <alignment horizontal="center" vertical="center"/>
    </xf>
    <xf numFmtId="0" fontId="111" fillId="12" borderId="128" xfId="0" applyFont="1" applyFill="1" applyBorder="1" applyAlignment="1">
      <alignment horizontal="center" vertical="center"/>
    </xf>
    <xf numFmtId="0" fontId="111" fillId="12" borderId="153" xfId="0" applyFont="1" applyFill="1" applyBorder="1" applyAlignment="1">
      <alignment horizontal="center" vertical="center"/>
    </xf>
    <xf numFmtId="164" fontId="111" fillId="12" borderId="17" xfId="0" applyNumberFormat="1" applyFont="1" applyFill="1" applyBorder="1" applyAlignment="1">
      <alignment horizontal="center" vertical="center"/>
    </xf>
    <xf numFmtId="164" fontId="111" fillId="12" borderId="0" xfId="0" applyNumberFormat="1" applyFont="1" applyFill="1" applyBorder="1" applyAlignment="1">
      <alignment horizontal="center" vertical="center"/>
    </xf>
    <xf numFmtId="164" fontId="111" fillId="12" borderId="63" xfId="0" applyNumberFormat="1" applyFont="1" applyFill="1" applyBorder="1" applyAlignment="1">
      <alignment horizontal="center" vertical="center"/>
    </xf>
    <xf numFmtId="164" fontId="60" fillId="12" borderId="125" xfId="0" applyNumberFormat="1" applyFont="1" applyFill="1" applyBorder="1" applyAlignment="1">
      <alignment horizontal="center" vertical="top"/>
    </xf>
    <xf numFmtId="164" fontId="112" fillId="12" borderId="128" xfId="0" applyNumberFormat="1" applyFont="1" applyFill="1" applyBorder="1" applyAlignment="1">
      <alignment horizontal="center" vertical="top"/>
    </xf>
    <xf numFmtId="164" fontId="112" fillId="12"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53" fillId="0" borderId="0" xfId="3" applyNumberFormat="1" applyFont="1" applyAlignment="1" applyProtection="1">
      <alignment horizontal="center" vertical="center" wrapText="1"/>
    </xf>
  </cellXfs>
  <cellStyles count="20">
    <cellStyle name="Comma" xfId="1" builtinId="3"/>
    <cellStyle name="Currency" xfId="19" builtinId="4"/>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5</xdr:row>
          <xdr:rowOff>104775</xdr:rowOff>
        </xdr:from>
        <xdr:to>
          <xdr:col>1</xdr:col>
          <xdr:colOff>1152525</xdr:colOff>
          <xdr:row>9</xdr:row>
          <xdr:rowOff>142875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Normal="10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22" t="s">
        <v>405</v>
      </c>
      <c r="J1" s="2023"/>
      <c r="K1" s="2023"/>
      <c r="L1" s="2023"/>
      <c r="M1" s="2023"/>
      <c r="N1" s="2023"/>
      <c r="O1" s="2023"/>
      <c r="P1" s="2023"/>
      <c r="Q1" s="2023"/>
      <c r="R1" s="2023"/>
      <c r="S1" s="2023"/>
    </row>
    <row r="2" spans="1:28" ht="12" customHeight="1" x14ac:dyDescent="0.2">
      <c r="A2" s="47" t="s">
        <v>1991</v>
      </c>
      <c r="D2" s="48"/>
      <c r="I2" s="2024" t="s">
        <v>979</v>
      </c>
      <c r="J2" s="2023"/>
      <c r="K2" s="2023"/>
      <c r="L2" s="2023"/>
      <c r="M2" s="2023"/>
      <c r="N2" s="2023"/>
      <c r="O2" s="2023"/>
      <c r="P2" s="2023"/>
      <c r="Q2" s="2023"/>
      <c r="R2" s="2023"/>
      <c r="S2" s="2023"/>
    </row>
    <row r="3" spans="1:28" ht="12" customHeight="1" x14ac:dyDescent="0.2">
      <c r="A3" s="155" t="s">
        <v>1943</v>
      </c>
      <c r="B3" s="156"/>
      <c r="C3" s="156"/>
      <c r="D3" s="157"/>
      <c r="I3" s="2024" t="s">
        <v>52</v>
      </c>
      <c r="J3" s="2023"/>
      <c r="K3" s="2023"/>
      <c r="L3" s="2023"/>
      <c r="M3" s="2023"/>
      <c r="N3" s="2023"/>
      <c r="O3" s="2023"/>
      <c r="P3" s="2023"/>
      <c r="Q3" s="2023"/>
      <c r="R3" s="2023"/>
      <c r="S3" s="2023"/>
    </row>
    <row r="4" spans="1:28" ht="12" customHeight="1" x14ac:dyDescent="0.2">
      <c r="A4" s="37"/>
      <c r="I4" s="2024" t="s">
        <v>524</v>
      </c>
      <c r="J4" s="2023"/>
      <c r="K4" s="2023"/>
      <c r="L4" s="2023"/>
      <c r="M4" s="2023"/>
      <c r="N4" s="2023"/>
      <c r="O4" s="2023"/>
      <c r="P4" s="2023"/>
      <c r="Q4" s="2023"/>
      <c r="R4" s="2023"/>
      <c r="S4" s="2023"/>
    </row>
    <row r="5" spans="1:28" ht="14.1" customHeight="1" x14ac:dyDescent="0.2">
      <c r="B5" s="104" t="s">
        <v>2065</v>
      </c>
      <c r="C5" s="26" t="s">
        <v>910</v>
      </c>
      <c r="D5" s="84"/>
      <c r="E5" s="84"/>
      <c r="H5" s="38"/>
      <c r="I5" s="2031" t="s">
        <v>680</v>
      </c>
      <c r="J5" s="1976"/>
      <c r="K5" s="1976"/>
      <c r="L5" s="1976"/>
      <c r="M5" s="1976"/>
      <c r="N5" s="1976"/>
      <c r="O5" s="1976"/>
      <c r="P5" s="1976"/>
      <c r="Q5" s="1976"/>
      <c r="R5" s="1976"/>
      <c r="S5" s="1976"/>
    </row>
    <row r="6" spans="1:28" ht="14.1" customHeight="1" x14ac:dyDescent="0.2">
      <c r="B6" s="104"/>
      <c r="C6" s="26" t="s">
        <v>911</v>
      </c>
      <c r="D6" s="84"/>
      <c r="E6" s="84"/>
      <c r="I6" s="2030" t="s">
        <v>883</v>
      </c>
      <c r="J6" s="1976"/>
      <c r="K6" s="1976"/>
      <c r="L6" s="1976"/>
      <c r="M6" s="1976"/>
      <c r="N6" s="1976"/>
      <c r="O6" s="1976"/>
      <c r="P6" s="1976"/>
      <c r="Q6" s="1976"/>
      <c r="R6" s="1976"/>
      <c r="S6" s="1976"/>
    </row>
    <row r="7" spans="1:28" ht="12.2" customHeight="1" x14ac:dyDescent="0.2">
      <c r="I7" s="2025">
        <v>43646</v>
      </c>
      <c r="J7" s="2026"/>
      <c r="K7" s="2026"/>
      <c r="L7" s="2026"/>
      <c r="M7" s="2026"/>
      <c r="N7" s="2026"/>
      <c r="O7" s="2026"/>
      <c r="P7" s="2026"/>
      <c r="Q7" s="2026"/>
      <c r="R7" s="2026"/>
      <c r="S7" s="202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7" t="s">
        <v>674</v>
      </c>
      <c r="J9" s="2028"/>
      <c r="K9" s="2028"/>
      <c r="L9" s="2028"/>
      <c r="M9" s="2028"/>
      <c r="N9" s="2028"/>
      <c r="O9" s="2028"/>
      <c r="P9" s="2028"/>
      <c r="Q9" s="2028"/>
      <c r="R9" s="2028"/>
      <c r="S9" s="2029"/>
      <c r="T9" s="1972" t="s">
        <v>533</v>
      </c>
      <c r="U9" s="1973"/>
      <c r="V9" s="1973"/>
      <c r="W9" s="1973"/>
      <c r="X9" s="1973"/>
      <c r="Y9" s="1973"/>
      <c r="Z9" s="1973"/>
      <c r="AA9" s="1974"/>
    </row>
    <row r="10" spans="1:28" ht="13.5" customHeight="1" x14ac:dyDescent="0.2">
      <c r="A10" s="1981" t="s">
        <v>675</v>
      </c>
      <c r="B10" s="1982"/>
      <c r="C10" s="1982"/>
      <c r="D10" s="1982"/>
      <c r="E10" s="1982"/>
      <c r="F10" s="1982"/>
      <c r="G10" s="1982"/>
      <c r="H10" s="1983"/>
      <c r="I10" s="29"/>
      <c r="J10" s="30"/>
      <c r="K10" s="28"/>
      <c r="R10" s="30"/>
      <c r="S10" s="30"/>
      <c r="T10" s="1975"/>
      <c r="U10" s="1976"/>
      <c r="V10" s="1976"/>
      <c r="W10" s="1976"/>
      <c r="X10" s="1976"/>
      <c r="Y10" s="1976"/>
      <c r="Z10" s="1976"/>
      <c r="AA10" s="1977"/>
    </row>
    <row r="11" spans="1:28" ht="14.25" customHeight="1" x14ac:dyDescent="0.2">
      <c r="A11" s="1984" t="s">
        <v>955</v>
      </c>
      <c r="B11" s="1985"/>
      <c r="C11" s="1985"/>
      <c r="D11" s="1985"/>
      <c r="E11" s="1985"/>
      <c r="F11" s="1985"/>
      <c r="G11" s="1985"/>
      <c r="H11" s="1986"/>
      <c r="I11" s="27"/>
      <c r="J11" s="74"/>
      <c r="K11" s="27"/>
      <c r="O11" s="148" t="s">
        <v>2065</v>
      </c>
      <c r="P11" s="100" t="s">
        <v>201</v>
      </c>
      <c r="Q11" s="30"/>
      <c r="R11" s="28"/>
      <c r="S11" s="27"/>
      <c r="T11" s="1978"/>
      <c r="U11" s="1979"/>
      <c r="V11" s="1979"/>
      <c r="W11" s="1979"/>
      <c r="X11" s="1979"/>
      <c r="Y11" s="1979"/>
      <c r="Z11" s="1979"/>
      <c r="AA11" s="1980"/>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92">
        <v>17054061004</v>
      </c>
      <c r="B13" s="1993"/>
      <c r="C13" s="1993"/>
      <c r="D13" s="1993"/>
      <c r="E13" s="1993"/>
      <c r="F13" s="1993"/>
      <c r="G13" s="1993"/>
      <c r="H13" s="1994"/>
      <c r="I13" s="31"/>
      <c r="J13" s="30"/>
      <c r="K13" s="28"/>
      <c r="L13" s="30"/>
      <c r="M13" s="30"/>
      <c r="N13" s="30"/>
      <c r="O13" s="30"/>
      <c r="P13" s="30"/>
      <c r="Q13" s="30"/>
      <c r="R13" s="30"/>
      <c r="S13" s="30"/>
      <c r="T13" s="1997" t="s">
        <v>2074</v>
      </c>
      <c r="U13" s="1998"/>
      <c r="V13" s="1998"/>
      <c r="W13" s="1998"/>
      <c r="X13" s="1998"/>
      <c r="Y13" s="1999"/>
      <c r="Z13" s="1999"/>
      <c r="AA13" s="2000"/>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90" t="s">
        <v>2066</v>
      </c>
      <c r="B15" s="1995"/>
      <c r="C15" s="1995"/>
      <c r="D15" s="1995"/>
      <c r="E15" s="1995"/>
      <c r="F15" s="1995"/>
      <c r="G15" s="1995"/>
      <c r="H15" s="1996"/>
      <c r="T15" s="1958" t="s">
        <v>2075</v>
      </c>
      <c r="U15" s="1959"/>
      <c r="V15" s="1959"/>
      <c r="W15" s="1959"/>
      <c r="X15" s="1959"/>
      <c r="Y15" s="2001"/>
      <c r="Z15" s="2001"/>
      <c r="AA15" s="2002"/>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50" t="s">
        <v>2118</v>
      </c>
      <c r="B17" s="2020"/>
      <c r="C17" s="2020"/>
      <c r="D17" s="2020"/>
      <c r="E17" s="2020"/>
      <c r="F17" s="2020"/>
      <c r="G17" s="2020"/>
      <c r="H17" s="2021"/>
      <c r="T17" s="2007" t="s">
        <v>2076</v>
      </c>
      <c r="U17" s="2008"/>
      <c r="V17" s="2008"/>
      <c r="W17" s="2008"/>
      <c r="X17" s="2008"/>
      <c r="Y17" s="2008"/>
      <c r="Z17" s="2008"/>
      <c r="AA17" s="2009"/>
    </row>
    <row r="18" spans="1:27" ht="13.5" customHeight="1" x14ac:dyDescent="0.2">
      <c r="A18" s="85" t="s">
        <v>530</v>
      </c>
      <c r="B18" s="76"/>
      <c r="C18" s="72"/>
      <c r="D18" s="76"/>
      <c r="E18" s="76"/>
      <c r="F18" s="76"/>
      <c r="G18" s="76"/>
      <c r="H18" s="56"/>
      <c r="I18" s="2017" t="s">
        <v>676</v>
      </c>
      <c r="J18" s="2018"/>
      <c r="K18" s="2018"/>
      <c r="L18" s="2018"/>
      <c r="M18" s="2018"/>
      <c r="N18" s="2018"/>
      <c r="O18" s="2018"/>
      <c r="P18" s="2018"/>
      <c r="Q18" s="2018"/>
      <c r="R18" s="2018"/>
      <c r="S18" s="2019"/>
      <c r="T18" s="85" t="s">
        <v>711</v>
      </c>
      <c r="U18" s="51"/>
      <c r="V18" s="72"/>
      <c r="W18" s="50"/>
      <c r="X18" s="85" t="s">
        <v>266</v>
      </c>
      <c r="Y18" s="81"/>
      <c r="Z18" s="159" t="s">
        <v>677</v>
      </c>
      <c r="AA18" s="46"/>
    </row>
    <row r="19" spans="1:27" ht="13.5" customHeight="1" x14ac:dyDescent="0.2">
      <c r="A19" s="1990" t="s">
        <v>2067</v>
      </c>
      <c r="B19" s="1991"/>
      <c r="C19" s="1991"/>
      <c r="D19" s="1991"/>
      <c r="E19" s="1991"/>
      <c r="F19" s="1991"/>
      <c r="G19" s="1991"/>
      <c r="H19" s="1989"/>
      <c r="I19" s="30"/>
      <c r="J19" s="99"/>
      <c r="K19" s="40"/>
      <c r="L19" s="38"/>
      <c r="M19" s="112" t="s">
        <v>315</v>
      </c>
      <c r="P19" s="27"/>
      <c r="Q19" s="27"/>
      <c r="R19" s="27"/>
      <c r="S19" s="31"/>
      <c r="T19" s="1990" t="s">
        <v>2077</v>
      </c>
      <c r="U19" s="1988"/>
      <c r="V19" s="1988"/>
      <c r="W19" s="1989"/>
      <c r="X19" s="2005" t="s">
        <v>2078</v>
      </c>
      <c r="Y19" s="2006"/>
      <c r="Z19" s="2003">
        <v>61568</v>
      </c>
      <c r="AA19" s="2004"/>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7" t="s">
        <v>2068</v>
      </c>
      <c r="B21" s="1988"/>
      <c r="C21" s="1988"/>
      <c r="D21" s="1988"/>
      <c r="E21" s="1988"/>
      <c r="F21" s="1988"/>
      <c r="G21" s="1988"/>
      <c r="H21" s="1989"/>
      <c r="I21" s="2013" t="s">
        <v>678</v>
      </c>
      <c r="J21" s="1976"/>
      <c r="K21" s="1976"/>
      <c r="L21" s="1976"/>
      <c r="M21" s="1976"/>
      <c r="N21" s="1976"/>
      <c r="O21" s="1976"/>
      <c r="P21" s="1976"/>
      <c r="Q21" s="1976"/>
      <c r="R21" s="1976"/>
      <c r="S21" s="1977"/>
      <c r="T21" s="1955" t="s">
        <v>2079</v>
      </c>
      <c r="U21" s="1956"/>
      <c r="V21" s="1956"/>
      <c r="W21" s="1956"/>
      <c r="X21" s="1969" t="s">
        <v>2080</v>
      </c>
      <c r="Y21" s="1970"/>
      <c r="Z21" s="1970"/>
      <c r="AA21" s="1971"/>
    </row>
    <row r="22" spans="1:27" ht="13.5" customHeight="1" x14ac:dyDescent="0.2">
      <c r="A22" s="87" t="s">
        <v>531</v>
      </c>
      <c r="B22" s="59"/>
      <c r="C22" s="59"/>
      <c r="D22" s="59"/>
      <c r="E22" s="59"/>
      <c r="F22" s="59"/>
      <c r="G22" s="59"/>
      <c r="H22" s="60"/>
      <c r="I22" s="2014" t="s">
        <v>1429</v>
      </c>
      <c r="J22" s="2015"/>
      <c r="K22" s="2015"/>
      <c r="L22" s="2015"/>
      <c r="M22" s="2015"/>
      <c r="N22" s="2015"/>
      <c r="O22" s="2015"/>
      <c r="P22" s="2015"/>
      <c r="Q22" s="2015"/>
      <c r="R22" s="2015"/>
      <c r="S22" s="2016"/>
      <c r="T22" s="85" t="s">
        <v>1516</v>
      </c>
      <c r="U22" s="51"/>
      <c r="V22" s="72"/>
      <c r="W22" s="51"/>
      <c r="X22" s="160" t="s">
        <v>1318</v>
      </c>
      <c r="Z22" s="45"/>
      <c r="AA22" s="46"/>
    </row>
    <row r="23" spans="1:27" ht="13.5" customHeight="1" x14ac:dyDescent="0.2">
      <c r="A23" s="2010" t="s">
        <v>2069</v>
      </c>
      <c r="B23" s="2011"/>
      <c r="C23" s="2011"/>
      <c r="D23" s="2011"/>
      <c r="E23" s="2011"/>
      <c r="F23" s="2011"/>
      <c r="G23" s="2011"/>
      <c r="H23" s="2012"/>
      <c r="T23" s="1950">
        <v>65.027017999999998</v>
      </c>
      <c r="U23" s="1951"/>
      <c r="V23" s="1951"/>
      <c r="W23" s="1951"/>
      <c r="X23" s="1966">
        <v>44469</v>
      </c>
      <c r="Y23" s="1967"/>
      <c r="Z23" s="1967"/>
      <c r="AA23" s="1968"/>
    </row>
    <row r="24" spans="1:27" ht="14.1" customHeight="1" x14ac:dyDescent="0.2">
      <c r="A24" s="88" t="s">
        <v>677</v>
      </c>
      <c r="B24" s="49"/>
      <c r="C24" s="49"/>
      <c r="D24" s="49"/>
      <c r="E24" s="49"/>
      <c r="F24" s="49"/>
      <c r="G24" s="49"/>
      <c r="H24" s="61"/>
      <c r="J24" s="2052">
        <f>IF(B5="x",IF(AUDITCHECK!D29="AFR form Incomplete.","",IF(AUDITCHECK!D29="Deficit reduction plan is required.","School District must complete a deficit reduction plan in the 2019-2020 Budget",)),"")</f>
        <v>0</v>
      </c>
      <c r="K24" s="2052"/>
      <c r="L24" s="2052"/>
      <c r="M24" s="2052"/>
      <c r="N24" s="2052"/>
      <c r="O24" s="2052"/>
      <c r="P24" s="2052"/>
      <c r="Q24" s="2052"/>
      <c r="R24" s="2052"/>
      <c r="S24" s="2053"/>
      <c r="T24" s="105" t="s">
        <v>531</v>
      </c>
      <c r="U24" s="106"/>
      <c r="V24" s="106"/>
      <c r="W24" s="106"/>
      <c r="X24" s="107"/>
      <c r="Y24" s="107"/>
      <c r="Z24" s="107"/>
      <c r="AA24" s="108"/>
    </row>
    <row r="25" spans="1:27" ht="14.1" customHeight="1" x14ac:dyDescent="0.2">
      <c r="A25" s="1987">
        <v>62656</v>
      </c>
      <c r="B25" s="1988"/>
      <c r="C25" s="1988"/>
      <c r="D25" s="1988"/>
      <c r="E25" s="1988"/>
      <c r="F25" s="1988"/>
      <c r="G25" s="1988"/>
      <c r="H25" s="1989"/>
      <c r="I25" s="113"/>
      <c r="J25" s="2054"/>
      <c r="K25" s="2054"/>
      <c r="L25" s="2054"/>
      <c r="M25" s="2054"/>
      <c r="N25" s="2054"/>
      <c r="O25" s="2054"/>
      <c r="P25" s="2054"/>
      <c r="Q25" s="2054"/>
      <c r="R25" s="2054"/>
      <c r="S25" s="2055"/>
      <c r="T25" s="1947" t="s">
        <v>2081</v>
      </c>
      <c r="U25" s="1948"/>
      <c r="V25" s="1948"/>
      <c r="W25" s="1948"/>
      <c r="X25" s="1948"/>
      <c r="Y25" s="1948"/>
      <c r="Z25" s="1948"/>
      <c r="AA25" s="194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5" t="s">
        <v>1511</v>
      </c>
      <c r="J27" s="2018"/>
      <c r="K27" s="2018"/>
      <c r="L27" s="2018"/>
      <c r="M27" s="2018"/>
      <c r="N27" s="2018"/>
      <c r="O27" s="2018"/>
      <c r="P27" s="2018"/>
      <c r="Q27" s="2018"/>
      <c r="R27" s="2018"/>
      <c r="S27" s="2019"/>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2065</v>
      </c>
      <c r="M29" s="40" t="s">
        <v>99</v>
      </c>
      <c r="N29" s="32" t="s">
        <v>1523</v>
      </c>
      <c r="O29" s="32"/>
      <c r="P29" s="32"/>
      <c r="Q29" s="32"/>
      <c r="R29" s="32"/>
      <c r="S29" s="123"/>
      <c r="T29" s="6"/>
      <c r="U29" s="6"/>
      <c r="V29" s="6"/>
      <c r="W29" s="6"/>
      <c r="X29" s="6"/>
      <c r="Y29" s="6"/>
      <c r="Z29" s="6"/>
      <c r="AA29" s="132"/>
    </row>
    <row r="30" spans="1:27" ht="13.5" customHeight="1" x14ac:dyDescent="0.2">
      <c r="A30" s="153"/>
      <c r="B30" s="136" t="s">
        <v>2065</v>
      </c>
      <c r="C30" s="124" t="s">
        <v>1164</v>
      </c>
      <c r="D30" s="28"/>
      <c r="E30" s="28"/>
      <c r="F30" s="140"/>
      <c r="G30" s="114"/>
      <c r="H30" s="114"/>
      <c r="I30" s="54"/>
      <c r="J30" s="102"/>
      <c r="K30" s="28" t="s">
        <v>576</v>
      </c>
      <c r="L30" s="148" t="s">
        <v>2065</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48" t="s">
        <v>2065</v>
      </c>
      <c r="K31" s="40" t="s">
        <v>885</v>
      </c>
      <c r="L31" s="102"/>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2117</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91"/>
      <c r="Q35" s="1988"/>
      <c r="R35" s="198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50" t="s">
        <v>2070</v>
      </c>
      <c r="B38" s="2020"/>
      <c r="C38" s="2020"/>
      <c r="D38" s="2020"/>
      <c r="E38" s="2020"/>
      <c r="F38" s="1988"/>
      <c r="G38" s="1988"/>
      <c r="H38" s="1989"/>
      <c r="I38" s="2039"/>
      <c r="J38" s="1959"/>
      <c r="K38" s="1959"/>
      <c r="L38" s="1959"/>
      <c r="M38" s="1959"/>
      <c r="N38" s="1959"/>
      <c r="O38" s="1959"/>
      <c r="P38" s="1960"/>
      <c r="Q38" s="1960"/>
      <c r="R38" s="1960"/>
      <c r="S38" s="1961"/>
      <c r="T38" s="1958"/>
      <c r="U38" s="1959"/>
      <c r="V38" s="1959"/>
      <c r="W38" s="1959"/>
      <c r="X38" s="1960"/>
      <c r="Y38" s="1960"/>
      <c r="Z38" s="1960"/>
      <c r="AA38" s="1961"/>
    </row>
    <row r="39" spans="1:27" ht="12" customHeight="1" x14ac:dyDescent="0.2">
      <c r="A39" s="2043" t="s">
        <v>531</v>
      </c>
      <c r="B39" s="2044"/>
      <c r="C39" s="72"/>
      <c r="D39" s="69"/>
      <c r="E39" s="69"/>
      <c r="F39" s="79"/>
      <c r="G39" s="69"/>
      <c r="H39" s="56"/>
      <c r="I39" s="2043" t="s">
        <v>531</v>
      </c>
      <c r="J39" s="2044"/>
      <c r="K39" s="2044"/>
      <c r="L39" s="2044"/>
      <c r="M39" s="2044"/>
      <c r="N39" s="67"/>
      <c r="O39" s="72"/>
      <c r="P39" s="72"/>
      <c r="Q39" s="78"/>
      <c r="R39" s="72"/>
      <c r="S39" s="56"/>
      <c r="T39" s="72" t="s">
        <v>531</v>
      </c>
      <c r="U39" s="51"/>
      <c r="V39" s="72"/>
      <c r="W39" s="50"/>
      <c r="X39" s="78"/>
      <c r="Y39" s="45"/>
      <c r="Z39" s="45"/>
      <c r="AA39" s="46"/>
    </row>
    <row r="40" spans="1:27" ht="13.5" customHeight="1" x14ac:dyDescent="0.2">
      <c r="A40" s="2046" t="s">
        <v>2071</v>
      </c>
      <c r="B40" s="2047"/>
      <c r="C40" s="2048"/>
      <c r="D40" s="2048"/>
      <c r="E40" s="2048"/>
      <c r="F40" s="2049"/>
      <c r="G40" s="2049"/>
      <c r="H40" s="2050"/>
      <c r="I40" s="1962"/>
      <c r="J40" s="1964"/>
      <c r="K40" s="1964"/>
      <c r="L40" s="1964"/>
      <c r="M40" s="1964"/>
      <c r="N40" s="1964"/>
      <c r="O40" s="1964"/>
      <c r="P40" s="1964"/>
      <c r="Q40" s="1964"/>
      <c r="R40" s="1964"/>
      <c r="S40" s="1965"/>
      <c r="T40" s="1962"/>
      <c r="U40" s="1963"/>
      <c r="V40" s="1964"/>
      <c r="W40" s="1964"/>
      <c r="X40" s="1964"/>
      <c r="Y40" s="1964"/>
      <c r="Z40" s="1964"/>
      <c r="AA40" s="1965"/>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36" t="s">
        <v>2072</v>
      </c>
      <c r="B42" s="2037"/>
      <c r="C42" s="2038"/>
      <c r="D42" s="2051" t="s">
        <v>2073</v>
      </c>
      <c r="E42" s="2037"/>
      <c r="F42" s="2037"/>
      <c r="G42" s="2037"/>
      <c r="H42" s="2038"/>
      <c r="I42" s="1957"/>
      <c r="J42" s="1953"/>
      <c r="K42" s="1953"/>
      <c r="L42" s="1953"/>
      <c r="M42" s="1953"/>
      <c r="N42" s="1953"/>
      <c r="O42" s="1954"/>
      <c r="P42" s="1952"/>
      <c r="Q42" s="1953"/>
      <c r="R42" s="1953"/>
      <c r="S42" s="1954"/>
      <c r="T42" s="1957"/>
      <c r="U42" s="1953"/>
      <c r="V42" s="1953"/>
      <c r="W42" s="1954"/>
      <c r="X42" s="1952"/>
      <c r="Y42" s="1953"/>
      <c r="Z42" s="1953"/>
      <c r="AA42" s="1954"/>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40"/>
      <c r="B44" s="2041"/>
      <c r="C44" s="2041"/>
      <c r="D44" s="2041"/>
      <c r="E44" s="2041"/>
      <c r="F44" s="2041"/>
      <c r="G44" s="2041"/>
      <c r="H44" s="2042"/>
      <c r="I44" s="2032"/>
      <c r="J44" s="2034"/>
      <c r="K44" s="2034"/>
      <c r="L44" s="2034"/>
      <c r="M44" s="2034"/>
      <c r="N44" s="2034"/>
      <c r="O44" s="2034"/>
      <c r="P44" s="2034"/>
      <c r="Q44" s="2034"/>
      <c r="R44" s="2034"/>
      <c r="S44" s="2035"/>
      <c r="T44" s="2032"/>
      <c r="U44" s="2033"/>
      <c r="V44" s="2033"/>
      <c r="W44" s="2033"/>
      <c r="X44" s="2033"/>
      <c r="Y44" s="2033"/>
      <c r="Z44" s="2034"/>
      <c r="AA44" s="2035"/>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E1" sqref="E1"/>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9" t="s">
        <v>1802</v>
      </c>
      <c r="B2" s="1528" t="s">
        <v>1949</v>
      </c>
      <c r="C2" s="714" t="s">
        <v>1950</v>
      </c>
      <c r="D2" s="714" t="s">
        <v>1951</v>
      </c>
      <c r="E2" s="714" t="s">
        <v>1952</v>
      </c>
      <c r="F2" s="714" t="s">
        <v>1953</v>
      </c>
    </row>
    <row r="3" spans="1:6" ht="12" customHeight="1" x14ac:dyDescent="0.2">
      <c r="A3" s="2190"/>
      <c r="B3" s="1525"/>
      <c r="C3" s="1526"/>
      <c r="D3" s="1527" t="s">
        <v>256</v>
      </c>
      <c r="E3" s="1526"/>
      <c r="F3" s="1527" t="s">
        <v>257</v>
      </c>
    </row>
    <row r="4" spans="1:6" ht="13.7" customHeight="1" x14ac:dyDescent="0.2">
      <c r="A4" s="715" t="s">
        <v>1155</v>
      </c>
      <c r="B4" s="1749">
        <f>'Revenues 9-14'!C5</f>
        <v>1483309</v>
      </c>
      <c r="C4" s="1524"/>
      <c r="D4" s="1752">
        <f>B4-C4</f>
        <v>1483309</v>
      </c>
      <c r="E4" s="1524">
        <v>1500005</v>
      </c>
      <c r="F4" s="1752">
        <f>E4-C4</f>
        <v>1500005</v>
      </c>
    </row>
    <row r="5" spans="1:6" ht="13.7" customHeight="1" x14ac:dyDescent="0.2">
      <c r="A5" s="715" t="s">
        <v>870</v>
      </c>
      <c r="B5" s="1750">
        <f>'Revenues 9-14'!D5</f>
        <v>195171</v>
      </c>
      <c r="C5" s="585"/>
      <c r="D5" s="1753">
        <f t="shared" ref="D5:D18" si="0">B5-C5</f>
        <v>195171</v>
      </c>
      <c r="E5" s="585">
        <v>200002</v>
      </c>
      <c r="F5" s="1753">
        <f>E5-C5</f>
        <v>200002</v>
      </c>
    </row>
    <row r="6" spans="1:6" ht="13.7" customHeight="1" x14ac:dyDescent="0.2">
      <c r="A6" s="715" t="s">
        <v>411</v>
      </c>
      <c r="B6" s="1750">
        <f>'Revenues 9-14'!E5</f>
        <v>70646</v>
      </c>
      <c r="C6" s="585"/>
      <c r="D6" s="1753">
        <f t="shared" si="0"/>
        <v>70646</v>
      </c>
      <c r="E6" s="585">
        <v>90678</v>
      </c>
      <c r="F6" s="1753">
        <f t="shared" ref="F6:F18" si="1">E6-C6</f>
        <v>90678</v>
      </c>
    </row>
    <row r="7" spans="1:6" ht="13.7" customHeight="1" x14ac:dyDescent="0.2">
      <c r="A7" s="715" t="s">
        <v>155</v>
      </c>
      <c r="B7" s="1750">
        <f>'Revenues 9-14'!F5</f>
        <v>93682</v>
      </c>
      <c r="C7" s="585"/>
      <c r="D7" s="1753">
        <f t="shared" si="0"/>
        <v>93682</v>
      </c>
      <c r="E7" s="585">
        <v>94505</v>
      </c>
      <c r="F7" s="1753">
        <f t="shared" si="1"/>
        <v>94505</v>
      </c>
    </row>
    <row r="8" spans="1:6" ht="13.7" customHeight="1" x14ac:dyDescent="0.2">
      <c r="A8" s="715" t="s">
        <v>1179</v>
      </c>
      <c r="B8" s="1750">
        <f>'Revenues 9-14'!G5</f>
        <v>39931</v>
      </c>
      <c r="C8" s="585"/>
      <c r="D8" s="1753">
        <f t="shared" si="0"/>
        <v>39931</v>
      </c>
      <c r="E8" s="585">
        <v>40000</v>
      </c>
      <c r="F8" s="1753">
        <f t="shared" si="1"/>
        <v>40000</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39035</v>
      </c>
      <c r="C10" s="585"/>
      <c r="D10" s="1753">
        <f t="shared" si="0"/>
        <v>39035</v>
      </c>
      <c r="E10" s="585">
        <v>40000</v>
      </c>
      <c r="F10" s="1753">
        <f t="shared" si="1"/>
        <v>40000</v>
      </c>
    </row>
    <row r="11" spans="1:6" x14ac:dyDescent="0.2">
      <c r="A11" s="715" t="s">
        <v>409</v>
      </c>
      <c r="B11" s="1750">
        <f>'Revenues 9-14'!J5</f>
        <v>102833</v>
      </c>
      <c r="C11" s="585"/>
      <c r="D11" s="1753">
        <f t="shared" si="0"/>
        <v>102833</v>
      </c>
      <c r="E11" s="585">
        <v>100001</v>
      </c>
      <c r="F11" s="1753">
        <f t="shared" si="1"/>
        <v>100001</v>
      </c>
    </row>
    <row r="12" spans="1:6" ht="13.7" customHeight="1" x14ac:dyDescent="0.2">
      <c r="A12" s="715" t="s">
        <v>157</v>
      </c>
      <c r="B12" s="1750">
        <f>'Revenues 9-14'!K5</f>
        <v>39035</v>
      </c>
      <c r="C12" s="585"/>
      <c r="D12" s="1753">
        <f t="shared" si="0"/>
        <v>39035</v>
      </c>
      <c r="E12" s="585">
        <v>40000</v>
      </c>
      <c r="F12" s="1753">
        <f t="shared" si="1"/>
        <v>40000</v>
      </c>
    </row>
    <row r="13" spans="1:6" ht="13.7" customHeight="1" x14ac:dyDescent="0.2">
      <c r="A13" s="715" t="s">
        <v>936</v>
      </c>
      <c r="B13" s="1750">
        <f>SUM('Revenues 9-14'!C6:D6)</f>
        <v>19970</v>
      </c>
      <c r="C13" s="585"/>
      <c r="D13" s="1753">
        <f t="shared" si="0"/>
        <v>19970</v>
      </c>
      <c r="E13" s="585">
        <v>40000</v>
      </c>
      <c r="F13" s="1753">
        <f t="shared" si="1"/>
        <v>40000</v>
      </c>
    </row>
    <row r="14" spans="1:6" ht="13.7" customHeight="1" x14ac:dyDescent="0.2">
      <c r="A14" s="715" t="s">
        <v>410</v>
      </c>
      <c r="B14" s="1750">
        <f>SUM('Revenues 9-14'!C7:D7,'Revenues 9-14'!F7:H7)</f>
        <v>15614</v>
      </c>
      <c r="C14" s="585"/>
      <c r="D14" s="1753">
        <f t="shared" si="0"/>
        <v>15614</v>
      </c>
      <c r="E14" s="585">
        <v>15600</v>
      </c>
      <c r="F14" s="1753">
        <f t="shared" si="1"/>
        <v>15600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49916</v>
      </c>
      <c r="C16" s="585"/>
      <c r="D16" s="1753">
        <f t="shared" si="0"/>
        <v>49916</v>
      </c>
      <c r="E16" s="585">
        <v>50000</v>
      </c>
      <c r="F16" s="1753">
        <f t="shared" si="1"/>
        <v>50000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2149142</v>
      </c>
      <c r="C19" s="1751">
        <f>SUM(C4:C18)</f>
        <v>0</v>
      </c>
      <c r="D19" s="1751">
        <f>SUM(D4:D18)</f>
        <v>2149142</v>
      </c>
      <c r="E19" s="1751">
        <f>SUM(E4:E18)</f>
        <v>2210791</v>
      </c>
      <c r="F19" s="1751">
        <f>SUM(F4:F18)</f>
        <v>2210791</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B30" colorId="8" zoomScale="110" zoomScaleNormal="110" workbookViewId="0">
      <selection activeCell="D35" sqref="D35"/>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5" t="s">
        <v>629</v>
      </c>
      <c r="B1" s="2196"/>
      <c r="C1" s="721"/>
    </row>
    <row r="2" spans="1:7" ht="33.75" x14ac:dyDescent="0.2">
      <c r="A2" s="2204" t="s">
        <v>1802</v>
      </c>
      <c r="B2" s="2205"/>
      <c r="C2" s="1884" t="s">
        <v>1954</v>
      </c>
      <c r="D2" s="723" t="s">
        <v>1955</v>
      </c>
      <c r="E2" s="723" t="s">
        <v>1956</v>
      </c>
      <c r="F2" s="1884" t="s">
        <v>1957</v>
      </c>
    </row>
    <row r="3" spans="1:7" ht="15.75" customHeight="1" x14ac:dyDescent="0.2">
      <c r="A3" s="2208" t="s">
        <v>1114</v>
      </c>
      <c r="B3" s="2209"/>
      <c r="C3" s="2197"/>
      <c r="D3" s="2198"/>
      <c r="E3" s="2198"/>
      <c r="F3" s="2199"/>
    </row>
    <row r="4" spans="1:7" ht="12.75" customHeight="1" thickBot="1" x14ac:dyDescent="0.25">
      <c r="A4" s="2206" t="s">
        <v>630</v>
      </c>
      <c r="B4" s="2207"/>
      <c r="C4" s="581"/>
      <c r="D4" s="581"/>
      <c r="E4" s="581"/>
      <c r="F4" s="1755">
        <f>SUM(C4+D4)-E4</f>
        <v>0</v>
      </c>
    </row>
    <row r="5" spans="1:7" ht="15.75" customHeight="1" thickTop="1" x14ac:dyDescent="0.2">
      <c r="A5" s="2191" t="s">
        <v>1110</v>
      </c>
      <c r="B5" s="2192"/>
      <c r="C5" s="2200"/>
      <c r="D5" s="2201"/>
      <c r="E5" s="2201"/>
      <c r="F5" s="2202"/>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3" t="s">
        <v>631</v>
      </c>
      <c r="B15" s="2194"/>
      <c r="C15" s="1755">
        <f>SUM(C6:C14)</f>
        <v>0</v>
      </c>
      <c r="D15" s="1755">
        <f>SUM(D6:D14)</f>
        <v>0</v>
      </c>
      <c r="E15" s="1755">
        <f>SUM(E6:E14)</f>
        <v>0</v>
      </c>
      <c r="F15" s="1755">
        <f>SUM(F6:F14)</f>
        <v>0</v>
      </c>
      <c r="G15" s="552"/>
    </row>
    <row r="16" spans="1:7" s="202" customFormat="1" ht="15.75" customHeight="1" thickTop="1" x14ac:dyDescent="0.2">
      <c r="A16" s="2203" t="s">
        <v>1111</v>
      </c>
      <c r="B16" s="2192"/>
      <c r="C16" s="2200"/>
      <c r="D16" s="2201"/>
      <c r="E16" s="2201"/>
      <c r="F16" s="2202"/>
    </row>
    <row r="17" spans="1:11" ht="12.75" customHeight="1" thickBot="1" x14ac:dyDescent="0.25">
      <c r="A17" s="2216" t="s">
        <v>64</v>
      </c>
      <c r="B17" s="2217"/>
      <c r="C17" s="726"/>
      <c r="D17" s="585"/>
      <c r="E17" s="726"/>
      <c r="F17" s="1755">
        <f>SUM(C17+D17)-E17</f>
        <v>0</v>
      </c>
    </row>
    <row r="18" spans="1:11" ht="12.75" customHeight="1" thickTop="1" thickBot="1" x14ac:dyDescent="0.25">
      <c r="A18" s="2216" t="s">
        <v>6</v>
      </c>
      <c r="B18" s="2217"/>
      <c r="C18" s="726"/>
      <c r="D18" s="585"/>
      <c r="E18" s="726"/>
      <c r="F18" s="1755">
        <f>SUM(C18+D18)-E18</f>
        <v>0</v>
      </c>
    </row>
    <row r="19" spans="1:11" ht="12.75" customHeight="1" thickTop="1" thickBot="1" x14ac:dyDescent="0.25">
      <c r="A19" s="2216" t="s">
        <v>388</v>
      </c>
      <c r="B19" s="2217"/>
      <c r="C19" s="726"/>
      <c r="D19" s="585"/>
      <c r="E19" s="726"/>
      <c r="F19" s="1755">
        <f>SUM(C19+D19)-E19</f>
        <v>0</v>
      </c>
    </row>
    <row r="20" spans="1:11" ht="12.75" customHeight="1" thickTop="1" thickBot="1" x14ac:dyDescent="0.25">
      <c r="A20" s="2216" t="s">
        <v>448</v>
      </c>
      <c r="B20" s="2217"/>
      <c r="C20" s="726"/>
      <c r="D20" s="585"/>
      <c r="E20" s="726"/>
      <c r="F20" s="1755">
        <f>SUM(C20+D20)-E20</f>
        <v>0</v>
      </c>
    </row>
    <row r="21" spans="1:11" ht="14.25" thickTop="1" thickBot="1" x14ac:dyDescent="0.25">
      <c r="A21" s="2193" t="s">
        <v>632</v>
      </c>
      <c r="B21" s="2194"/>
      <c r="C21" s="1755">
        <f>SUM(C17:C20)</f>
        <v>0</v>
      </c>
      <c r="D21" s="1755">
        <f>SUM(D17:D20)</f>
        <v>0</v>
      </c>
      <c r="E21" s="1755">
        <f>SUM(E17:E20)</f>
        <v>0</v>
      </c>
      <c r="F21" s="1755">
        <f>SUM(F17:F20)</f>
        <v>0</v>
      </c>
      <c r="G21" s="552"/>
    </row>
    <row r="22" spans="1:11" ht="15.75" customHeight="1" thickTop="1" x14ac:dyDescent="0.2">
      <c r="A22" s="2218" t="s">
        <v>1112</v>
      </c>
      <c r="B22" s="2192"/>
      <c r="C22" s="2200"/>
      <c r="D22" s="2201"/>
      <c r="E22" s="2201"/>
      <c r="F22" s="2202"/>
    </row>
    <row r="23" spans="1:11" ht="13.5" thickBot="1" x14ac:dyDescent="0.25">
      <c r="A23" s="2206" t="s">
        <v>633</v>
      </c>
      <c r="B23" s="2207"/>
      <c r="C23" s="581"/>
      <c r="D23" s="581"/>
      <c r="E23" s="581"/>
      <c r="F23" s="1755">
        <f>SUM(C23+D23)-E23</f>
        <v>0</v>
      </c>
      <c r="G23" s="552"/>
    </row>
    <row r="24" spans="1:11" ht="15.75" customHeight="1" thickTop="1" x14ac:dyDescent="0.2">
      <c r="A24" s="2218" t="s">
        <v>1113</v>
      </c>
      <c r="B24" s="2192"/>
      <c r="C24" s="2200"/>
      <c r="D24" s="2201"/>
      <c r="E24" s="2201"/>
      <c r="F24" s="2202"/>
    </row>
    <row r="25" spans="1:11" ht="13.5" thickBot="1" x14ac:dyDescent="0.25">
      <c r="A25" s="2206" t="s">
        <v>634</v>
      </c>
      <c r="B25" s="2207"/>
      <c r="C25" s="581"/>
      <c r="D25" s="581"/>
      <c r="E25" s="581"/>
      <c r="F25" s="1755">
        <f>SUM(C25+D25)-E25</f>
        <v>0</v>
      </c>
      <c r="G25" s="552"/>
    </row>
    <row r="26" spans="1:11" ht="15.75" customHeight="1" thickTop="1" x14ac:dyDescent="0.2">
      <c r="A26" s="2191" t="s">
        <v>657</v>
      </c>
      <c r="B26" s="2192"/>
      <c r="C26" s="727"/>
      <c r="D26" s="727"/>
      <c r="E26" s="727"/>
      <c r="F26" s="728"/>
    </row>
    <row r="27" spans="1:11" ht="13.5" thickBot="1" x14ac:dyDescent="0.25">
      <c r="A27" s="2193" t="s">
        <v>1070</v>
      </c>
      <c r="B27" s="2194"/>
      <c r="C27" s="585"/>
      <c r="D27" s="585"/>
      <c r="E27" s="585"/>
      <c r="F27" s="1755">
        <f>SUM(C27+D27)-E27</f>
        <v>0</v>
      </c>
      <c r="G27" s="552"/>
    </row>
    <row r="28" spans="1:11" ht="7.5" customHeight="1" thickTop="1" x14ac:dyDescent="0.2">
      <c r="A28" s="593"/>
    </row>
    <row r="29" spans="1:11" ht="23.25" customHeight="1" x14ac:dyDescent="0.2">
      <c r="A29" s="2219" t="s">
        <v>582</v>
      </c>
      <c r="B29" s="2196"/>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t="s">
        <v>2094</v>
      </c>
      <c r="B31" s="733">
        <v>41359</v>
      </c>
      <c r="C31" s="734">
        <v>2075000</v>
      </c>
      <c r="D31" s="735">
        <v>4</v>
      </c>
      <c r="E31" s="734">
        <v>2075000</v>
      </c>
      <c r="F31" s="734"/>
      <c r="G31" s="734"/>
      <c r="H31" s="734"/>
      <c r="I31" s="1756">
        <f>((E31+F31)-H31)+G31</f>
        <v>2075000</v>
      </c>
      <c r="J31" s="734">
        <v>2020591</v>
      </c>
      <c r="K31" s="736"/>
    </row>
    <row r="32" spans="1:11" ht="12" customHeight="1" x14ac:dyDescent="0.2">
      <c r="A32" s="732" t="s">
        <v>2095</v>
      </c>
      <c r="B32" s="733">
        <v>41359</v>
      </c>
      <c r="C32" s="734">
        <v>675000</v>
      </c>
      <c r="D32" s="735">
        <v>6</v>
      </c>
      <c r="E32" s="734">
        <v>215000</v>
      </c>
      <c r="F32" s="734"/>
      <c r="G32" s="734"/>
      <c r="H32" s="734">
        <v>115000</v>
      </c>
      <c r="I32" s="1756">
        <f>((E32+F32)-H32)+G32</f>
        <v>100000</v>
      </c>
      <c r="J32" s="734">
        <v>0</v>
      </c>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2750000</v>
      </c>
      <c r="D49" s="745"/>
      <c r="E49" s="1756">
        <f t="shared" ref="E49:J49" si="2">SUM(E31:E48)</f>
        <v>2290000</v>
      </c>
      <c r="F49" s="1756">
        <f t="shared" si="2"/>
        <v>0</v>
      </c>
      <c r="G49" s="1756">
        <f t="shared" si="2"/>
        <v>0</v>
      </c>
      <c r="H49" s="1756">
        <f t="shared" si="2"/>
        <v>115000</v>
      </c>
      <c r="I49" s="1756">
        <f t="shared" si="2"/>
        <v>2175000</v>
      </c>
      <c r="J49" s="1756">
        <f t="shared" si="2"/>
        <v>2020591</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210" t="s">
        <v>584</v>
      </c>
      <c r="C52" s="2211"/>
      <c r="D52" s="2211"/>
      <c r="E52" s="749" t="s">
        <v>845</v>
      </c>
      <c r="F52" s="2212"/>
      <c r="G52" s="2213"/>
      <c r="H52" s="736"/>
      <c r="I52" s="736"/>
      <c r="J52" s="746"/>
    </row>
    <row r="53" spans="1:11" ht="11.25" customHeight="1" x14ac:dyDescent="0.2">
      <c r="A53" s="750" t="s">
        <v>913</v>
      </c>
      <c r="B53" s="751" t="s">
        <v>951</v>
      </c>
      <c r="C53" s="746"/>
      <c r="D53" s="737"/>
      <c r="E53" s="749" t="s">
        <v>497</v>
      </c>
      <c r="F53" s="2214"/>
      <c r="G53" s="2215"/>
      <c r="H53" s="736"/>
      <c r="I53" s="736"/>
      <c r="J53" s="746"/>
    </row>
    <row r="54" spans="1:11" ht="11.25" customHeight="1" x14ac:dyDescent="0.2">
      <c r="A54" s="752" t="s">
        <v>914</v>
      </c>
      <c r="B54" s="747" t="s">
        <v>952</v>
      </c>
      <c r="C54" s="746"/>
      <c r="D54" s="737"/>
      <c r="E54" s="749" t="s">
        <v>498</v>
      </c>
      <c r="F54" s="2214"/>
      <c r="G54" s="2215"/>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J19" sqref="J1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4" t="s">
        <v>856</v>
      </c>
      <c r="B1" s="2245"/>
      <c r="C1" s="2245"/>
      <c r="D1" s="2245"/>
      <c r="E1" s="2245"/>
      <c r="F1" s="2245"/>
      <c r="G1" s="2246"/>
      <c r="H1" s="1530"/>
      <c r="I1" s="760"/>
      <c r="J1" s="433"/>
    </row>
    <row r="2" spans="1:11" ht="26.25" x14ac:dyDescent="0.2">
      <c r="A2" s="2223" t="s">
        <v>1677</v>
      </c>
      <c r="B2" s="2224"/>
      <c r="C2" s="2224"/>
      <c r="D2" s="2224"/>
      <c r="E2" s="2225"/>
      <c r="F2" s="761" t="s">
        <v>904</v>
      </c>
      <c r="G2" s="762" t="s">
        <v>1674</v>
      </c>
      <c r="H2" s="762" t="s">
        <v>410</v>
      </c>
      <c r="I2" s="762" t="s">
        <v>1158</v>
      </c>
      <c r="J2" s="762" t="s">
        <v>1812</v>
      </c>
      <c r="K2" s="762" t="s">
        <v>138</v>
      </c>
    </row>
    <row r="3" spans="1:11" x14ac:dyDescent="0.2">
      <c r="A3" s="2226" t="s">
        <v>1962</v>
      </c>
      <c r="B3" s="2227"/>
      <c r="C3" s="2227"/>
      <c r="D3" s="2227"/>
      <c r="E3" s="2228"/>
      <c r="F3" s="763"/>
      <c r="G3" s="764"/>
      <c r="H3" s="764">
        <v>0</v>
      </c>
      <c r="I3" s="764">
        <v>0</v>
      </c>
      <c r="J3" s="765">
        <v>0</v>
      </c>
      <c r="K3" s="765">
        <v>0</v>
      </c>
    </row>
    <row r="4" spans="1:11" x14ac:dyDescent="0.2">
      <c r="A4" s="2229" t="s">
        <v>369</v>
      </c>
      <c r="B4" s="2230"/>
      <c r="C4" s="2230"/>
      <c r="D4" s="2230"/>
      <c r="E4" s="2211"/>
      <c r="F4" s="766"/>
      <c r="G4" s="767"/>
      <c r="H4" s="768"/>
      <c r="I4" s="767"/>
      <c r="J4" s="769"/>
      <c r="K4" s="769"/>
    </row>
    <row r="5" spans="1:11" x14ac:dyDescent="0.2">
      <c r="A5" s="2247" t="s">
        <v>1069</v>
      </c>
      <c r="B5" s="2220"/>
      <c r="C5" s="2220"/>
      <c r="D5" s="2220"/>
      <c r="E5" s="2248"/>
      <c r="F5" s="770" t="s">
        <v>848</v>
      </c>
      <c r="G5" s="771"/>
      <c r="H5" s="764">
        <v>15614</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v>128230</v>
      </c>
      <c r="K8" s="769"/>
    </row>
    <row r="9" spans="1:11" x14ac:dyDescent="0.2">
      <c r="A9" s="778" t="s">
        <v>138</v>
      </c>
      <c r="B9" s="779"/>
      <c r="C9" s="779"/>
      <c r="D9" s="779"/>
      <c r="E9" s="780"/>
      <c r="F9" s="777" t="s">
        <v>853</v>
      </c>
      <c r="G9" s="782"/>
      <c r="H9" s="771"/>
      <c r="I9" s="771"/>
      <c r="J9" s="781"/>
      <c r="K9" s="765"/>
    </row>
    <row r="10" spans="1:11" x14ac:dyDescent="0.2">
      <c r="A10" s="2247" t="s">
        <v>1813</v>
      </c>
      <c r="B10" s="2220"/>
      <c r="C10" s="2220"/>
      <c r="D10" s="2220"/>
      <c r="E10" s="2249"/>
      <c r="F10" s="783" t="s">
        <v>862</v>
      </c>
      <c r="G10" s="782"/>
      <c r="H10" s="784"/>
      <c r="I10" s="764"/>
      <c r="J10" s="765"/>
      <c r="K10" s="765"/>
    </row>
    <row r="11" spans="1:11" x14ac:dyDescent="0.2">
      <c r="A11" s="2247" t="s">
        <v>160</v>
      </c>
      <c r="B11" s="2220"/>
      <c r="C11" s="2220"/>
      <c r="D11" s="2220"/>
      <c r="E11" s="2248"/>
      <c r="F11" s="770" t="s">
        <v>852</v>
      </c>
      <c r="G11" s="771"/>
      <c r="H11" s="764"/>
      <c r="I11" s="764"/>
      <c r="J11" s="765"/>
      <c r="K11" s="773"/>
    </row>
    <row r="12" spans="1:11" ht="13.5" thickBot="1" x14ac:dyDescent="0.25">
      <c r="A12" s="2237" t="s">
        <v>905</v>
      </c>
      <c r="B12" s="2238"/>
      <c r="C12" s="2238"/>
      <c r="D12" s="2238"/>
      <c r="E12" s="2239"/>
      <c r="F12" s="1757"/>
      <c r="G12" s="1758">
        <f>SUM(G5:G11)</f>
        <v>0</v>
      </c>
      <c r="H12" s="1758">
        <f>SUM(H5:H11)</f>
        <v>15614</v>
      </c>
      <c r="I12" s="1758">
        <f>SUM(I5:I11)</f>
        <v>0</v>
      </c>
      <c r="J12" s="1758">
        <f>SUM(J5:J11)</f>
        <v>128230</v>
      </c>
      <c r="K12" s="1758">
        <f>SUM(K5:K11)</f>
        <v>0</v>
      </c>
    </row>
    <row r="13" spans="1:11" ht="13.5" thickTop="1" x14ac:dyDescent="0.2">
      <c r="A13" s="2231" t="s">
        <v>370</v>
      </c>
      <c r="B13" s="2232"/>
      <c r="C13" s="2232"/>
      <c r="D13" s="2232"/>
      <c r="E13" s="2233"/>
      <c r="F13" s="785"/>
      <c r="G13" s="786"/>
      <c r="H13" s="787"/>
      <c r="I13" s="788"/>
      <c r="J13" s="788"/>
      <c r="K13" s="788"/>
    </row>
    <row r="14" spans="1:11" x14ac:dyDescent="0.2">
      <c r="A14" s="2253" t="s">
        <v>456</v>
      </c>
      <c r="B14" s="2253"/>
      <c r="C14" s="2253"/>
      <c r="D14" s="2253"/>
      <c r="E14" s="2254"/>
      <c r="F14" s="789" t="s">
        <v>854</v>
      </c>
      <c r="G14" s="782"/>
      <c r="H14" s="764">
        <v>15614</v>
      </c>
      <c r="I14" s="771"/>
      <c r="J14" s="773"/>
      <c r="K14" s="765"/>
    </row>
    <row r="15" spans="1:11" x14ac:dyDescent="0.2">
      <c r="A15" s="2220" t="s">
        <v>4</v>
      </c>
      <c r="B15" s="2220"/>
      <c r="C15" s="2220"/>
      <c r="D15" s="2220"/>
      <c r="E15" s="2248"/>
      <c r="F15" s="789" t="s">
        <v>855</v>
      </c>
      <c r="G15" s="771"/>
      <c r="H15" s="764"/>
      <c r="I15" s="764"/>
      <c r="J15" s="765"/>
      <c r="K15" s="765"/>
    </row>
    <row r="16" spans="1:11" x14ac:dyDescent="0.2">
      <c r="A16" s="2220" t="s">
        <v>298</v>
      </c>
      <c r="B16" s="2220"/>
      <c r="C16" s="2220"/>
      <c r="D16" s="2220"/>
      <c r="E16" s="2248"/>
      <c r="F16" s="789" t="s">
        <v>923</v>
      </c>
      <c r="G16" s="772"/>
      <c r="H16" s="767"/>
      <c r="I16" s="767"/>
      <c r="J16" s="769"/>
      <c r="K16" s="769"/>
    </row>
    <row r="17" spans="1:11" x14ac:dyDescent="0.2">
      <c r="A17" s="2242" t="s">
        <v>935</v>
      </c>
      <c r="B17" s="2242"/>
      <c r="C17" s="2242"/>
      <c r="D17" s="2242"/>
      <c r="E17" s="2243"/>
      <c r="F17" s="790"/>
      <c r="G17" s="791"/>
      <c r="H17" s="792"/>
      <c r="I17" s="792"/>
      <c r="J17" s="793"/>
      <c r="K17" s="794"/>
    </row>
    <row r="18" spans="1:11" x14ac:dyDescent="0.2">
      <c r="A18" s="2234" t="s">
        <v>368</v>
      </c>
      <c r="B18" s="2235"/>
      <c r="C18" s="2235"/>
      <c r="D18" s="2235"/>
      <c r="E18" s="2236"/>
      <c r="F18" s="789" t="s">
        <v>932</v>
      </c>
      <c r="G18" s="782"/>
      <c r="H18" s="782"/>
      <c r="I18" s="782"/>
      <c r="J18" s="765">
        <v>13230</v>
      </c>
      <c r="K18" s="795"/>
    </row>
    <row r="19" spans="1:11" ht="21.75" customHeight="1" x14ac:dyDescent="0.2">
      <c r="A19" s="2255" t="s">
        <v>1809</v>
      </c>
      <c r="B19" s="2255"/>
      <c r="C19" s="2255"/>
      <c r="D19" s="2255"/>
      <c r="E19" s="2256"/>
      <c r="F19" s="789" t="s">
        <v>933</v>
      </c>
      <c r="G19" s="782"/>
      <c r="H19" s="782"/>
      <c r="I19" s="782"/>
      <c r="J19" s="765">
        <v>115000</v>
      </c>
      <c r="K19" s="795"/>
    </row>
    <row r="20" spans="1:11" x14ac:dyDescent="0.2">
      <c r="A20" s="2234" t="s">
        <v>1814</v>
      </c>
      <c r="B20" s="2235"/>
      <c r="C20" s="2235"/>
      <c r="D20" s="2235"/>
      <c r="E20" s="2236"/>
      <c r="F20" s="789" t="s">
        <v>934</v>
      </c>
      <c r="G20" s="782"/>
      <c r="H20" s="782"/>
      <c r="I20" s="782"/>
      <c r="J20" s="765"/>
      <c r="K20" s="795"/>
    </row>
    <row r="21" spans="1:11" ht="13.5" thickBot="1" x14ac:dyDescent="0.25">
      <c r="A21" s="2240" t="s">
        <v>638</v>
      </c>
      <c r="B21" s="2240"/>
      <c r="C21" s="2240"/>
      <c r="D21" s="2240"/>
      <c r="E21" s="2240"/>
      <c r="F21" s="1759"/>
      <c r="G21" s="792"/>
      <c r="H21" s="796"/>
      <c r="I21" s="796"/>
      <c r="J21" s="1760">
        <f>SUM(J18:J20)</f>
        <v>128230</v>
      </c>
      <c r="K21" s="793"/>
    </row>
    <row r="22" spans="1:11" ht="13.5" thickTop="1" x14ac:dyDescent="0.2">
      <c r="A22" s="2220" t="s">
        <v>1815</v>
      </c>
      <c r="B22" s="2220"/>
      <c r="C22" s="2220"/>
      <c r="D22" s="2220"/>
      <c r="E22" s="2248"/>
      <c r="F22" s="789" t="s">
        <v>862</v>
      </c>
      <c r="G22" s="782"/>
      <c r="H22" s="764"/>
      <c r="I22" s="764"/>
      <c r="J22" s="797"/>
      <c r="K22" s="765"/>
    </row>
    <row r="23" spans="1:11" ht="13.5" thickBot="1" x14ac:dyDescent="0.25">
      <c r="A23" s="2241" t="s">
        <v>906</v>
      </c>
      <c r="B23" s="2240"/>
      <c r="C23" s="2240"/>
      <c r="D23" s="2240"/>
      <c r="E23" s="2240"/>
      <c r="F23" s="1761"/>
      <c r="G23" s="1758">
        <f>SUM(G14:G16,G21,G22)</f>
        <v>0</v>
      </c>
      <c r="H23" s="1758">
        <f>SUM(H14:H16,H21,H22)</f>
        <v>15614</v>
      </c>
      <c r="I23" s="1758">
        <f>SUM(I14:I16,I21,I22)</f>
        <v>0</v>
      </c>
      <c r="J23" s="1758">
        <f>SUM(J14:J16,J21,J22)</f>
        <v>128230</v>
      </c>
      <c r="K23" s="1758">
        <f>SUM(K14:K16,K21,K22)</f>
        <v>0</v>
      </c>
    </row>
    <row r="24" spans="1:11" ht="14.25" thickTop="1" thickBot="1" x14ac:dyDescent="0.25">
      <c r="A24" s="2241" t="s">
        <v>1963</v>
      </c>
      <c r="B24" s="2240"/>
      <c r="C24" s="2240"/>
      <c r="D24" s="2240"/>
      <c r="E24" s="2240"/>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50"/>
      <c r="I31" s="2251"/>
      <c r="J31" s="2251"/>
      <c r="K31" s="2251"/>
    </row>
    <row r="32" spans="1:11" x14ac:dyDescent="0.2">
      <c r="A32" s="809"/>
      <c r="B32" s="237"/>
      <c r="C32" s="237"/>
      <c r="D32" s="237"/>
      <c r="E32" s="805"/>
      <c r="F32" s="811" t="s">
        <v>540</v>
      </c>
      <c r="G32" s="764"/>
      <c r="H32" s="2252"/>
      <c r="I32" s="2251"/>
      <c r="J32" s="2251"/>
      <c r="K32" s="2251"/>
    </row>
    <row r="33" spans="1:11" ht="1.5" customHeight="1" x14ac:dyDescent="0.2">
      <c r="A33" s="812" t="s">
        <v>1169</v>
      </c>
      <c r="B33" s="364"/>
      <c r="C33" s="364"/>
      <c r="D33" s="364"/>
      <c r="E33" s="364"/>
      <c r="F33" s="364"/>
      <c r="G33" s="813"/>
      <c r="H33" s="2252"/>
      <c r="I33" s="2251"/>
      <c r="J33" s="2251"/>
      <c r="K33" s="2251"/>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0" t="s">
        <v>541</v>
      </c>
      <c r="B41" s="2221"/>
      <c r="C41" s="2221"/>
      <c r="D41" s="2221"/>
      <c r="E41" s="2221"/>
      <c r="F41" s="2222"/>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topLeftCell="A3" colorId="8" zoomScale="110" zoomScaleNormal="110" workbookViewId="0">
      <selection activeCell="D20" sqref="D20"/>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9" t="s">
        <v>1908</v>
      </c>
      <c r="B1" s="2260"/>
      <c r="C1" s="2261"/>
      <c r="D1" s="826"/>
      <c r="E1" s="827"/>
      <c r="F1" s="827"/>
      <c r="G1" s="828"/>
      <c r="H1" s="829"/>
      <c r="I1" s="830"/>
      <c r="J1" s="2257"/>
      <c r="K1" s="2258"/>
      <c r="L1" s="2258"/>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19100</v>
      </c>
      <c r="D5" s="841"/>
      <c r="E5" s="841"/>
      <c r="F5" s="1760">
        <f>(C5+D5)-E5</f>
        <v>19100</v>
      </c>
      <c r="G5" s="837"/>
      <c r="H5" s="842"/>
      <c r="I5" s="842"/>
      <c r="J5" s="842"/>
      <c r="K5" s="793"/>
      <c r="L5" s="1769">
        <f>F5-K5</f>
        <v>19100</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5872440</v>
      </c>
      <c r="D8" s="844">
        <v>3199</v>
      </c>
      <c r="E8" s="844"/>
      <c r="F8" s="1760">
        <f>(C8+D8)-E8</f>
        <v>5875639</v>
      </c>
      <c r="G8" s="843">
        <v>50</v>
      </c>
      <c r="H8" s="765">
        <v>2117998</v>
      </c>
      <c r="I8" s="765">
        <v>114638</v>
      </c>
      <c r="J8" s="765"/>
      <c r="K8" s="1769">
        <f>(H8+I8)-J8</f>
        <v>2232636</v>
      </c>
      <c r="L8" s="1769">
        <f>F8-K8</f>
        <v>3643003</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87755</v>
      </c>
      <c r="D10" s="846"/>
      <c r="E10" s="846"/>
      <c r="F10" s="1764">
        <f>(C10+D10)-E10</f>
        <v>87755</v>
      </c>
      <c r="G10" s="843">
        <v>20</v>
      </c>
      <c r="H10" s="847">
        <v>30715</v>
      </c>
      <c r="I10" s="847">
        <v>4387</v>
      </c>
      <c r="J10" s="847"/>
      <c r="K10" s="1769">
        <f>(H10+I10)-J10</f>
        <v>35102</v>
      </c>
      <c r="L10" s="1769">
        <f>F10-K10</f>
        <v>52653</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143739</v>
      </c>
      <c r="D12" s="844">
        <v>20694</v>
      </c>
      <c r="E12" s="844">
        <v>11812</v>
      </c>
      <c r="F12" s="1760">
        <f>(C12+D12)-E12</f>
        <v>152621</v>
      </c>
      <c r="G12" s="843">
        <v>10</v>
      </c>
      <c r="H12" s="765">
        <v>65070</v>
      </c>
      <c r="I12" s="765">
        <v>14542</v>
      </c>
      <c r="J12" s="765">
        <v>11812</v>
      </c>
      <c r="K12" s="1769">
        <f>(H12+I12)-J12</f>
        <v>67800</v>
      </c>
      <c r="L12" s="1769">
        <f>F12-K12</f>
        <v>84821</v>
      </c>
    </row>
    <row r="13" spans="1:14" ht="14.25" thickTop="1" thickBot="1" x14ac:dyDescent="0.25">
      <c r="A13" s="848" t="s">
        <v>1122</v>
      </c>
      <c r="B13" s="840">
        <v>252</v>
      </c>
      <c r="C13" s="844">
        <v>150403</v>
      </c>
      <c r="D13" s="844"/>
      <c r="E13" s="844"/>
      <c r="F13" s="1760">
        <f>(C13+D13)-E13</f>
        <v>150403</v>
      </c>
      <c r="G13" s="843">
        <v>5</v>
      </c>
      <c r="H13" s="765">
        <v>114784</v>
      </c>
      <c r="I13" s="765">
        <v>17710</v>
      </c>
      <c r="J13" s="765"/>
      <c r="K13" s="1769">
        <f>(H13+I13)-J13</f>
        <v>132494</v>
      </c>
      <c r="L13" s="1769">
        <f>F13-K13</f>
        <v>17909</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v>0</v>
      </c>
      <c r="D15" s="844">
        <v>10000</v>
      </c>
      <c r="E15" s="844"/>
      <c r="F15" s="1760">
        <f>(C15+D15)-E15</f>
        <v>10000</v>
      </c>
      <c r="G15" s="849" t="s">
        <v>862</v>
      </c>
      <c r="H15" s="781"/>
      <c r="I15" s="781"/>
      <c r="J15" s="781"/>
      <c r="K15" s="781"/>
      <c r="L15" s="1769">
        <f>F15-K15</f>
        <v>10000</v>
      </c>
    </row>
    <row r="16" spans="1:14" ht="15" customHeight="1" thickTop="1" thickBot="1" x14ac:dyDescent="0.25">
      <c r="A16" s="1765" t="s">
        <v>643</v>
      </c>
      <c r="B16" s="1766">
        <v>200</v>
      </c>
      <c r="C16" s="1760">
        <f>SUM(C3,C5:C6,C8:C10,C12:C15)</f>
        <v>6273437</v>
      </c>
      <c r="D16" s="1760">
        <f>SUM(D3,D5:D6,D8:D10,D12:D15)</f>
        <v>33893</v>
      </c>
      <c r="E16" s="1760">
        <f>SUM(E3,E5:E6,E8:E10,E12:E15)</f>
        <v>11812</v>
      </c>
      <c r="F16" s="1760">
        <f>SUM(F3,F5:F6,F8:F10,F12:F15)</f>
        <v>6295518</v>
      </c>
      <c r="G16" s="843"/>
      <c r="H16" s="1760">
        <f>SUM(H3,H6,H8:H10,H12:H14,)</f>
        <v>2328567</v>
      </c>
      <c r="I16" s="1760">
        <f>SUM(I3,I6,I8:I10,I12:I14,)</f>
        <v>151277</v>
      </c>
      <c r="J16" s="1760">
        <f>SUM(J3,J6,J8:J10,J12:J14,)</f>
        <v>11812</v>
      </c>
      <c r="K16" s="1760">
        <f>(H16+I16)-J16</f>
        <v>2468032</v>
      </c>
      <c r="L16" s="1760">
        <f>F16-K16</f>
        <v>3827486</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151277</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173" activePane="bottomLeft" state="frozen"/>
      <selection activeCell="A47" sqref="A47"/>
      <selection pane="bottomLeft" activeCell="F188" sqref="F188"/>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5" t="s">
        <v>1973</v>
      </c>
      <c r="B1" s="2266"/>
      <c r="C1" s="2266"/>
      <c r="D1" s="2266"/>
      <c r="E1" s="2266"/>
      <c r="F1" s="2267"/>
      <c r="G1" s="855"/>
    </row>
    <row r="2" spans="1:7" ht="15" customHeight="1" thickBot="1" x14ac:dyDescent="0.25">
      <c r="A2" s="2268" t="s">
        <v>477</v>
      </c>
      <c r="B2" s="2269"/>
      <c r="C2" s="2269"/>
      <c r="D2" s="2269"/>
      <c r="E2" s="2269"/>
      <c r="F2" s="2270"/>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71"/>
      <c r="B5" s="2272"/>
      <c r="C5" s="2272"/>
      <c r="D5" s="2272"/>
      <c r="E5" s="2272"/>
      <c r="F5" s="2272"/>
    </row>
    <row r="6" spans="1:7" ht="13.5" customHeight="1" thickBot="1" x14ac:dyDescent="0.25">
      <c r="A6" s="2262" t="s">
        <v>1104</v>
      </c>
      <c r="B6" s="2263"/>
      <c r="C6" s="2263"/>
      <c r="D6" s="2263"/>
      <c r="E6" s="2263"/>
      <c r="F6" s="2264"/>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1954907</v>
      </c>
      <c r="G8" s="865"/>
    </row>
    <row r="9" spans="1:7" x14ac:dyDescent="0.2">
      <c r="A9" s="869" t="s">
        <v>460</v>
      </c>
      <c r="B9" s="870" t="s">
        <v>1876</v>
      </c>
      <c r="C9" s="871"/>
      <c r="D9" s="869" t="s">
        <v>501</v>
      </c>
      <c r="E9" s="868"/>
      <c r="F9" s="1909">
        <f>'Expenditures 15-22'!K151</f>
        <v>187165</v>
      </c>
      <c r="G9" s="872"/>
    </row>
    <row r="10" spans="1:7" x14ac:dyDescent="0.2">
      <c r="A10" s="869" t="s">
        <v>499</v>
      </c>
      <c r="B10" s="870" t="s">
        <v>1877</v>
      </c>
      <c r="C10" s="871"/>
      <c r="D10" s="869" t="s">
        <v>501</v>
      </c>
      <c r="E10" s="868"/>
      <c r="F10" s="1909">
        <f>'Expenditures 15-22'!K174</f>
        <v>188855</v>
      </c>
      <c r="G10" s="872"/>
    </row>
    <row r="11" spans="1:7" x14ac:dyDescent="0.2">
      <c r="A11" s="869" t="s">
        <v>461</v>
      </c>
      <c r="B11" s="870" t="s">
        <v>1878</v>
      </c>
      <c r="C11" s="871"/>
      <c r="D11" s="869" t="s">
        <v>501</v>
      </c>
      <c r="E11" s="868"/>
      <c r="F11" s="1909">
        <f>'Expenditures 15-22'!K210</f>
        <v>180649</v>
      </c>
      <c r="G11" s="872"/>
    </row>
    <row r="12" spans="1:7" x14ac:dyDescent="0.2">
      <c r="A12" s="869" t="s">
        <v>462</v>
      </c>
      <c r="B12" s="870" t="s">
        <v>1879</v>
      </c>
      <c r="C12" s="871"/>
      <c r="D12" s="869" t="s">
        <v>501</v>
      </c>
      <c r="E12" s="868"/>
      <c r="F12" s="1909">
        <f>'Expenditures 15-22'!K295</f>
        <v>76360</v>
      </c>
      <c r="G12" s="872"/>
    </row>
    <row r="13" spans="1:7" x14ac:dyDescent="0.2">
      <c r="A13" s="869" t="s">
        <v>106</v>
      </c>
      <c r="B13" s="870" t="s">
        <v>1880</v>
      </c>
      <c r="C13" s="871"/>
      <c r="D13" s="869" t="s">
        <v>501</v>
      </c>
      <c r="E13" s="868"/>
      <c r="F13" s="1909">
        <f>'Expenditures 15-22'!K342</f>
        <v>73340</v>
      </c>
      <c r="G13" s="873"/>
    </row>
    <row r="14" spans="1:7" ht="12" customHeight="1" thickBot="1" x14ac:dyDescent="0.25">
      <c r="A14" s="1770"/>
      <c r="B14" s="1771"/>
      <c r="C14" s="1772"/>
      <c r="D14" s="1773" t="s">
        <v>501</v>
      </c>
      <c r="E14" s="1774" t="s">
        <v>958</v>
      </c>
      <c r="F14" s="1775">
        <f>SUM(F8:F13)</f>
        <v>2661276</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23442</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23066</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26</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52413</v>
      </c>
      <c r="G53" s="865"/>
    </row>
    <row r="54" spans="1:7" x14ac:dyDescent="0.2">
      <c r="A54" s="869" t="s">
        <v>459</v>
      </c>
      <c r="B54" s="869" t="s">
        <v>1476</v>
      </c>
      <c r="C54" s="889" t="s">
        <v>982</v>
      </c>
      <c r="D54" s="885" t="s">
        <v>1095</v>
      </c>
      <c r="E54" s="868"/>
      <c r="F54" s="1913">
        <f>'Expenditures 15-22'!G114</f>
        <v>10722</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21325</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115000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1846</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257</v>
      </c>
      <c r="G67" s="865"/>
    </row>
    <row r="68" spans="1:8" x14ac:dyDescent="0.2">
      <c r="A68" s="869" t="s">
        <v>462</v>
      </c>
      <c r="B68" s="869" t="s">
        <v>1479</v>
      </c>
      <c r="C68" s="886" t="str">
        <f>'Expenditures 15-22'!B218</f>
        <v>1225</v>
      </c>
      <c r="D68" s="892" t="str">
        <f>'Expenditures 15-22'!A218</f>
        <v>Special Education Programs - Pre-K</v>
      </c>
      <c r="E68" s="868"/>
      <c r="F68" s="1913">
        <f>'Expenditures 15-22'!K218</f>
        <v>254</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248351</v>
      </c>
      <c r="G76" s="865"/>
    </row>
    <row r="77" spans="1:8" s="893" customFormat="1" ht="12" customHeight="1" thickTop="1" thickBot="1" x14ac:dyDescent="0.25">
      <c r="A77" s="1779"/>
      <c r="B77" s="1776"/>
      <c r="C77" s="1772"/>
      <c r="D77" s="1777" t="s">
        <v>1899</v>
      </c>
      <c r="E77" s="1774"/>
      <c r="F77" s="1780">
        <f>(F14-F76)</f>
        <v>2412925</v>
      </c>
      <c r="G77" s="869"/>
    </row>
    <row r="78" spans="1:8" s="893" customFormat="1" ht="12" customHeight="1" thickTop="1" x14ac:dyDescent="0.2">
      <c r="A78" s="1781"/>
      <c r="B78" s="1776"/>
      <c r="C78" s="1772"/>
      <c r="D78" s="1777" t="s">
        <v>2060</v>
      </c>
      <c r="E78" s="1774"/>
      <c r="F78" s="898">
        <v>264.89999999999998</v>
      </c>
      <c r="G78" s="899"/>
      <c r="H78" s="869"/>
    </row>
    <row r="79" spans="1:8" s="893" customFormat="1" ht="12" customHeight="1" thickBot="1" x14ac:dyDescent="0.25">
      <c r="A79" s="1782"/>
      <c r="B79" s="1776"/>
      <c r="C79" s="1772"/>
      <c r="D79" s="1777" t="s">
        <v>1900</v>
      </c>
      <c r="E79" s="1774" t="s">
        <v>958</v>
      </c>
      <c r="F79" s="1783">
        <f>IF(F78&gt;0,F77/F78," Complete Line 78")</f>
        <v>9108.8146470366191</v>
      </c>
      <c r="G79" s="869"/>
    </row>
    <row r="80" spans="1:8" s="893" customFormat="1" ht="8.25" customHeight="1" thickTop="1" x14ac:dyDescent="0.2">
      <c r="A80" s="900"/>
      <c r="B80" s="869"/>
      <c r="C80" s="871"/>
      <c r="D80" s="901"/>
      <c r="E80" s="868"/>
      <c r="F80" s="902"/>
      <c r="G80" s="869"/>
    </row>
    <row r="81" spans="1:7" s="893" customFormat="1" ht="12" thickBot="1" x14ac:dyDescent="0.25">
      <c r="A81" s="2262" t="s">
        <v>1105</v>
      </c>
      <c r="B81" s="2263"/>
      <c r="C81" s="2263"/>
      <c r="D81" s="2263"/>
      <c r="E81" s="2263"/>
      <c r="F81" s="2264"/>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56373</v>
      </c>
      <c r="G94" s="912"/>
    </row>
    <row r="95" spans="1:7" x14ac:dyDescent="0.2">
      <c r="A95" s="908" t="s">
        <v>140</v>
      </c>
      <c r="B95" s="908" t="s">
        <v>175</v>
      </c>
      <c r="C95" s="910">
        <v>1700</v>
      </c>
      <c r="D95" s="918" t="str">
        <f>'Revenues 9-14'!A82</f>
        <v>Total District/School Activity Income</v>
      </c>
      <c r="E95" s="906"/>
      <c r="F95" s="1789">
        <f>SUM('Revenues 9-14'!C82,'Revenues 9-14'!D82)</f>
        <v>10316</v>
      </c>
      <c r="G95" s="912"/>
    </row>
    <row r="96" spans="1:7" x14ac:dyDescent="0.2">
      <c r="A96" s="908" t="s">
        <v>459</v>
      </c>
      <c r="B96" s="908" t="s">
        <v>176</v>
      </c>
      <c r="C96" s="910">
        <f>'Revenues 9-14'!B84</f>
        <v>1811</v>
      </c>
      <c r="D96" s="911" t="str">
        <f>'Revenues 9-14'!A84</f>
        <v>Rentals - Regular Textbooks</v>
      </c>
      <c r="E96" s="906"/>
      <c r="F96" s="1789">
        <f>'Revenues 9-14'!C84</f>
        <v>13825</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910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14132</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26837</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1406</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0</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100893</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0</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80774</v>
      </c>
      <c r="G125" s="930"/>
    </row>
    <row r="126" spans="1:7" x14ac:dyDescent="0.2">
      <c r="A126" s="927" t="s">
        <v>668</v>
      </c>
      <c r="B126" s="927" t="s">
        <v>2022</v>
      </c>
      <c r="C126" s="932">
        <v>4300</v>
      </c>
      <c r="D126" s="933" t="str">
        <f>'Revenues 9-14'!A204</f>
        <v>Total Title I</v>
      </c>
      <c r="E126" s="906"/>
      <c r="F126" s="1789">
        <f>SUM('Revenues 9-14'!C204,'Revenues 9-14'!D204,'Revenues 9-14'!F204,'Revenues 9-14'!G204)</f>
        <v>33800</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5719</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72870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9277</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0</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1919</v>
      </c>
      <c r="C171" s="1920">
        <v>3100</v>
      </c>
      <c r="D171" s="1921" t="s">
        <v>1921</v>
      </c>
      <c r="E171" s="906"/>
      <c r="F171" s="1906">
        <v>80659</v>
      </c>
      <c r="G171" s="927"/>
    </row>
    <row r="172" spans="1:7" x14ac:dyDescent="0.2">
      <c r="A172" s="1918" t="s">
        <v>664</v>
      </c>
      <c r="B172" s="1919" t="s">
        <v>1919</v>
      </c>
      <c r="C172" s="1920">
        <v>3300</v>
      </c>
      <c r="D172" s="1921" t="s">
        <v>1922</v>
      </c>
      <c r="E172" s="906"/>
      <c r="F172" s="1906">
        <v>0</v>
      </c>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507791</v>
      </c>
    </row>
    <row r="175" spans="1:7" ht="12" customHeight="1" x14ac:dyDescent="0.2">
      <c r="A175" s="1770"/>
      <c r="B175" s="1784"/>
      <c r="C175" s="1785"/>
      <c r="D175" s="1786" t="s">
        <v>2055</v>
      </c>
      <c r="E175" s="1787"/>
      <c r="F175" s="1789">
        <f>'PCTC-OEPP 27-28'!F77-F174</f>
        <v>1905134</v>
      </c>
    </row>
    <row r="176" spans="1:7" ht="12" customHeight="1" x14ac:dyDescent="0.2">
      <c r="A176" s="1770"/>
      <c r="B176" s="1784"/>
      <c r="C176" s="1785"/>
      <c r="D176" s="1786" t="s">
        <v>1817</v>
      </c>
      <c r="E176" s="1787"/>
      <c r="F176" s="1789">
        <f>'Cap Outlay Deprec 26'!I18</f>
        <v>151277</v>
      </c>
    </row>
    <row r="177" spans="1:7" ht="12" customHeight="1" x14ac:dyDescent="0.2">
      <c r="A177" s="1770"/>
      <c r="B177" s="1784"/>
      <c r="C177" s="1785"/>
      <c r="D177" s="1786" t="s">
        <v>2056</v>
      </c>
      <c r="E177" s="1787"/>
      <c r="F177" s="1789">
        <f>F175+F176</f>
        <v>2056411</v>
      </c>
    </row>
    <row r="178" spans="1:7" ht="12" customHeight="1" x14ac:dyDescent="0.2">
      <c r="A178" s="1770"/>
      <c r="B178" s="1790"/>
      <c r="C178" s="1785"/>
      <c r="D178" s="1786" t="str">
        <f>D78</f>
        <v>9 Month ADA from District Average Daily Attendance/Prior General State Aid Inquiry 2018-2019</v>
      </c>
      <c r="E178" s="1787"/>
      <c r="F178" s="1791">
        <f>'PCTC-OEPP 27-28'!F78</f>
        <v>264.89999999999998</v>
      </c>
      <c r="G178" s="930"/>
    </row>
    <row r="179" spans="1:7" ht="12" customHeight="1" thickBot="1" x14ac:dyDescent="0.25">
      <c r="A179" s="1770"/>
      <c r="B179" s="1790"/>
      <c r="C179" s="1785"/>
      <c r="D179" s="1786" t="s">
        <v>2057</v>
      </c>
      <c r="E179" s="1787" t="s">
        <v>1545</v>
      </c>
      <c r="F179" s="1792">
        <f>F177/F178</f>
        <v>7762.9709324273317</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4"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topLeftCell="A15" zoomScaleNormal="100" workbookViewId="0">
      <selection activeCell="A16" sqref="A16"/>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6" t="s">
        <v>1818</v>
      </c>
      <c r="B4" s="2277"/>
      <c r="C4" s="2277"/>
      <c r="D4" s="2277"/>
      <c r="E4" s="2277"/>
      <c r="F4" s="2277"/>
      <c r="G4" s="2278"/>
    </row>
    <row r="5" spans="1:7" x14ac:dyDescent="0.25">
      <c r="A5" s="2279"/>
      <c r="B5" s="2280"/>
      <c r="C5" s="2280"/>
      <c r="D5" s="2280"/>
      <c r="E5" s="2280"/>
      <c r="F5" s="2280"/>
      <c r="G5" s="2281"/>
    </row>
    <row r="6" spans="1:7" ht="18.75" x14ac:dyDescent="0.25">
      <c r="A6" s="1937" t="s">
        <v>2064</v>
      </c>
      <c r="B6" s="1938"/>
      <c r="C6" s="1938"/>
      <c r="D6" s="1938"/>
      <c r="E6" s="1938"/>
      <c r="F6" s="1938"/>
      <c r="G6" s="1939"/>
    </row>
    <row r="7" spans="1:7" ht="18.75" x14ac:dyDescent="0.25">
      <c r="A7" s="1534" t="s">
        <v>1819</v>
      </c>
      <c r="B7" s="1535"/>
      <c r="C7" s="1535"/>
      <c r="D7" s="1535"/>
      <c r="E7" s="1535"/>
      <c r="F7" s="1535"/>
      <c r="G7" s="1536"/>
    </row>
    <row r="8" spans="1:7" ht="30.75" customHeight="1" x14ac:dyDescent="0.25">
      <c r="A8" s="2282" t="s">
        <v>1931</v>
      </c>
      <c r="B8" s="2283"/>
      <c r="C8" s="2283"/>
      <c r="D8" s="2283"/>
      <c r="E8" s="2283"/>
      <c r="F8" s="2283"/>
      <c r="G8" s="2284"/>
    </row>
    <row r="9" spans="1:7" ht="15.75" customHeight="1" x14ac:dyDescent="0.25">
      <c r="A9" s="2285" t="s">
        <v>1906</v>
      </c>
      <c r="B9" s="2286"/>
      <c r="C9" s="2286"/>
      <c r="D9" s="2286"/>
      <c r="E9" s="2286"/>
      <c r="F9" s="2286"/>
      <c r="G9" s="2287"/>
    </row>
    <row r="10" spans="1:7" ht="35.25" customHeight="1" x14ac:dyDescent="0.25">
      <c r="A10" s="2282" t="s">
        <v>2063</v>
      </c>
      <c r="B10" s="2283"/>
      <c r="C10" s="2283"/>
      <c r="D10" s="2283"/>
      <c r="E10" s="2283"/>
      <c r="F10" s="2283"/>
      <c r="G10" s="2284"/>
    </row>
    <row r="11" spans="1:7" ht="15" customHeight="1" x14ac:dyDescent="0.25">
      <c r="A11" s="1537" t="s">
        <v>1820</v>
      </c>
      <c r="B11" s="1538"/>
      <c r="C11" s="1538"/>
      <c r="D11" s="1538"/>
      <c r="E11" s="1538"/>
      <c r="F11" s="1538"/>
      <c r="G11" s="1539"/>
    </row>
    <row r="12" spans="1:7" ht="17.25" customHeight="1" x14ac:dyDescent="0.25">
      <c r="A12" s="2282" t="s">
        <v>1933</v>
      </c>
      <c r="B12" s="2283"/>
      <c r="C12" s="2283"/>
      <c r="D12" s="2283"/>
      <c r="E12" s="2283"/>
      <c r="F12" s="2283"/>
      <c r="G12" s="2284"/>
    </row>
    <row r="13" spans="1:7" ht="15" customHeight="1" x14ac:dyDescent="0.25">
      <c r="A13" s="1537" t="s">
        <v>1825</v>
      </c>
      <c r="B13" s="1538"/>
      <c r="C13" s="1538"/>
      <c r="D13" s="1538"/>
      <c r="E13" s="1538"/>
      <c r="F13" s="1538"/>
      <c r="G13" s="1539"/>
    </row>
    <row r="14" spans="1:7" ht="32.25" customHeight="1" x14ac:dyDescent="0.25">
      <c r="A14" s="2273" t="s">
        <v>1974</v>
      </c>
      <c r="B14" s="2274"/>
      <c r="C14" s="2274"/>
      <c r="D14" s="2274"/>
      <c r="E14" s="2274"/>
      <c r="F14" s="2274"/>
      <c r="G14" s="2275"/>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4" t="s">
        <v>2096</v>
      </c>
      <c r="B18" s="1945" t="s">
        <v>2097</v>
      </c>
      <c r="C18" s="1946" t="s">
        <v>2098</v>
      </c>
      <c r="D18" s="1844">
        <v>46320</v>
      </c>
      <c r="E18" s="1540">
        <f t="shared" ref="E18:E142" si="0">IF(D18&lt;=25000,D18,IF(D18&gt;25000,25000,0))</f>
        <v>25000</v>
      </c>
      <c r="F18" s="1936">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25000</v>
      </c>
      <c r="G18" s="1793">
        <f>IF(F18=0,0,D18-F18)</f>
        <v>21320</v>
      </c>
      <c r="H18" s="1647"/>
    </row>
    <row r="19" spans="1:8" x14ac:dyDescent="0.25">
      <c r="A19" s="1944" t="s">
        <v>2099</v>
      </c>
      <c r="B19" s="1945" t="s">
        <v>2100</v>
      </c>
      <c r="C19" s="1946" t="s">
        <v>2101</v>
      </c>
      <c r="D19" s="1844">
        <v>47961</v>
      </c>
      <c r="E19" s="1540">
        <f t="shared" ref="E19:E141" si="2">IF(D19&lt;=25000,D19,IF(D19&gt;25000,25000,0))</f>
        <v>25000</v>
      </c>
      <c r="F19" s="1936">
        <f t="shared" si="1"/>
        <v>25000</v>
      </c>
      <c r="G19" s="1793">
        <f t="shared" ref="G19:G141" si="3">IF(F19=0,0,D19-F19)</f>
        <v>22961</v>
      </c>
    </row>
    <row r="20" spans="1:8" x14ac:dyDescent="0.25">
      <c r="A20" s="1653"/>
      <c r="B20" s="1933"/>
      <c r="C20" s="1656"/>
      <c r="D20" s="1844"/>
      <c r="E20" s="1540">
        <f t="shared" si="2"/>
        <v>0</v>
      </c>
      <c r="F20" s="1936">
        <f t="shared" si="1"/>
        <v>0</v>
      </c>
      <c r="G20" s="1793">
        <f t="shared" si="3"/>
        <v>0</v>
      </c>
    </row>
    <row r="21" spans="1:8" hidden="1" x14ac:dyDescent="0.25">
      <c r="A21" s="1653"/>
      <c r="B21" s="1933"/>
      <c r="C21" s="1656"/>
      <c r="D21" s="1844"/>
      <c r="E21" s="1540">
        <f t="shared" si="2"/>
        <v>0</v>
      </c>
      <c r="F21" s="1936">
        <f t="shared" si="1"/>
        <v>0</v>
      </c>
      <c r="G21" s="1793">
        <f t="shared" si="3"/>
        <v>0</v>
      </c>
    </row>
    <row r="22" spans="1:8" hidden="1" x14ac:dyDescent="0.25">
      <c r="A22" s="1653"/>
      <c r="B22" s="1933"/>
      <c r="C22" s="1656"/>
      <c r="D22" s="1844"/>
      <c r="E22" s="1540">
        <f t="shared" si="2"/>
        <v>0</v>
      </c>
      <c r="F22" s="1936">
        <f t="shared" si="1"/>
        <v>0</v>
      </c>
      <c r="G22" s="1793">
        <f t="shared" si="3"/>
        <v>0</v>
      </c>
    </row>
    <row r="23" spans="1:8" hidden="1" x14ac:dyDescent="0.25">
      <c r="A23" s="1653"/>
      <c r="B23" s="1933"/>
      <c r="C23" s="1656"/>
      <c r="D23" s="1844"/>
      <c r="E23" s="1540">
        <f t="shared" si="2"/>
        <v>0</v>
      </c>
      <c r="F23" s="1936">
        <f t="shared" si="1"/>
        <v>0</v>
      </c>
      <c r="G23" s="1793">
        <f t="shared" si="3"/>
        <v>0</v>
      </c>
    </row>
    <row r="24" spans="1:8" hidden="1" x14ac:dyDescent="0.25">
      <c r="A24" s="1653"/>
      <c r="B24" s="1933"/>
      <c r="C24" s="1656"/>
      <c r="D24" s="1844"/>
      <c r="E24" s="1540">
        <f t="shared" si="2"/>
        <v>0</v>
      </c>
      <c r="F24" s="1936">
        <f t="shared" si="1"/>
        <v>0</v>
      </c>
      <c r="G24" s="1793">
        <f t="shared" si="3"/>
        <v>0</v>
      </c>
    </row>
    <row r="25" spans="1:8" hidden="1" x14ac:dyDescent="0.25">
      <c r="A25" s="1653"/>
      <c r="B25" s="1933"/>
      <c r="C25" s="1656"/>
      <c r="D25" s="1844"/>
      <c r="E25" s="1540">
        <f t="shared" si="2"/>
        <v>0</v>
      </c>
      <c r="F25" s="1936">
        <f t="shared" si="1"/>
        <v>0</v>
      </c>
      <c r="G25" s="1793">
        <f t="shared" si="3"/>
        <v>0</v>
      </c>
    </row>
    <row r="26" spans="1:8" hidden="1" x14ac:dyDescent="0.25">
      <c r="A26" s="1653"/>
      <c r="B26" s="1933"/>
      <c r="C26" s="1656"/>
      <c r="D26" s="1844"/>
      <c r="E26" s="1540">
        <f t="shared" si="2"/>
        <v>0</v>
      </c>
      <c r="F26" s="1936">
        <f t="shared" si="1"/>
        <v>0</v>
      </c>
      <c r="G26" s="1793">
        <f t="shared" si="3"/>
        <v>0</v>
      </c>
    </row>
    <row r="27" spans="1:8" hidden="1" x14ac:dyDescent="0.25">
      <c r="A27" s="1653"/>
      <c r="B27" s="1933"/>
      <c r="C27" s="1654"/>
      <c r="D27" s="1844"/>
      <c r="E27" s="1540">
        <f t="shared" si="2"/>
        <v>0</v>
      </c>
      <c r="F27" s="1936">
        <f t="shared" si="1"/>
        <v>0</v>
      </c>
      <c r="G27" s="1793">
        <f t="shared" si="3"/>
        <v>0</v>
      </c>
    </row>
    <row r="28" spans="1:8" hidden="1" x14ac:dyDescent="0.25">
      <c r="A28" s="1653"/>
      <c r="B28" s="1933"/>
      <c r="C28" s="1654"/>
      <c r="D28" s="1844"/>
      <c r="E28" s="1540">
        <f t="shared" si="2"/>
        <v>0</v>
      </c>
      <c r="F28" s="1936">
        <f t="shared" si="1"/>
        <v>0</v>
      </c>
      <c r="G28" s="1793">
        <f t="shared" si="3"/>
        <v>0</v>
      </c>
    </row>
    <row r="29" spans="1:8" hidden="1" x14ac:dyDescent="0.25">
      <c r="A29" s="1653"/>
      <c r="B29" s="1933"/>
      <c r="C29" s="1654"/>
      <c r="D29" s="1844"/>
      <c r="E29" s="1540">
        <f t="shared" si="2"/>
        <v>0</v>
      </c>
      <c r="F29" s="1936">
        <f t="shared" si="1"/>
        <v>0</v>
      </c>
      <c r="G29" s="1793">
        <f t="shared" si="3"/>
        <v>0</v>
      </c>
    </row>
    <row r="30" spans="1:8" hidden="1" x14ac:dyDescent="0.25">
      <c r="A30" s="1653"/>
      <c r="B30" s="1933"/>
      <c r="C30" s="1654"/>
      <c r="D30" s="1844"/>
      <c r="E30" s="1540">
        <f t="shared" si="2"/>
        <v>0</v>
      </c>
      <c r="F30" s="1936">
        <f t="shared" si="1"/>
        <v>0</v>
      </c>
      <c r="G30" s="1793">
        <f t="shared" si="3"/>
        <v>0</v>
      </c>
    </row>
    <row r="31" spans="1:8" hidden="1" x14ac:dyDescent="0.25">
      <c r="A31" s="1653"/>
      <c r="B31" s="1933"/>
      <c r="C31" s="1654"/>
      <c r="D31" s="1844"/>
      <c r="E31" s="1540">
        <f t="shared" si="2"/>
        <v>0</v>
      </c>
      <c r="F31" s="1936">
        <f t="shared" si="1"/>
        <v>0</v>
      </c>
      <c r="G31" s="1793">
        <f t="shared" si="3"/>
        <v>0</v>
      </c>
    </row>
    <row r="32" spans="1:8" hidden="1" x14ac:dyDescent="0.25">
      <c r="A32" s="1653"/>
      <c r="B32" s="1933"/>
      <c r="C32" s="1654"/>
      <c r="D32" s="1844"/>
      <c r="E32" s="1540">
        <f t="shared" si="2"/>
        <v>0</v>
      </c>
      <c r="F32" s="1936">
        <f t="shared" si="1"/>
        <v>0</v>
      </c>
      <c r="G32" s="1793">
        <f t="shared" si="3"/>
        <v>0</v>
      </c>
    </row>
    <row r="33" spans="1:7" hidden="1" x14ac:dyDescent="0.25">
      <c r="A33" s="1653"/>
      <c r="B33" s="1933"/>
      <c r="C33" s="1654"/>
      <c r="D33" s="1844"/>
      <c r="E33" s="1540">
        <f t="shared" si="2"/>
        <v>0</v>
      </c>
      <c r="F33" s="1936">
        <f t="shared" si="1"/>
        <v>0</v>
      </c>
      <c r="G33" s="1793">
        <f t="shared" si="3"/>
        <v>0</v>
      </c>
    </row>
    <row r="34" spans="1:7" hidden="1" x14ac:dyDescent="0.25">
      <c r="A34" s="1653"/>
      <c r="B34" s="1933"/>
      <c r="C34" s="1654"/>
      <c r="D34" s="1844"/>
      <c r="E34" s="1540">
        <f t="shared" si="2"/>
        <v>0</v>
      </c>
      <c r="F34" s="1936">
        <f t="shared" si="1"/>
        <v>0</v>
      </c>
      <c r="G34" s="1793">
        <f t="shared" si="3"/>
        <v>0</v>
      </c>
    </row>
    <row r="35" spans="1:7" hidden="1" x14ac:dyDescent="0.25">
      <c r="A35" s="1653"/>
      <c r="B35" s="1933"/>
      <c r="C35" s="1654"/>
      <c r="D35" s="1844"/>
      <c r="E35" s="1540">
        <f t="shared" si="2"/>
        <v>0</v>
      </c>
      <c r="F35" s="1936">
        <f t="shared" si="1"/>
        <v>0</v>
      </c>
      <c r="G35" s="1793">
        <f t="shared" si="3"/>
        <v>0</v>
      </c>
    </row>
    <row r="36" spans="1:7" hidden="1" x14ac:dyDescent="0.25">
      <c r="A36" s="1653"/>
      <c r="B36" s="1933"/>
      <c r="C36" s="1654"/>
      <c r="D36" s="1844"/>
      <c r="E36" s="1540">
        <f t="shared" si="2"/>
        <v>0</v>
      </c>
      <c r="F36" s="1936">
        <f t="shared" si="1"/>
        <v>0</v>
      </c>
      <c r="G36" s="1793">
        <f t="shared" si="3"/>
        <v>0</v>
      </c>
    </row>
    <row r="37" spans="1:7" hidden="1" x14ac:dyDescent="0.25">
      <c r="A37" s="1653"/>
      <c r="B37" s="1933"/>
      <c r="C37" s="1654"/>
      <c r="D37" s="1844"/>
      <c r="E37" s="1540">
        <f t="shared" si="2"/>
        <v>0</v>
      </c>
      <c r="F37" s="1936">
        <f t="shared" si="1"/>
        <v>0</v>
      </c>
      <c r="G37" s="1793">
        <f t="shared" si="3"/>
        <v>0</v>
      </c>
    </row>
    <row r="38" spans="1:7" hidden="1" x14ac:dyDescent="0.25">
      <c r="A38" s="1653"/>
      <c r="B38" s="1933"/>
      <c r="C38" s="1654"/>
      <c r="D38" s="1844"/>
      <c r="E38" s="1540">
        <f t="shared" si="2"/>
        <v>0</v>
      </c>
      <c r="F38" s="1936">
        <f t="shared" si="1"/>
        <v>0</v>
      </c>
      <c r="G38" s="1793">
        <f t="shared" si="3"/>
        <v>0</v>
      </c>
    </row>
    <row r="39" spans="1:7" hidden="1" x14ac:dyDescent="0.25">
      <c r="A39" s="1653"/>
      <c r="B39" s="1934"/>
      <c r="C39" s="1654"/>
      <c r="D39" s="1844"/>
      <c r="E39" s="1540">
        <f t="shared" si="2"/>
        <v>0</v>
      </c>
      <c r="F39" s="1936">
        <f t="shared" si="1"/>
        <v>0</v>
      </c>
      <c r="G39" s="1793">
        <f t="shared" si="3"/>
        <v>0</v>
      </c>
    </row>
    <row r="40" spans="1:7" hidden="1" x14ac:dyDescent="0.25">
      <c r="A40" s="1653"/>
      <c r="B40" s="1934"/>
      <c r="C40" s="1654"/>
      <c r="D40" s="1844"/>
      <c r="E40" s="1540">
        <f t="shared" si="2"/>
        <v>0</v>
      </c>
      <c r="F40" s="1936">
        <f t="shared" si="1"/>
        <v>0</v>
      </c>
      <c r="G40" s="1793">
        <f t="shared" si="3"/>
        <v>0</v>
      </c>
    </row>
    <row r="41" spans="1:7" hidden="1" x14ac:dyDescent="0.25">
      <c r="A41" s="1653"/>
      <c r="B41" s="1934"/>
      <c r="C41" s="1654"/>
      <c r="D41" s="1844"/>
      <c r="E41" s="1540">
        <f t="shared" si="2"/>
        <v>0</v>
      </c>
      <c r="F41" s="1936">
        <f t="shared" si="1"/>
        <v>0</v>
      </c>
      <c r="G41" s="1793">
        <f t="shared" si="3"/>
        <v>0</v>
      </c>
    </row>
    <row r="42" spans="1:7" hidden="1" x14ac:dyDescent="0.25">
      <c r="A42" s="1653"/>
      <c r="B42" s="1934"/>
      <c r="C42" s="1654"/>
      <c r="D42" s="1844"/>
      <c r="E42" s="1540">
        <f t="shared" si="2"/>
        <v>0</v>
      </c>
      <c r="F42" s="1936">
        <f t="shared" si="1"/>
        <v>0</v>
      </c>
      <c r="G42" s="1793">
        <f t="shared" si="3"/>
        <v>0</v>
      </c>
    </row>
    <row r="43" spans="1:7" hidden="1" x14ac:dyDescent="0.25">
      <c r="A43" s="1653"/>
      <c r="B43" s="1934"/>
      <c r="C43" s="1654"/>
      <c r="D43" s="1844"/>
      <c r="E43" s="1540">
        <f t="shared" si="2"/>
        <v>0</v>
      </c>
      <c r="F43" s="1936">
        <f t="shared" si="1"/>
        <v>0</v>
      </c>
      <c r="G43" s="1793">
        <f t="shared" si="3"/>
        <v>0</v>
      </c>
    </row>
    <row r="44" spans="1:7" hidden="1" x14ac:dyDescent="0.25">
      <c r="A44" s="1653"/>
      <c r="B44" s="1934"/>
      <c r="C44" s="1654"/>
      <c r="D44" s="1844"/>
      <c r="E44" s="1540">
        <f t="shared" si="2"/>
        <v>0</v>
      </c>
      <c r="F44" s="1936">
        <f t="shared" si="1"/>
        <v>0</v>
      </c>
      <c r="G44" s="1793">
        <f t="shared" si="3"/>
        <v>0</v>
      </c>
    </row>
    <row r="45" spans="1:7" hidden="1" x14ac:dyDescent="0.25">
      <c r="A45" s="1653"/>
      <c r="B45" s="1934"/>
      <c r="C45" s="1654"/>
      <c r="D45" s="1844"/>
      <c r="E45" s="1540">
        <f t="shared" si="2"/>
        <v>0</v>
      </c>
      <c r="F45" s="1936">
        <f t="shared" si="1"/>
        <v>0</v>
      </c>
      <c r="G45" s="1793">
        <f t="shared" si="3"/>
        <v>0</v>
      </c>
    </row>
    <row r="46" spans="1:7" hidden="1" x14ac:dyDescent="0.25">
      <c r="A46" s="1653"/>
      <c r="B46" s="1934"/>
      <c r="C46" s="1654"/>
      <c r="D46" s="1844"/>
      <c r="E46" s="1540">
        <f t="shared" si="2"/>
        <v>0</v>
      </c>
      <c r="F46" s="1936">
        <f t="shared" si="1"/>
        <v>0</v>
      </c>
      <c r="G46" s="1793">
        <f t="shared" si="3"/>
        <v>0</v>
      </c>
    </row>
    <row r="47" spans="1:7" hidden="1" x14ac:dyDescent="0.25">
      <c r="A47" s="1653"/>
      <c r="B47" s="1667"/>
      <c r="C47" s="1654"/>
      <c r="D47" s="1844"/>
      <c r="E47" s="1540">
        <f t="shared" si="2"/>
        <v>0</v>
      </c>
      <c r="F47" s="1936">
        <f t="shared" si="1"/>
        <v>0</v>
      </c>
      <c r="G47" s="1793">
        <f t="shared" si="3"/>
        <v>0</v>
      </c>
    </row>
    <row r="48" spans="1:7" hidden="1" x14ac:dyDescent="0.25">
      <c r="A48" s="1653"/>
      <c r="B48" s="1667"/>
      <c r="C48" s="1654"/>
      <c r="D48" s="1844"/>
      <c r="E48" s="1540">
        <f t="shared" si="2"/>
        <v>0</v>
      </c>
      <c r="F48" s="1936">
        <f t="shared" si="1"/>
        <v>0</v>
      </c>
      <c r="G48" s="1793">
        <f t="shared" si="3"/>
        <v>0</v>
      </c>
    </row>
    <row r="49" spans="1:7" hidden="1" x14ac:dyDescent="0.25">
      <c r="A49" s="1653"/>
      <c r="B49" s="1667"/>
      <c r="C49" s="1654"/>
      <c r="D49" s="1844"/>
      <c r="E49" s="1540">
        <f t="shared" si="2"/>
        <v>0</v>
      </c>
      <c r="F49" s="1936">
        <f t="shared" si="1"/>
        <v>0</v>
      </c>
      <c r="G49" s="1793">
        <f t="shared" si="3"/>
        <v>0</v>
      </c>
    </row>
    <row r="50" spans="1:7" hidden="1" x14ac:dyDescent="0.25">
      <c r="A50" s="1653"/>
      <c r="B50" s="1667"/>
      <c r="C50" s="1654"/>
      <c r="D50" s="1844"/>
      <c r="E50" s="1540">
        <f t="shared" si="2"/>
        <v>0</v>
      </c>
      <c r="F50" s="1936">
        <f t="shared" si="1"/>
        <v>0</v>
      </c>
      <c r="G50" s="1793">
        <f t="shared" si="3"/>
        <v>0</v>
      </c>
    </row>
    <row r="51" spans="1:7" hidden="1" x14ac:dyDescent="0.25">
      <c r="A51" s="1653"/>
      <c r="B51" s="1667"/>
      <c r="C51" s="1654"/>
      <c r="D51" s="1844"/>
      <c r="E51" s="1540">
        <f t="shared" si="2"/>
        <v>0</v>
      </c>
      <c r="F51" s="1936">
        <f t="shared" si="1"/>
        <v>0</v>
      </c>
      <c r="G51" s="1793">
        <f t="shared" si="3"/>
        <v>0</v>
      </c>
    </row>
    <row r="52" spans="1:7" hidden="1" x14ac:dyDescent="0.25">
      <c r="A52" s="1653"/>
      <c r="B52" s="1667"/>
      <c r="C52" s="1654"/>
      <c r="D52" s="1844"/>
      <c r="E52" s="1540">
        <f t="shared" si="2"/>
        <v>0</v>
      </c>
      <c r="F52" s="1936">
        <f t="shared" si="1"/>
        <v>0</v>
      </c>
      <c r="G52" s="1793">
        <f t="shared" si="3"/>
        <v>0</v>
      </c>
    </row>
    <row r="53" spans="1:7" hidden="1" x14ac:dyDescent="0.25">
      <c r="A53" s="1653"/>
      <c r="B53" s="1667"/>
      <c r="C53" s="1654"/>
      <c r="D53" s="1844"/>
      <c r="E53" s="1540">
        <f t="shared" si="2"/>
        <v>0</v>
      </c>
      <c r="F53" s="1936">
        <f t="shared" si="1"/>
        <v>0</v>
      </c>
      <c r="G53" s="1793">
        <f t="shared" si="3"/>
        <v>0</v>
      </c>
    </row>
    <row r="54" spans="1:7" hidden="1" x14ac:dyDescent="0.25">
      <c r="A54" s="1653"/>
      <c r="B54" s="1667"/>
      <c r="C54" s="1654"/>
      <c r="D54" s="1844"/>
      <c r="E54" s="1540">
        <f t="shared" si="2"/>
        <v>0</v>
      </c>
      <c r="F54" s="1936">
        <f t="shared" si="1"/>
        <v>0</v>
      </c>
      <c r="G54" s="1793">
        <f t="shared" si="3"/>
        <v>0</v>
      </c>
    </row>
    <row r="55" spans="1:7" hidden="1" x14ac:dyDescent="0.25">
      <c r="A55" s="1653"/>
      <c r="B55" s="1667"/>
      <c r="C55" s="1654"/>
      <c r="D55" s="1844"/>
      <c r="E55" s="1540">
        <f t="shared" si="2"/>
        <v>0</v>
      </c>
      <c r="F55" s="1936">
        <f t="shared" si="1"/>
        <v>0</v>
      </c>
      <c r="G55" s="1793">
        <f t="shared" si="3"/>
        <v>0</v>
      </c>
    </row>
    <row r="56" spans="1:7" hidden="1" x14ac:dyDescent="0.25">
      <c r="A56" s="1653"/>
      <c r="B56" s="1667"/>
      <c r="C56" s="1654"/>
      <c r="D56" s="1844"/>
      <c r="E56" s="1540">
        <f t="shared" si="2"/>
        <v>0</v>
      </c>
      <c r="F56" s="1936">
        <f t="shared" si="1"/>
        <v>0</v>
      </c>
      <c r="G56" s="1793">
        <f t="shared" si="3"/>
        <v>0</v>
      </c>
    </row>
    <row r="57" spans="1:7" hidden="1" x14ac:dyDescent="0.25">
      <c r="A57" s="1653"/>
      <c r="B57" s="1667"/>
      <c r="C57" s="1654"/>
      <c r="D57" s="1844"/>
      <c r="E57" s="1540">
        <f t="shared" si="2"/>
        <v>0</v>
      </c>
      <c r="F57" s="1936">
        <f t="shared" si="1"/>
        <v>0</v>
      </c>
      <c r="G57" s="1793">
        <f t="shared" si="3"/>
        <v>0</v>
      </c>
    </row>
    <row r="58" spans="1:7" hidden="1" x14ac:dyDescent="0.25">
      <c r="A58" s="1653"/>
      <c r="B58" s="1667"/>
      <c r="C58" s="1654"/>
      <c r="D58" s="1844"/>
      <c r="E58" s="1540">
        <f t="shared" si="2"/>
        <v>0</v>
      </c>
      <c r="F58" s="1936">
        <f t="shared" si="1"/>
        <v>0</v>
      </c>
      <c r="G58" s="1793">
        <f t="shared" si="3"/>
        <v>0</v>
      </c>
    </row>
    <row r="59" spans="1:7" hidden="1" x14ac:dyDescent="0.25">
      <c r="A59" s="1653"/>
      <c r="B59" s="1667"/>
      <c r="C59" s="1654"/>
      <c r="D59" s="1844"/>
      <c r="E59" s="1540">
        <f t="shared" si="2"/>
        <v>0</v>
      </c>
      <c r="F59" s="1936">
        <f t="shared" si="1"/>
        <v>0</v>
      </c>
      <c r="G59" s="1793">
        <f t="shared" si="3"/>
        <v>0</v>
      </c>
    </row>
    <row r="60" spans="1:7" hidden="1" x14ac:dyDescent="0.25">
      <c r="A60" s="1653"/>
      <c r="B60" s="1667"/>
      <c r="C60" s="1654"/>
      <c r="D60" s="1844"/>
      <c r="E60" s="1540">
        <f t="shared" si="2"/>
        <v>0</v>
      </c>
      <c r="F60" s="1936">
        <f t="shared" si="1"/>
        <v>0</v>
      </c>
      <c r="G60" s="1793">
        <f t="shared" si="3"/>
        <v>0</v>
      </c>
    </row>
    <row r="61" spans="1:7" hidden="1" x14ac:dyDescent="0.25">
      <c r="A61" s="1653"/>
      <c r="B61" s="1667"/>
      <c r="C61" s="1654"/>
      <c r="D61" s="1844"/>
      <c r="E61" s="1540">
        <f t="shared" si="2"/>
        <v>0</v>
      </c>
      <c r="F61" s="1936">
        <f t="shared" si="1"/>
        <v>0</v>
      </c>
      <c r="G61" s="1793">
        <f t="shared" si="3"/>
        <v>0</v>
      </c>
    </row>
    <row r="62" spans="1:7" hidden="1" x14ac:dyDescent="0.25">
      <c r="A62" s="1653"/>
      <c r="B62" s="1667"/>
      <c r="C62" s="1654"/>
      <c r="D62" s="1844"/>
      <c r="E62" s="1540">
        <f t="shared" si="2"/>
        <v>0</v>
      </c>
      <c r="F62" s="1936">
        <f t="shared" si="1"/>
        <v>0</v>
      </c>
      <c r="G62" s="1793">
        <f t="shared" si="3"/>
        <v>0</v>
      </c>
    </row>
    <row r="63" spans="1:7" hidden="1" x14ac:dyDescent="0.25">
      <c r="A63" s="1653"/>
      <c r="B63" s="1667"/>
      <c r="C63" s="1654"/>
      <c r="D63" s="1844"/>
      <c r="E63" s="1540">
        <f t="shared" si="2"/>
        <v>0</v>
      </c>
      <c r="F63" s="1936">
        <f t="shared" si="1"/>
        <v>0</v>
      </c>
      <c r="G63" s="1793">
        <f t="shared" si="3"/>
        <v>0</v>
      </c>
    </row>
    <row r="64" spans="1:7" hidden="1" x14ac:dyDescent="0.25">
      <c r="A64" s="1653"/>
      <c r="B64" s="1667"/>
      <c r="C64" s="1654"/>
      <c r="D64" s="1844"/>
      <c r="E64" s="1540">
        <f t="shared" si="2"/>
        <v>0</v>
      </c>
      <c r="F64" s="1936">
        <f t="shared" si="1"/>
        <v>0</v>
      </c>
      <c r="G64" s="1793">
        <f t="shared" si="3"/>
        <v>0</v>
      </c>
    </row>
    <row r="65" spans="1:7" hidden="1" x14ac:dyDescent="0.25">
      <c r="A65" s="1655"/>
      <c r="B65" s="1667"/>
      <c r="C65" s="1656"/>
      <c r="D65" s="1844"/>
      <c r="E65" s="1540">
        <f t="shared" si="2"/>
        <v>0</v>
      </c>
      <c r="F65" s="1936">
        <f t="shared" si="1"/>
        <v>0</v>
      </c>
      <c r="G65" s="1793">
        <f t="shared" si="3"/>
        <v>0</v>
      </c>
    </row>
    <row r="66" spans="1:7" hidden="1" x14ac:dyDescent="0.25">
      <c r="A66" s="1653"/>
      <c r="B66" s="1667"/>
      <c r="C66" s="1654"/>
      <c r="D66" s="1844"/>
      <c r="E66" s="1540">
        <f t="shared" si="2"/>
        <v>0</v>
      </c>
      <c r="F66" s="1936">
        <f t="shared" si="1"/>
        <v>0</v>
      </c>
      <c r="G66" s="1793">
        <f t="shared" si="3"/>
        <v>0</v>
      </c>
    </row>
    <row r="67" spans="1:7" hidden="1" x14ac:dyDescent="0.25">
      <c r="A67" s="1653"/>
      <c r="B67" s="1667"/>
      <c r="C67" s="1654"/>
      <c r="D67" s="1844"/>
      <c r="E67" s="1540">
        <f t="shared" si="2"/>
        <v>0</v>
      </c>
      <c r="F67" s="1936">
        <f t="shared" si="1"/>
        <v>0</v>
      </c>
      <c r="G67" s="1793">
        <f t="shared" si="3"/>
        <v>0</v>
      </c>
    </row>
    <row r="68" spans="1:7" hidden="1" x14ac:dyDescent="0.25">
      <c r="A68" s="1653"/>
      <c r="B68" s="1667"/>
      <c r="C68" s="1654"/>
      <c r="D68" s="1844"/>
      <c r="E68" s="1540">
        <f t="shared" si="2"/>
        <v>0</v>
      </c>
      <c r="F68" s="1936">
        <f t="shared" si="1"/>
        <v>0</v>
      </c>
      <c r="G68" s="1793">
        <f t="shared" si="3"/>
        <v>0</v>
      </c>
    </row>
    <row r="69" spans="1:7" hidden="1" x14ac:dyDescent="0.25">
      <c r="A69" s="1653"/>
      <c r="B69" s="1667"/>
      <c r="C69" s="1654"/>
      <c r="D69" s="1844"/>
      <c r="E69" s="1540">
        <f t="shared" si="2"/>
        <v>0</v>
      </c>
      <c r="F69" s="1936">
        <f t="shared" si="1"/>
        <v>0</v>
      </c>
      <c r="G69" s="1793">
        <f t="shared" si="3"/>
        <v>0</v>
      </c>
    </row>
    <row r="70" spans="1:7" hidden="1" x14ac:dyDescent="0.25">
      <c r="A70" s="1653"/>
      <c r="B70" s="1667"/>
      <c r="C70" s="1654"/>
      <c r="D70" s="1844"/>
      <c r="E70" s="1540">
        <f t="shared" si="2"/>
        <v>0</v>
      </c>
      <c r="F70" s="1936">
        <f t="shared" si="1"/>
        <v>0</v>
      </c>
      <c r="G70" s="1793">
        <f t="shared" si="3"/>
        <v>0</v>
      </c>
    </row>
    <row r="71" spans="1:7" hidden="1" x14ac:dyDescent="0.25">
      <c r="A71" s="1653"/>
      <c r="B71" s="1667"/>
      <c r="C71" s="1654"/>
      <c r="D71" s="1844"/>
      <c r="E71" s="1540">
        <f t="shared" si="2"/>
        <v>0</v>
      </c>
      <c r="F71" s="1936">
        <f t="shared" si="1"/>
        <v>0</v>
      </c>
      <c r="G71" s="1793">
        <f t="shared" si="3"/>
        <v>0</v>
      </c>
    </row>
    <row r="72" spans="1:7" hidden="1" x14ac:dyDescent="0.25">
      <c r="A72" s="1653"/>
      <c r="B72" s="1667"/>
      <c r="C72" s="1654"/>
      <c r="D72" s="1844"/>
      <c r="E72" s="1540">
        <f t="shared" si="2"/>
        <v>0</v>
      </c>
      <c r="F72" s="1936">
        <f t="shared" si="1"/>
        <v>0</v>
      </c>
      <c r="G72" s="1793">
        <f t="shared" si="3"/>
        <v>0</v>
      </c>
    </row>
    <row r="73" spans="1:7" hidden="1" x14ac:dyDescent="0.25">
      <c r="A73" s="1653"/>
      <c r="B73" s="1667"/>
      <c r="C73" s="1654"/>
      <c r="D73" s="1844"/>
      <c r="E73" s="1540">
        <f t="shared" si="2"/>
        <v>0</v>
      </c>
      <c r="F73" s="1936">
        <f t="shared" si="1"/>
        <v>0</v>
      </c>
      <c r="G73" s="1793">
        <f t="shared" si="3"/>
        <v>0</v>
      </c>
    </row>
    <row r="74" spans="1:7" hidden="1" x14ac:dyDescent="0.25">
      <c r="A74" s="1653"/>
      <c r="B74" s="1667"/>
      <c r="C74" s="1654"/>
      <c r="D74" s="1844"/>
      <c r="E74" s="1540">
        <f t="shared" ref="E74:E85" si="4">IF(D74&lt;=25000,D74,IF(D74&gt;25000,25000,0))</f>
        <v>0</v>
      </c>
      <c r="F74" s="1936">
        <f t="shared" si="1"/>
        <v>0</v>
      </c>
      <c r="G74" s="1793">
        <f t="shared" ref="G74:G85" si="5">IF(F74=0,0,D74-F74)</f>
        <v>0</v>
      </c>
    </row>
    <row r="75" spans="1:7" hidden="1" x14ac:dyDescent="0.25">
      <c r="A75" s="1653"/>
      <c r="B75" s="1667"/>
      <c r="C75" s="1654"/>
      <c r="D75" s="1844"/>
      <c r="E75" s="1540">
        <f t="shared" si="4"/>
        <v>0</v>
      </c>
      <c r="F75" s="1936">
        <f t="shared" si="1"/>
        <v>0</v>
      </c>
      <c r="G75" s="1793">
        <f t="shared" si="5"/>
        <v>0</v>
      </c>
    </row>
    <row r="76" spans="1:7" hidden="1" x14ac:dyDescent="0.25">
      <c r="A76" s="1653"/>
      <c r="B76" s="1667"/>
      <c r="C76" s="1654"/>
      <c r="D76" s="1844"/>
      <c r="E76" s="1540">
        <f t="shared" si="4"/>
        <v>0</v>
      </c>
      <c r="F76" s="1936">
        <f t="shared" si="1"/>
        <v>0</v>
      </c>
      <c r="G76" s="1793">
        <f t="shared" si="5"/>
        <v>0</v>
      </c>
    </row>
    <row r="77" spans="1:7" hidden="1" x14ac:dyDescent="0.25">
      <c r="A77" s="1653"/>
      <c r="B77" s="1667"/>
      <c r="C77" s="1654"/>
      <c r="D77" s="1844"/>
      <c r="E77" s="1540">
        <f t="shared" si="4"/>
        <v>0</v>
      </c>
      <c r="F77" s="1936">
        <f t="shared" si="1"/>
        <v>0</v>
      </c>
      <c r="G77" s="1793">
        <f t="shared" si="5"/>
        <v>0</v>
      </c>
    </row>
    <row r="78" spans="1:7" hidden="1" x14ac:dyDescent="0.25">
      <c r="A78" s="1653"/>
      <c r="B78" s="1667"/>
      <c r="C78" s="1654"/>
      <c r="D78" s="1844"/>
      <c r="E78" s="1540">
        <f t="shared" si="4"/>
        <v>0</v>
      </c>
      <c r="F78" s="1936">
        <f t="shared" si="1"/>
        <v>0</v>
      </c>
      <c r="G78" s="1793">
        <f t="shared" si="5"/>
        <v>0</v>
      </c>
    </row>
    <row r="79" spans="1:7" hidden="1" x14ac:dyDescent="0.25">
      <c r="A79" s="1653"/>
      <c r="B79" s="1667"/>
      <c r="C79" s="1654"/>
      <c r="D79" s="1844"/>
      <c r="E79" s="1540">
        <f t="shared" si="4"/>
        <v>0</v>
      </c>
      <c r="F79" s="1936">
        <f t="shared" si="1"/>
        <v>0</v>
      </c>
      <c r="G79" s="1793">
        <f t="shared" si="5"/>
        <v>0</v>
      </c>
    </row>
    <row r="80" spans="1:7" hidden="1" x14ac:dyDescent="0.25">
      <c r="A80" s="1653"/>
      <c r="B80" s="1667"/>
      <c r="C80" s="1654"/>
      <c r="D80" s="1844"/>
      <c r="E80" s="1540">
        <f t="shared" si="4"/>
        <v>0</v>
      </c>
      <c r="F80" s="1936">
        <f t="shared" si="1"/>
        <v>0</v>
      </c>
      <c r="G80" s="1793">
        <f t="shared" si="5"/>
        <v>0</v>
      </c>
    </row>
    <row r="81" spans="1:7" hidden="1" x14ac:dyDescent="0.25">
      <c r="A81" s="1653"/>
      <c r="B81" s="1667"/>
      <c r="C81" s="1654"/>
      <c r="D81" s="1844"/>
      <c r="E81" s="1540">
        <f t="shared" si="4"/>
        <v>0</v>
      </c>
      <c r="F81" s="1936">
        <f t="shared" si="1"/>
        <v>0</v>
      </c>
      <c r="G81" s="1793">
        <f t="shared" si="5"/>
        <v>0</v>
      </c>
    </row>
    <row r="82" spans="1:7" hidden="1" x14ac:dyDescent="0.25">
      <c r="A82" s="1653"/>
      <c r="B82" s="1667"/>
      <c r="C82" s="1654"/>
      <c r="D82" s="1844"/>
      <c r="E82" s="1540">
        <f t="shared" si="4"/>
        <v>0</v>
      </c>
      <c r="F82" s="1936">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hidden="1" x14ac:dyDescent="0.25">
      <c r="A83" s="1653"/>
      <c r="B83" s="1667"/>
      <c r="C83" s="1654"/>
      <c r="D83" s="1844"/>
      <c r="E83" s="1540">
        <f t="shared" si="4"/>
        <v>0</v>
      </c>
      <c r="F83" s="1936">
        <f t="shared" si="6"/>
        <v>0</v>
      </c>
      <c r="G83" s="1793">
        <f t="shared" si="5"/>
        <v>0</v>
      </c>
    </row>
    <row r="84" spans="1:7" hidden="1" x14ac:dyDescent="0.25">
      <c r="A84" s="1653"/>
      <c r="B84" s="1667"/>
      <c r="C84" s="1654"/>
      <c r="D84" s="1844"/>
      <c r="E84" s="1540">
        <f t="shared" si="4"/>
        <v>0</v>
      </c>
      <c r="F84" s="1936">
        <f t="shared" si="6"/>
        <v>0</v>
      </c>
      <c r="G84" s="1793">
        <f t="shared" si="5"/>
        <v>0</v>
      </c>
    </row>
    <row r="85" spans="1:7" hidden="1" x14ac:dyDescent="0.25">
      <c r="A85" s="1653"/>
      <c r="B85" s="1667"/>
      <c r="C85" s="1654"/>
      <c r="D85" s="1844"/>
      <c r="E85" s="1540">
        <f t="shared" si="4"/>
        <v>0</v>
      </c>
      <c r="F85" s="1936">
        <f t="shared" si="6"/>
        <v>0</v>
      </c>
      <c r="G85" s="1793">
        <f t="shared" si="5"/>
        <v>0</v>
      </c>
    </row>
    <row r="86" spans="1:7" hidden="1" x14ac:dyDescent="0.25">
      <c r="A86" s="1653"/>
      <c r="B86" s="1667"/>
      <c r="C86" s="1654"/>
      <c r="D86" s="1844"/>
      <c r="E86" s="1540">
        <f t="shared" si="2"/>
        <v>0</v>
      </c>
      <c r="F86" s="1936">
        <f t="shared" si="6"/>
        <v>0</v>
      </c>
      <c r="G86" s="1793">
        <f t="shared" si="3"/>
        <v>0</v>
      </c>
    </row>
    <row r="87" spans="1:7" hidden="1" x14ac:dyDescent="0.25">
      <c r="A87" s="1653"/>
      <c r="B87" s="1667"/>
      <c r="C87" s="1654"/>
      <c r="D87" s="1844"/>
      <c r="E87" s="1540">
        <f t="shared" si="2"/>
        <v>0</v>
      </c>
      <c r="F87" s="1936">
        <f t="shared" si="6"/>
        <v>0</v>
      </c>
      <c r="G87" s="1793">
        <f t="shared" si="3"/>
        <v>0</v>
      </c>
    </row>
    <row r="88" spans="1:7" hidden="1" x14ac:dyDescent="0.25">
      <c r="A88" s="1653"/>
      <c r="B88" s="1667"/>
      <c r="C88" s="1654"/>
      <c r="D88" s="1844"/>
      <c r="E88" s="1540">
        <f t="shared" si="2"/>
        <v>0</v>
      </c>
      <c r="F88" s="1936">
        <f t="shared" si="6"/>
        <v>0</v>
      </c>
      <c r="G88" s="1793">
        <f t="shared" si="3"/>
        <v>0</v>
      </c>
    </row>
    <row r="89" spans="1:7" hidden="1" x14ac:dyDescent="0.25">
      <c r="A89" s="1653"/>
      <c r="B89" s="1667"/>
      <c r="C89" s="1654"/>
      <c r="D89" s="1844"/>
      <c r="E89" s="1540">
        <f t="shared" si="2"/>
        <v>0</v>
      </c>
      <c r="F89" s="1936">
        <f t="shared" si="6"/>
        <v>0</v>
      </c>
      <c r="G89" s="1793">
        <f t="shared" si="3"/>
        <v>0</v>
      </c>
    </row>
    <row r="90" spans="1:7" hidden="1" x14ac:dyDescent="0.25">
      <c r="A90" s="1653"/>
      <c r="B90" s="1667"/>
      <c r="C90" s="1654"/>
      <c r="D90" s="1844"/>
      <c r="E90" s="1540">
        <f t="shared" si="2"/>
        <v>0</v>
      </c>
      <c r="F90" s="1936">
        <f t="shared" si="6"/>
        <v>0</v>
      </c>
      <c r="G90" s="1793">
        <f t="shared" si="3"/>
        <v>0</v>
      </c>
    </row>
    <row r="91" spans="1:7" hidden="1" x14ac:dyDescent="0.25">
      <c r="A91" s="1653"/>
      <c r="B91" s="1667"/>
      <c r="C91" s="1654"/>
      <c r="D91" s="1844"/>
      <c r="E91" s="1540">
        <f t="shared" si="2"/>
        <v>0</v>
      </c>
      <c r="F91" s="1936">
        <f t="shared" si="6"/>
        <v>0</v>
      </c>
      <c r="G91" s="1793">
        <f t="shared" si="3"/>
        <v>0</v>
      </c>
    </row>
    <row r="92" spans="1:7" hidden="1" x14ac:dyDescent="0.25">
      <c r="A92" s="1653"/>
      <c r="B92" s="1667"/>
      <c r="C92" s="1654"/>
      <c r="D92" s="1844"/>
      <c r="E92" s="1540">
        <f t="shared" si="2"/>
        <v>0</v>
      </c>
      <c r="F92" s="1936">
        <f t="shared" si="6"/>
        <v>0</v>
      </c>
      <c r="G92" s="1793">
        <f t="shared" si="3"/>
        <v>0</v>
      </c>
    </row>
    <row r="93" spans="1:7" hidden="1" x14ac:dyDescent="0.25">
      <c r="A93" s="1653"/>
      <c r="B93" s="1667"/>
      <c r="C93" s="1654"/>
      <c r="D93" s="1844"/>
      <c r="E93" s="1540">
        <f t="shared" si="2"/>
        <v>0</v>
      </c>
      <c r="F93" s="1936">
        <f t="shared" si="6"/>
        <v>0</v>
      </c>
      <c r="G93" s="1793">
        <f t="shared" si="3"/>
        <v>0</v>
      </c>
    </row>
    <row r="94" spans="1:7" hidden="1" x14ac:dyDescent="0.25">
      <c r="A94" s="1653"/>
      <c r="B94" s="1667"/>
      <c r="C94" s="1654"/>
      <c r="D94" s="1844"/>
      <c r="E94" s="1540">
        <f t="shared" ref="E94" si="7">IF(D94&lt;=25000,D94,IF(D94&gt;25000,25000,0))</f>
        <v>0</v>
      </c>
      <c r="F94" s="1936">
        <f t="shared" si="6"/>
        <v>0</v>
      </c>
      <c r="G94" s="1793">
        <f t="shared" ref="G94" si="8">IF(F94=0,0,D94-F94)</f>
        <v>0</v>
      </c>
    </row>
    <row r="95" spans="1:7" hidden="1" x14ac:dyDescent="0.25">
      <c r="A95" s="1653"/>
      <c r="B95" s="1667"/>
      <c r="C95" s="1654"/>
      <c r="D95" s="1844"/>
      <c r="E95" s="1540">
        <f t="shared" si="2"/>
        <v>0</v>
      </c>
      <c r="F95" s="1936">
        <f t="shared" si="6"/>
        <v>0</v>
      </c>
      <c r="G95" s="1793">
        <f t="shared" si="3"/>
        <v>0</v>
      </c>
    </row>
    <row r="96" spans="1:7" hidden="1" x14ac:dyDescent="0.25">
      <c r="A96" s="1653"/>
      <c r="B96" s="1667"/>
      <c r="C96" s="1654"/>
      <c r="D96" s="1844"/>
      <c r="E96" s="1540">
        <f t="shared" ref="E96:E99" si="9">IF(D96&lt;=25000,D96,IF(D96&gt;25000,25000,0))</f>
        <v>0</v>
      </c>
      <c r="F96" s="1936">
        <f t="shared" si="6"/>
        <v>0</v>
      </c>
      <c r="G96" s="1793">
        <f t="shared" ref="G96:G99" si="10">IF(F96=0,0,D96-F96)</f>
        <v>0</v>
      </c>
    </row>
    <row r="97" spans="1:7" hidden="1" x14ac:dyDescent="0.25">
      <c r="A97" s="1653"/>
      <c r="B97" s="1667"/>
      <c r="C97" s="1654"/>
      <c r="D97" s="1844"/>
      <c r="E97" s="1540">
        <f t="shared" si="9"/>
        <v>0</v>
      </c>
      <c r="F97" s="1936">
        <f t="shared" si="6"/>
        <v>0</v>
      </c>
      <c r="G97" s="1793">
        <f t="shared" si="10"/>
        <v>0</v>
      </c>
    </row>
    <row r="98" spans="1:7" hidden="1" x14ac:dyDescent="0.25">
      <c r="A98" s="1653"/>
      <c r="B98" s="1667"/>
      <c r="C98" s="1654"/>
      <c r="D98" s="1844"/>
      <c r="E98" s="1540">
        <f t="shared" si="9"/>
        <v>0</v>
      </c>
      <c r="F98" s="1936">
        <f t="shared" si="6"/>
        <v>0</v>
      </c>
      <c r="G98" s="1793">
        <f t="shared" si="10"/>
        <v>0</v>
      </c>
    </row>
    <row r="99" spans="1:7" hidden="1" x14ac:dyDescent="0.25">
      <c r="A99" s="1653"/>
      <c r="B99" s="1667"/>
      <c r="C99" s="1654"/>
      <c r="D99" s="1844"/>
      <c r="E99" s="1540">
        <f t="shared" si="9"/>
        <v>0</v>
      </c>
      <c r="F99" s="1936">
        <f t="shared" si="6"/>
        <v>0</v>
      </c>
      <c r="G99" s="1793">
        <f t="shared" si="10"/>
        <v>0</v>
      </c>
    </row>
    <row r="100" spans="1:7" hidden="1" x14ac:dyDescent="0.25">
      <c r="A100" s="1653"/>
      <c r="B100" s="1667"/>
      <c r="C100" s="1654"/>
      <c r="D100" s="1844"/>
      <c r="E100" s="1540">
        <f t="shared" ref="E100" si="11">IF(D100&lt;=25000,D100,IF(D100&gt;25000,25000,0))</f>
        <v>0</v>
      </c>
      <c r="F100" s="1936">
        <f t="shared" si="6"/>
        <v>0</v>
      </c>
      <c r="G100" s="1793">
        <f t="shared" ref="G100" si="12">IF(F100=0,0,D100-F100)</f>
        <v>0</v>
      </c>
    </row>
    <row r="101" spans="1:7" hidden="1" x14ac:dyDescent="0.25">
      <c r="A101" s="1653"/>
      <c r="B101" s="1667"/>
      <c r="C101" s="1654"/>
      <c r="D101" s="1844"/>
      <c r="E101" s="1540">
        <f t="shared" ref="E101:E113" si="13">IF(D101&lt;=25000,D101,IF(D101&gt;25000,25000,0))</f>
        <v>0</v>
      </c>
      <c r="F101" s="1936">
        <f t="shared" si="6"/>
        <v>0</v>
      </c>
      <c r="G101" s="1793">
        <f t="shared" ref="G101:G113" si="14">IF(F101=0,0,D101-F101)</f>
        <v>0</v>
      </c>
    </row>
    <row r="102" spans="1:7" hidden="1" x14ac:dyDescent="0.25">
      <c r="A102" s="1653"/>
      <c r="B102" s="1667"/>
      <c r="C102" s="1654"/>
      <c r="D102" s="1844"/>
      <c r="E102" s="1540">
        <f t="shared" si="13"/>
        <v>0</v>
      </c>
      <c r="F102" s="1936">
        <f t="shared" si="6"/>
        <v>0</v>
      </c>
      <c r="G102" s="1793">
        <f t="shared" si="14"/>
        <v>0</v>
      </c>
    </row>
    <row r="103" spans="1:7" hidden="1" x14ac:dyDescent="0.25">
      <c r="A103" s="1653"/>
      <c r="B103" s="1667"/>
      <c r="C103" s="1654"/>
      <c r="D103" s="1844"/>
      <c r="E103" s="1540">
        <f t="shared" si="13"/>
        <v>0</v>
      </c>
      <c r="F103" s="1936">
        <f t="shared" si="6"/>
        <v>0</v>
      </c>
      <c r="G103" s="1793">
        <f t="shared" si="14"/>
        <v>0</v>
      </c>
    </row>
    <row r="104" spans="1:7" hidden="1" x14ac:dyDescent="0.25">
      <c r="A104" s="1653"/>
      <c r="B104" s="1667"/>
      <c r="C104" s="1654"/>
      <c r="D104" s="1844"/>
      <c r="E104" s="1540">
        <f t="shared" si="13"/>
        <v>0</v>
      </c>
      <c r="F104" s="1936">
        <f t="shared" si="6"/>
        <v>0</v>
      </c>
      <c r="G104" s="1793">
        <f t="shared" si="14"/>
        <v>0</v>
      </c>
    </row>
    <row r="105" spans="1:7" hidden="1" x14ac:dyDescent="0.25">
      <c r="A105" s="1653"/>
      <c r="B105" s="1667"/>
      <c r="C105" s="1654"/>
      <c r="D105" s="1844"/>
      <c r="E105" s="1540">
        <f t="shared" si="13"/>
        <v>0</v>
      </c>
      <c r="F105" s="1936">
        <f t="shared" si="6"/>
        <v>0</v>
      </c>
      <c r="G105" s="1793">
        <f t="shared" si="14"/>
        <v>0</v>
      </c>
    </row>
    <row r="106" spans="1:7" hidden="1" x14ac:dyDescent="0.25">
      <c r="A106" s="1653"/>
      <c r="B106" s="1667"/>
      <c r="C106" s="1654"/>
      <c r="D106" s="1844"/>
      <c r="E106" s="1540">
        <f t="shared" si="13"/>
        <v>0</v>
      </c>
      <c r="F106" s="1936">
        <f t="shared" si="6"/>
        <v>0</v>
      </c>
      <c r="G106" s="1793">
        <f t="shared" si="14"/>
        <v>0</v>
      </c>
    </row>
    <row r="107" spans="1:7" hidden="1" x14ac:dyDescent="0.25">
      <c r="A107" s="1653"/>
      <c r="B107" s="1667"/>
      <c r="C107" s="1654"/>
      <c r="D107" s="1844"/>
      <c r="E107" s="1540">
        <f t="shared" si="13"/>
        <v>0</v>
      </c>
      <c r="F107" s="1936">
        <f t="shared" si="6"/>
        <v>0</v>
      </c>
      <c r="G107" s="1793">
        <f t="shared" si="14"/>
        <v>0</v>
      </c>
    </row>
    <row r="108" spans="1:7" hidden="1" x14ac:dyDescent="0.25">
      <c r="A108" s="1653"/>
      <c r="B108" s="1667"/>
      <c r="C108" s="1654"/>
      <c r="D108" s="1844"/>
      <c r="E108" s="1540">
        <f t="shared" si="13"/>
        <v>0</v>
      </c>
      <c r="F108" s="1936">
        <f t="shared" si="6"/>
        <v>0</v>
      </c>
      <c r="G108" s="1793">
        <f t="shared" si="14"/>
        <v>0</v>
      </c>
    </row>
    <row r="109" spans="1:7" hidden="1" x14ac:dyDescent="0.25">
      <c r="A109" s="1653"/>
      <c r="B109" s="1667"/>
      <c r="C109" s="1654"/>
      <c r="D109" s="1844"/>
      <c r="E109" s="1540">
        <f t="shared" si="13"/>
        <v>0</v>
      </c>
      <c r="F109" s="1936">
        <f t="shared" si="6"/>
        <v>0</v>
      </c>
      <c r="G109" s="1793">
        <f t="shared" si="14"/>
        <v>0</v>
      </c>
    </row>
    <row r="110" spans="1:7" hidden="1" x14ac:dyDescent="0.25">
      <c r="A110" s="1653"/>
      <c r="B110" s="1667"/>
      <c r="C110" s="1654"/>
      <c r="D110" s="1844"/>
      <c r="E110" s="1540">
        <f t="shared" si="13"/>
        <v>0</v>
      </c>
      <c r="F110" s="1936">
        <f t="shared" si="6"/>
        <v>0</v>
      </c>
      <c r="G110" s="1793">
        <f t="shared" si="14"/>
        <v>0</v>
      </c>
    </row>
    <row r="111" spans="1:7" hidden="1" x14ac:dyDescent="0.25">
      <c r="A111" s="1653"/>
      <c r="B111" s="1667"/>
      <c r="C111" s="1654"/>
      <c r="D111" s="1844"/>
      <c r="E111" s="1540">
        <f t="shared" si="13"/>
        <v>0</v>
      </c>
      <c r="F111" s="1936">
        <f t="shared" si="6"/>
        <v>0</v>
      </c>
      <c r="G111" s="1793">
        <f t="shared" si="14"/>
        <v>0</v>
      </c>
    </row>
    <row r="112" spans="1:7" hidden="1" x14ac:dyDescent="0.25">
      <c r="A112" s="1653"/>
      <c r="B112" s="1667"/>
      <c r="C112" s="1654"/>
      <c r="D112" s="1844"/>
      <c r="E112" s="1540">
        <f t="shared" si="13"/>
        <v>0</v>
      </c>
      <c r="F112" s="1936">
        <f t="shared" si="6"/>
        <v>0</v>
      </c>
      <c r="G112" s="1793">
        <f t="shared" si="14"/>
        <v>0</v>
      </c>
    </row>
    <row r="113" spans="1:7" hidden="1" x14ac:dyDescent="0.25">
      <c r="A113" s="1653"/>
      <c r="B113" s="1667"/>
      <c r="C113" s="1654"/>
      <c r="D113" s="1844"/>
      <c r="E113" s="1540">
        <f t="shared" si="13"/>
        <v>0</v>
      </c>
      <c r="F113" s="1936">
        <f t="shared" si="6"/>
        <v>0</v>
      </c>
      <c r="G113" s="1793">
        <f t="shared" si="14"/>
        <v>0</v>
      </c>
    </row>
    <row r="114" spans="1:7" hidden="1" x14ac:dyDescent="0.25">
      <c r="A114" s="1653"/>
      <c r="B114" s="1667"/>
      <c r="C114" s="1654"/>
      <c r="D114" s="1844"/>
      <c r="E114" s="1540">
        <f t="shared" ref="E114:E126" si="15">IF(D114&lt;=25000,D114,IF(D114&gt;25000,25000,0))</f>
        <v>0</v>
      </c>
      <c r="F114" s="1936">
        <f t="shared" si="6"/>
        <v>0</v>
      </c>
      <c r="G114" s="1793">
        <f t="shared" ref="G114:G126" si="16">IF(F114=0,0,D114-F114)</f>
        <v>0</v>
      </c>
    </row>
    <row r="115" spans="1:7" hidden="1" x14ac:dyDescent="0.25">
      <c r="A115" s="1653"/>
      <c r="B115" s="1667"/>
      <c r="C115" s="1654"/>
      <c r="D115" s="1844"/>
      <c r="E115" s="1540">
        <f t="shared" si="15"/>
        <v>0</v>
      </c>
      <c r="F115" s="1936">
        <f t="shared" si="6"/>
        <v>0</v>
      </c>
      <c r="G115" s="1793">
        <f t="shared" si="16"/>
        <v>0</v>
      </c>
    </row>
    <row r="116" spans="1:7" hidden="1" x14ac:dyDescent="0.25">
      <c r="A116" s="1653"/>
      <c r="B116" s="1667"/>
      <c r="C116" s="1654"/>
      <c r="D116" s="1844"/>
      <c r="E116" s="1540">
        <f t="shared" si="15"/>
        <v>0</v>
      </c>
      <c r="F116" s="1936">
        <f t="shared" si="6"/>
        <v>0</v>
      </c>
      <c r="G116" s="1793">
        <f t="shared" si="16"/>
        <v>0</v>
      </c>
    </row>
    <row r="117" spans="1:7" hidden="1" x14ac:dyDescent="0.25">
      <c r="A117" s="1653"/>
      <c r="B117" s="1667"/>
      <c r="C117" s="1654"/>
      <c r="D117" s="1844"/>
      <c r="E117" s="1540">
        <f t="shared" si="15"/>
        <v>0</v>
      </c>
      <c r="F117" s="1936">
        <f t="shared" si="6"/>
        <v>0</v>
      </c>
      <c r="G117" s="1793">
        <f t="shared" si="16"/>
        <v>0</v>
      </c>
    </row>
    <row r="118" spans="1:7" hidden="1" x14ac:dyDescent="0.25">
      <c r="A118" s="1653"/>
      <c r="B118" s="1667"/>
      <c r="C118" s="1654"/>
      <c r="D118" s="1844"/>
      <c r="E118" s="1540">
        <f t="shared" si="15"/>
        <v>0</v>
      </c>
      <c r="F118" s="1936">
        <f t="shared" si="6"/>
        <v>0</v>
      </c>
      <c r="G118" s="1793">
        <f t="shared" si="16"/>
        <v>0</v>
      </c>
    </row>
    <row r="119" spans="1:7" hidden="1" x14ac:dyDescent="0.25">
      <c r="A119" s="1653"/>
      <c r="B119" s="1667"/>
      <c r="C119" s="1654"/>
      <c r="D119" s="1844"/>
      <c r="E119" s="1540">
        <f t="shared" si="15"/>
        <v>0</v>
      </c>
      <c r="F119" s="1936">
        <f t="shared" si="6"/>
        <v>0</v>
      </c>
      <c r="G119" s="1793">
        <f t="shared" si="16"/>
        <v>0</v>
      </c>
    </row>
    <row r="120" spans="1:7" hidden="1" x14ac:dyDescent="0.25">
      <c r="A120" s="1653"/>
      <c r="B120" s="1667"/>
      <c r="C120" s="1654"/>
      <c r="D120" s="1844"/>
      <c r="E120" s="1540">
        <f t="shared" si="15"/>
        <v>0</v>
      </c>
      <c r="F120" s="1936">
        <f t="shared" si="6"/>
        <v>0</v>
      </c>
      <c r="G120" s="1793">
        <f t="shared" si="16"/>
        <v>0</v>
      </c>
    </row>
    <row r="121" spans="1:7" hidden="1" x14ac:dyDescent="0.25">
      <c r="A121" s="1653"/>
      <c r="B121" s="1667"/>
      <c r="C121" s="1654"/>
      <c r="D121" s="1844"/>
      <c r="E121" s="1540">
        <f t="shared" si="15"/>
        <v>0</v>
      </c>
      <c r="F121" s="1936">
        <f t="shared" si="6"/>
        <v>0</v>
      </c>
      <c r="G121" s="1793">
        <f t="shared" si="16"/>
        <v>0</v>
      </c>
    </row>
    <row r="122" spans="1:7" hidden="1" x14ac:dyDescent="0.25">
      <c r="A122" s="1653"/>
      <c r="B122" s="1667"/>
      <c r="C122" s="1654"/>
      <c r="D122" s="1844"/>
      <c r="E122" s="1540">
        <f t="shared" si="15"/>
        <v>0</v>
      </c>
      <c r="F122" s="1936">
        <f t="shared" si="6"/>
        <v>0</v>
      </c>
      <c r="G122" s="1793">
        <f t="shared" si="16"/>
        <v>0</v>
      </c>
    </row>
    <row r="123" spans="1:7" hidden="1" x14ac:dyDescent="0.25">
      <c r="A123" s="1653"/>
      <c r="B123" s="1667"/>
      <c r="C123" s="1654"/>
      <c r="D123" s="1844"/>
      <c r="E123" s="1540">
        <f t="shared" si="15"/>
        <v>0</v>
      </c>
      <c r="F123" s="1936">
        <f t="shared" si="6"/>
        <v>0</v>
      </c>
      <c r="G123" s="1793">
        <f t="shared" si="16"/>
        <v>0</v>
      </c>
    </row>
    <row r="124" spans="1:7" hidden="1" x14ac:dyDescent="0.25">
      <c r="A124" s="1653"/>
      <c r="B124" s="1667"/>
      <c r="C124" s="1654"/>
      <c r="D124" s="1844"/>
      <c r="E124" s="1540">
        <f t="shared" si="15"/>
        <v>0</v>
      </c>
      <c r="F124" s="1936">
        <f t="shared" si="6"/>
        <v>0</v>
      </c>
      <c r="G124" s="1793">
        <f t="shared" si="16"/>
        <v>0</v>
      </c>
    </row>
    <row r="125" spans="1:7" hidden="1" x14ac:dyDescent="0.25">
      <c r="A125" s="1653"/>
      <c r="B125" s="1667"/>
      <c r="C125" s="1654"/>
      <c r="D125" s="1844"/>
      <c r="E125" s="1540">
        <f t="shared" si="15"/>
        <v>0</v>
      </c>
      <c r="F125" s="1936">
        <f t="shared" si="6"/>
        <v>0</v>
      </c>
      <c r="G125" s="1793">
        <f t="shared" si="16"/>
        <v>0</v>
      </c>
    </row>
    <row r="126" spans="1:7" hidden="1" x14ac:dyDescent="0.25">
      <c r="A126" s="1653"/>
      <c r="B126" s="1667"/>
      <c r="C126" s="1654"/>
      <c r="D126" s="1844"/>
      <c r="E126" s="1540">
        <f t="shared" si="15"/>
        <v>0</v>
      </c>
      <c r="F126" s="1936">
        <f t="shared" si="6"/>
        <v>0</v>
      </c>
      <c r="G126" s="1793">
        <f t="shared" si="16"/>
        <v>0</v>
      </c>
    </row>
    <row r="127" spans="1:7" hidden="1" x14ac:dyDescent="0.25">
      <c r="A127" s="1653"/>
      <c r="B127" s="1667"/>
      <c r="C127" s="1654"/>
      <c r="D127" s="1844"/>
      <c r="E127" s="1540">
        <f t="shared" ref="E127:E135" si="17">IF(D127&lt;=25000,D127,IF(D127&gt;25000,25000,0))</f>
        <v>0</v>
      </c>
      <c r="F127" s="1936">
        <f t="shared" si="6"/>
        <v>0</v>
      </c>
      <c r="G127" s="1793">
        <f t="shared" ref="G127:G135" si="18">IF(F127=0,0,D127-F127)</f>
        <v>0</v>
      </c>
    </row>
    <row r="128" spans="1:7" hidden="1" x14ac:dyDescent="0.25">
      <c r="A128" s="1653"/>
      <c r="B128" s="1667"/>
      <c r="C128" s="1654"/>
      <c r="D128" s="1844"/>
      <c r="E128" s="1540">
        <f t="shared" si="17"/>
        <v>0</v>
      </c>
      <c r="F128" s="1936">
        <f t="shared" si="6"/>
        <v>0</v>
      </c>
      <c r="G128" s="1793">
        <f t="shared" si="18"/>
        <v>0</v>
      </c>
    </row>
    <row r="129" spans="1:7" hidden="1" x14ac:dyDescent="0.25">
      <c r="A129" s="1653"/>
      <c r="B129" s="1667"/>
      <c r="C129" s="1654"/>
      <c r="D129" s="1844"/>
      <c r="E129" s="1540">
        <f t="shared" si="17"/>
        <v>0</v>
      </c>
      <c r="F129" s="1936">
        <f t="shared" si="6"/>
        <v>0</v>
      </c>
      <c r="G129" s="1793">
        <f t="shared" si="18"/>
        <v>0</v>
      </c>
    </row>
    <row r="130" spans="1:7" hidden="1" x14ac:dyDescent="0.25">
      <c r="A130" s="1653"/>
      <c r="B130" s="1667"/>
      <c r="C130" s="1654"/>
      <c r="D130" s="1844"/>
      <c r="E130" s="1540">
        <f t="shared" si="17"/>
        <v>0</v>
      </c>
      <c r="F130" s="1936">
        <f t="shared" si="6"/>
        <v>0</v>
      </c>
      <c r="G130" s="1793">
        <f t="shared" si="18"/>
        <v>0</v>
      </c>
    </row>
    <row r="131" spans="1:7" hidden="1" x14ac:dyDescent="0.25">
      <c r="A131" s="1653"/>
      <c r="B131" s="1667"/>
      <c r="C131" s="1654"/>
      <c r="D131" s="1844"/>
      <c r="E131" s="1540">
        <f t="shared" si="17"/>
        <v>0</v>
      </c>
      <c r="F131" s="1936">
        <f t="shared" si="6"/>
        <v>0</v>
      </c>
      <c r="G131" s="1793">
        <f t="shared" si="18"/>
        <v>0</v>
      </c>
    </row>
    <row r="132" spans="1:7" hidden="1" x14ac:dyDescent="0.25">
      <c r="A132" s="1653"/>
      <c r="B132" s="1837"/>
      <c r="C132" s="1654"/>
      <c r="D132" s="1844"/>
      <c r="E132" s="1540">
        <f t="shared" si="17"/>
        <v>0</v>
      </c>
      <c r="F132" s="1936">
        <f t="shared" si="6"/>
        <v>0</v>
      </c>
      <c r="G132" s="1793">
        <f t="shared" si="18"/>
        <v>0</v>
      </c>
    </row>
    <row r="133" spans="1:7" hidden="1" x14ac:dyDescent="0.25">
      <c r="A133" s="1653"/>
      <c r="B133" s="1837"/>
      <c r="C133" s="1654"/>
      <c r="D133" s="1844"/>
      <c r="E133" s="1540">
        <f t="shared" si="17"/>
        <v>0</v>
      </c>
      <c r="F133" s="1936">
        <f t="shared" si="6"/>
        <v>0</v>
      </c>
      <c r="G133" s="1793">
        <f t="shared" si="18"/>
        <v>0</v>
      </c>
    </row>
    <row r="134" spans="1:7" hidden="1" x14ac:dyDescent="0.25">
      <c r="A134" s="1653"/>
      <c r="B134" s="1667"/>
      <c r="C134" s="1654"/>
      <c r="D134" s="1844"/>
      <c r="E134" s="1540">
        <f t="shared" si="17"/>
        <v>0</v>
      </c>
      <c r="F134" s="1936">
        <f t="shared" si="6"/>
        <v>0</v>
      </c>
      <c r="G134" s="1793">
        <f t="shared" si="18"/>
        <v>0</v>
      </c>
    </row>
    <row r="135" spans="1:7" hidden="1" x14ac:dyDescent="0.25">
      <c r="A135" s="1653"/>
      <c r="B135" s="1667"/>
      <c r="C135" s="1654"/>
      <c r="D135" s="1844"/>
      <c r="E135" s="1540">
        <f t="shared" si="17"/>
        <v>0</v>
      </c>
      <c r="F135" s="1936">
        <f t="shared" si="6"/>
        <v>0</v>
      </c>
      <c r="G135" s="1793">
        <f t="shared" si="18"/>
        <v>0</v>
      </c>
    </row>
    <row r="136" spans="1:7" hidden="1" x14ac:dyDescent="0.25">
      <c r="A136" s="1653"/>
      <c r="B136" s="1667"/>
      <c r="C136" s="1654"/>
      <c r="D136" s="1844"/>
      <c r="E136" s="1540">
        <f t="shared" ref="E136:E140" si="19">IF(D136&lt;=25000,D136,IF(D136&gt;25000,25000,0))</f>
        <v>0</v>
      </c>
      <c r="F136" s="1936">
        <f t="shared" si="6"/>
        <v>0</v>
      </c>
      <c r="G136" s="1793">
        <f t="shared" ref="G136:G140" si="20">IF(F136=0,0,D136-F136)</f>
        <v>0</v>
      </c>
    </row>
    <row r="137" spans="1:7" hidden="1" x14ac:dyDescent="0.25">
      <c r="A137" s="1653"/>
      <c r="B137" s="1667"/>
      <c r="C137" s="1654"/>
      <c r="D137" s="1844"/>
      <c r="E137" s="1540">
        <f t="shared" si="19"/>
        <v>0</v>
      </c>
      <c r="F137" s="1936">
        <f t="shared" si="6"/>
        <v>0</v>
      </c>
      <c r="G137" s="1793">
        <f t="shared" si="20"/>
        <v>0</v>
      </c>
    </row>
    <row r="138" spans="1:7" hidden="1" x14ac:dyDescent="0.25">
      <c r="A138" s="1653"/>
      <c r="B138" s="1667"/>
      <c r="C138" s="1654"/>
      <c r="D138" s="1844"/>
      <c r="E138" s="1540">
        <f t="shared" si="19"/>
        <v>0</v>
      </c>
      <c r="F138" s="1936">
        <f t="shared" si="6"/>
        <v>0</v>
      </c>
      <c r="G138" s="1793">
        <f t="shared" si="20"/>
        <v>0</v>
      </c>
    </row>
    <row r="139" spans="1:7" hidden="1" x14ac:dyDescent="0.25">
      <c r="A139" s="1653"/>
      <c r="B139" s="1667"/>
      <c r="C139" s="1654"/>
      <c r="D139" s="1844"/>
      <c r="E139" s="1540">
        <f t="shared" si="19"/>
        <v>0</v>
      </c>
      <c r="F139" s="1936">
        <f t="shared" si="6"/>
        <v>0</v>
      </c>
      <c r="G139" s="1793">
        <f t="shared" si="20"/>
        <v>0</v>
      </c>
    </row>
    <row r="140" spans="1:7" hidden="1" x14ac:dyDescent="0.25">
      <c r="A140" s="1653"/>
      <c r="B140" s="1667"/>
      <c r="C140" s="1654"/>
      <c r="D140" s="1844"/>
      <c r="E140" s="1540">
        <f t="shared" si="19"/>
        <v>0</v>
      </c>
      <c r="F140" s="1936">
        <f t="shared" si="6"/>
        <v>0</v>
      </c>
      <c r="G140" s="1793">
        <f t="shared" si="20"/>
        <v>0</v>
      </c>
    </row>
    <row r="141" spans="1:7" x14ac:dyDescent="0.25">
      <c r="A141" s="1653"/>
      <c r="B141" s="1666"/>
      <c r="C141" s="1654"/>
      <c r="D141" s="1844"/>
      <c r="E141" s="1540">
        <f t="shared" si="2"/>
        <v>0</v>
      </c>
      <c r="F141" s="1936">
        <f t="shared" si="6"/>
        <v>0</v>
      </c>
      <c r="G141" s="1793">
        <f t="shared" si="3"/>
        <v>0</v>
      </c>
    </row>
    <row r="142" spans="1:7" x14ac:dyDescent="0.25">
      <c r="A142" s="1796" t="s">
        <v>156</v>
      </c>
      <c r="B142" s="1797"/>
      <c r="C142" s="1798"/>
      <c r="D142" s="1794">
        <f>SUM(D18:D141)</f>
        <v>94281</v>
      </c>
      <c r="E142" s="1541">
        <f t="shared" si="0"/>
        <v>25000</v>
      </c>
      <c r="F142" s="1932">
        <f>SUM(F18:F141)</f>
        <v>50000</v>
      </c>
      <c r="G142" s="1795">
        <f>SUM(G18:G141)</f>
        <v>44281</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topLeftCell="A23" colorId="8" zoomScale="110" zoomScaleNormal="110" workbookViewId="0">
      <selection activeCell="E47" sqref="E47"/>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8" t="s">
        <v>1679</v>
      </c>
      <c r="B5" s="2289"/>
      <c r="C5" s="2289"/>
      <c r="D5" s="2289"/>
      <c r="E5" s="2289"/>
      <c r="F5" s="2289"/>
      <c r="G5" s="2290"/>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v>69576</v>
      </c>
      <c r="F10" s="974"/>
      <c r="G10" s="975"/>
      <c r="H10" s="162"/>
      <c r="I10" s="162"/>
    </row>
    <row r="11" spans="1:9" s="668" customFormat="1" ht="22.5" customHeight="1" x14ac:dyDescent="0.2">
      <c r="A11" s="2293" t="s">
        <v>1975</v>
      </c>
      <c r="B11" s="2294"/>
      <c r="C11" s="2294"/>
      <c r="D11" s="2295"/>
      <c r="E11" s="977">
        <v>15542</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1446614</v>
      </c>
      <c r="F19" s="1799"/>
      <c r="G19" s="1801">
        <f>'Expenditures 15-22'!K33-SUM('Expenditures 15-22'!G33,'Expenditures 15-22'!I33)+'Expenditures 15-22'!D229</f>
        <v>1446614</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1712</v>
      </c>
      <c r="F21" s="1802"/>
      <c r="G21" s="1805">
        <f>'Expenditures 15-22'!K42-SUM('Expenditures 15-22'!G42,'Expenditures 15-22'!I42)+'Expenditures 15-22'!K120-SUM('Expenditures 15-22'!G120,'Expenditures 15-22'!I120)+'Expenditures 15-22'!K180-SUM('Expenditures 15-22'!G180,'Expenditures 15-22'!I180)+'Expenditures 15-22'!D238</f>
        <v>1712</v>
      </c>
      <c r="H21" s="987"/>
      <c r="I21" s="162"/>
    </row>
    <row r="22" spans="1:9" s="668" customFormat="1" ht="12" customHeight="1" x14ac:dyDescent="0.2">
      <c r="A22" s="994" t="s">
        <v>564</v>
      </c>
      <c r="B22" s="995"/>
      <c r="C22" s="993">
        <v>2200</v>
      </c>
      <c r="D22" s="1802"/>
      <c r="E22" s="1804">
        <f>'Expenditures 15-22'!K47-SUM('Expenditures 15-22'!G47,'Expenditures 15-22'!I47)+'Expenditures 15-22'!D243</f>
        <v>111872</v>
      </c>
      <c r="F22" s="1802"/>
      <c r="G22" s="1805">
        <f>'Expenditures 15-22'!K47-SUM('Expenditures 15-22'!G47,'Expenditures 15-22'!I47)+'Expenditures 15-22'!D243</f>
        <v>111872</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215635</v>
      </c>
      <c r="F23" s="1802"/>
      <c r="G23" s="1804">
        <f>'Expenditures 15-22'!K53-SUM('Expenditures 15-22'!G53,'Expenditures 15-22'!I53)+'Expenditures 15-22'!D257+'Expenditures 15-22'!K330-SUM('Expenditures 15-22'!G330,'Expenditures 15-22'!I330)</f>
        <v>215635</v>
      </c>
      <c r="H23" s="987"/>
      <c r="I23" s="162"/>
    </row>
    <row r="24" spans="1:9" s="668" customFormat="1" ht="12" customHeight="1" x14ac:dyDescent="0.2">
      <c r="A24" s="994" t="s">
        <v>566</v>
      </c>
      <c r="B24" s="995"/>
      <c r="C24" s="993">
        <v>2400</v>
      </c>
      <c r="D24" s="1802"/>
      <c r="E24" s="1804">
        <f>'Expenditures 15-22'!K57-SUM('Expenditures 15-22'!G57,'Expenditures 15-22'!I57)+'Expenditures 15-22'!D261</f>
        <v>82540</v>
      </c>
      <c r="F24" s="1802"/>
      <c r="G24" s="1805">
        <f>'Expenditures 15-22'!K57-SUM('Expenditures 15-22'!G57,'Expenditures 15-22'!I57)+'Expenditures 15-22'!D261</f>
        <v>82540</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177</v>
      </c>
      <c r="E26" s="1804">
        <f>'Expenditures 15-22'!K122-SUM('Expenditures 15-22'!G122,'Expenditures 15-22'!I122)+E7</f>
        <v>15392</v>
      </c>
      <c r="F26" s="1804">
        <f>'Expenditures 15-22'!K59-SUM('Expenditures 15-22'!G59,'Expenditures 15-22'!I59)+'Expenditures 15-22'!D263-E7</f>
        <v>177</v>
      </c>
      <c r="G26" s="1805">
        <f>'Expenditures 15-22'!K122-SUM('Expenditures 15-22'!G122,'Expenditures 15-22'!I122)+E7</f>
        <v>15392</v>
      </c>
      <c r="H26" s="987"/>
      <c r="I26" s="162"/>
    </row>
    <row r="27" spans="1:9" s="668" customFormat="1" ht="12" customHeight="1" x14ac:dyDescent="0.2">
      <c r="A27" s="994" t="s">
        <v>463</v>
      </c>
      <c r="B27" s="997"/>
      <c r="C27" s="993">
        <v>2520</v>
      </c>
      <c r="D27" s="1804">
        <f>'Expenditures 15-22'!K60-SUM('Expenditures 15-22'!G60,'Expenditures 15-22'!I60)+'Expenditures 15-22'!D264-E8</f>
        <v>23775</v>
      </c>
      <c r="E27" s="1804">
        <f>E8</f>
        <v>0</v>
      </c>
      <c r="F27" s="1804">
        <f>'Expenditures 15-22'!K60-SUM('Expenditures 15-22'!G60,'Expenditures 15-22'!I60)+'Expenditures 15-22'!D264-E8</f>
        <v>23775</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181074</v>
      </c>
      <c r="F28" s="1806">
        <f>'Expenditures 15-22'!K61-SUM('Expenditures 15-22'!G61,'Expenditures 15-22'!I61)+'Expenditures 15-22'!K124-SUM('Expenditures 15-22'!G124,'Expenditures 15-22'!I124)+'Expenditures 15-22'!D266-E9</f>
        <v>181074</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190652</v>
      </c>
      <c r="F29" s="1802"/>
      <c r="G29" s="1805">
        <f>'Expenditures 15-22'!K62-SUM('Expenditures 15-22'!G62,'Expenditures 15-22'!I62)+'Expenditures 15-22'!K125-SUM('Expenditures 15-22'!G125,'Expenditures 15-22'!I125)+'Expenditures 15-22'!K182-SUM('Expenditures 15-22'!G182,'Expenditures 15-22'!I182)+'Expenditures 15-22'!D267</f>
        <v>190652</v>
      </c>
      <c r="H29" s="985"/>
    </row>
    <row r="30" spans="1:9" ht="12" customHeight="1" x14ac:dyDescent="0.2">
      <c r="A30" s="994" t="s">
        <v>100</v>
      </c>
      <c r="B30" s="997"/>
      <c r="C30" s="993">
        <v>2560</v>
      </c>
      <c r="D30" s="1802"/>
      <c r="E30" s="1804">
        <f>'Expenditures 15-22'!K63-SUM('Expenditures 15-22'!G63,'Expenditures 15-22'!I63)+'Expenditures 15-22'!D268-E10</f>
        <v>47038</v>
      </c>
      <c r="F30" s="1802"/>
      <c r="G30" s="1804">
        <f>'Expenditures 15-22'!K63-SUM('Expenditures 15-22'!G63,'Expenditures 15-22'!I63)+'Expenditures 15-22'!D268-E10</f>
        <v>47038</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58</v>
      </c>
      <c r="F38" s="1802"/>
      <c r="G38" s="1804">
        <f>'Expenditures 15-22'!K73-SUM('Expenditures 15-22'!G73,'Expenditures 15-22'!I73)+'Expenditures 15-22'!K128-SUM('Expenditures 15-22'!G128,'Expenditures 15-22'!I128)+'Expenditures 15-22'!K183-SUM('Expenditures 15-22'!G183,'Expenditures 15-22'!I183)+'Expenditures 15-22'!D278</f>
        <v>58</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29'!G142</f>
        <v>-44281</v>
      </c>
      <c r="F40" s="1802"/>
      <c r="G40" s="1806">
        <f>-'Contracts Paid in CY 29'!G142</f>
        <v>-44281</v>
      </c>
    </row>
    <row r="41" spans="1:7" ht="12" customHeight="1" x14ac:dyDescent="0.2">
      <c r="A41" s="998" t="s">
        <v>156</v>
      </c>
      <c r="B41" s="999"/>
      <c r="C41" s="1000"/>
      <c r="D41" s="1806">
        <f>SUM(D19:D39)</f>
        <v>23952</v>
      </c>
      <c r="E41" s="1806">
        <f>SUM(E19:E40)</f>
        <v>2248306</v>
      </c>
      <c r="F41" s="1806">
        <f>SUM(F19:F39)</f>
        <v>205026</v>
      </c>
      <c r="G41" s="1806">
        <f>SUM(G19:G40)</f>
        <v>2067232</v>
      </c>
    </row>
    <row r="42" spans="1:7" x14ac:dyDescent="0.2">
      <c r="A42" s="987"/>
      <c r="B42" s="162"/>
      <c r="C42" s="1001"/>
      <c r="D42" s="2291" t="s">
        <v>522</v>
      </c>
      <c r="E42" s="2292"/>
      <c r="F42" s="1002" t="s">
        <v>523</v>
      </c>
      <c r="G42" s="1003"/>
    </row>
    <row r="43" spans="1:7" ht="12" customHeight="1" x14ac:dyDescent="0.2">
      <c r="A43" s="987"/>
      <c r="B43" s="162"/>
      <c r="C43" s="1001"/>
      <c r="D43" s="1807" t="s">
        <v>473</v>
      </c>
      <c r="E43" s="1808">
        <f>D41</f>
        <v>23952</v>
      </c>
      <c r="F43" s="1807" t="s">
        <v>473</v>
      </c>
      <c r="G43" s="1808">
        <f>F41</f>
        <v>205026</v>
      </c>
    </row>
    <row r="44" spans="1:7" ht="12" customHeight="1" x14ac:dyDescent="0.2">
      <c r="A44" s="987"/>
      <c r="B44" s="162"/>
      <c r="C44" s="1001"/>
      <c r="D44" s="1807" t="s">
        <v>474</v>
      </c>
      <c r="E44" s="1808">
        <f>E41</f>
        <v>2248306</v>
      </c>
      <c r="F44" s="1807" t="s">
        <v>474</v>
      </c>
      <c r="G44" s="1808">
        <f>G41</f>
        <v>2067232</v>
      </c>
    </row>
    <row r="45" spans="1:7" ht="12" customHeight="1" x14ac:dyDescent="0.2">
      <c r="A45" s="987"/>
      <c r="B45" s="162"/>
      <c r="C45" s="162"/>
      <c r="D45" s="1809" t="s">
        <v>1006</v>
      </c>
      <c r="E45" s="1810">
        <f>(E43/E44)</f>
        <v>1.0653354125283659E-2</v>
      </c>
      <c r="F45" s="1809" t="s">
        <v>1006</v>
      </c>
      <c r="G45" s="1810">
        <f>(G43/G44)</f>
        <v>9.9178998777108715E-2</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38" activePane="bottomLeft" state="frozen"/>
      <selection activeCell="A47" sqref="A47"/>
      <selection pane="bottomLeft" sqref="A1:F43"/>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9" t="s">
        <v>1379</v>
      </c>
      <c r="B1" s="2299"/>
      <c r="C1" s="2299"/>
      <c r="D1" s="2299"/>
      <c r="E1" s="2299"/>
      <c r="F1" s="2299"/>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300" t="s">
        <v>1546</v>
      </c>
      <c r="B5" s="2301"/>
      <c r="C5" s="2302"/>
      <c r="D5" s="2302"/>
      <c r="E5" s="2302"/>
      <c r="F5" s="2302"/>
    </row>
    <row r="6" spans="1:10" ht="12" customHeight="1" x14ac:dyDescent="0.25">
      <c r="A6" s="1850"/>
      <c r="B6" s="1851"/>
      <c r="C6" s="2303" t="str">
        <f>COVER!A17</f>
        <v>Chester-East Lincoln Community CCSD 61</v>
      </c>
      <c r="D6" s="2303"/>
      <c r="E6" s="2303"/>
      <c r="F6" s="1852"/>
    </row>
    <row r="7" spans="1:10" ht="11.25" customHeight="1" thickBot="1" x14ac:dyDescent="0.3">
      <c r="A7" s="1850"/>
      <c r="B7" s="1851"/>
      <c r="C7" s="2304">
        <f>COVER!A13</f>
        <v>17054061004</v>
      </c>
      <c r="D7" s="2304"/>
      <c r="E7" s="2304"/>
      <c r="F7" s="1852"/>
    </row>
    <row r="8" spans="1:10" ht="25.5" customHeight="1" thickBot="1" x14ac:dyDescent="0.25">
      <c r="A8" s="1893" t="s">
        <v>1907</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t="s">
        <v>2065</v>
      </c>
      <c r="D25" s="1865" t="s">
        <v>2065</v>
      </c>
      <c r="E25" s="1868" t="s">
        <v>2065</v>
      </c>
      <c r="F25" s="1867" t="s">
        <v>2102</v>
      </c>
      <c r="H25" s="1878">
        <f t="shared" si="0"/>
        <v>5</v>
      </c>
      <c r="I25" s="1878">
        <f t="shared" si="1"/>
        <v>5</v>
      </c>
      <c r="J25" s="1878">
        <f t="shared" si="2"/>
        <v>5</v>
      </c>
    </row>
    <row r="26" spans="1:12" ht="12" customHeight="1" x14ac:dyDescent="0.2">
      <c r="A26" s="1863" t="s">
        <v>1534</v>
      </c>
      <c r="B26" s="1864"/>
      <c r="C26" s="1865" t="s">
        <v>2065</v>
      </c>
      <c r="D26" s="1865" t="s">
        <v>2065</v>
      </c>
      <c r="E26" s="1868" t="s">
        <v>2065</v>
      </c>
      <c r="F26" s="1867" t="s">
        <v>2103</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10</v>
      </c>
      <c r="I34" s="1878">
        <f>SUM(I11:I32)</f>
        <v>10</v>
      </c>
      <c r="J34" s="1878">
        <f>SUM(J11:J32)</f>
        <v>10</v>
      </c>
      <c r="K34" s="1878">
        <f>SUM(H34:J34)</f>
        <v>30</v>
      </c>
    </row>
    <row r="35" spans="1:11" ht="12" customHeight="1" x14ac:dyDescent="0.2">
      <c r="A35" s="1871" t="s">
        <v>1392</v>
      </c>
      <c r="B35" s="1872"/>
      <c r="C35" s="2305"/>
      <c r="D35" s="2305"/>
      <c r="E35" s="2305"/>
      <c r="F35" s="2306"/>
    </row>
    <row r="36" spans="1:11" ht="12" customHeight="1" x14ac:dyDescent="0.2">
      <c r="A36" s="2296"/>
      <c r="B36" s="2297"/>
      <c r="C36" s="2297"/>
      <c r="D36" s="2297"/>
      <c r="E36" s="2297"/>
      <c r="F36" s="2298"/>
    </row>
    <row r="37" spans="1:11" ht="12" customHeight="1" x14ac:dyDescent="0.2">
      <c r="A37" s="2296"/>
      <c r="B37" s="2297"/>
      <c r="C37" s="2297"/>
      <c r="D37" s="2297"/>
      <c r="E37" s="2297"/>
      <c r="F37" s="2298"/>
    </row>
    <row r="38" spans="1:11" ht="12" customHeight="1" x14ac:dyDescent="0.2">
      <c r="A38" s="2310"/>
      <c r="B38" s="2311"/>
      <c r="C38" s="2311"/>
      <c r="D38" s="2311"/>
      <c r="E38" s="2311"/>
      <c r="F38" s="2312"/>
    </row>
    <row r="39" spans="1:11" ht="4.5" hidden="1" customHeight="1" x14ac:dyDescent="0.2">
      <c r="A39" s="1873"/>
      <c r="B39" s="1873"/>
      <c r="C39" s="1873"/>
      <c r="D39" s="1873"/>
      <c r="E39" s="1873"/>
      <c r="F39" s="1873"/>
    </row>
    <row r="40" spans="1:11" s="1870" customFormat="1" ht="12" customHeight="1" x14ac:dyDescent="0.25">
      <c r="A40" s="1874" t="s">
        <v>1391</v>
      </c>
      <c r="B40" s="1875"/>
      <c r="C40" s="2313"/>
      <c r="D40" s="2313"/>
      <c r="E40" s="2313"/>
      <c r="F40" s="2314"/>
      <c r="H40" s="1879"/>
      <c r="I40" s="1879"/>
      <c r="J40" s="1879"/>
      <c r="K40" s="1879"/>
    </row>
    <row r="41" spans="1:11" s="1870" customFormat="1" ht="12" customHeight="1" x14ac:dyDescent="0.25">
      <c r="A41" s="2315"/>
      <c r="B41" s="2316"/>
      <c r="C41" s="2316"/>
      <c r="D41" s="2316"/>
      <c r="E41" s="2316"/>
      <c r="F41" s="2317"/>
      <c r="H41" s="1879"/>
      <c r="I41" s="1879"/>
      <c r="J41" s="1879"/>
      <c r="K41" s="1879"/>
    </row>
    <row r="42" spans="1:11" s="1870" customFormat="1" ht="12" customHeight="1" x14ac:dyDescent="0.25">
      <c r="A42" s="2315"/>
      <c r="B42" s="2316"/>
      <c r="C42" s="2316"/>
      <c r="D42" s="2316"/>
      <c r="E42" s="2316"/>
      <c r="F42" s="2317"/>
      <c r="H42" s="1879"/>
      <c r="I42" s="1879"/>
      <c r="J42" s="1879"/>
      <c r="K42" s="1879"/>
    </row>
    <row r="43" spans="1:11" s="1870" customFormat="1" ht="15" x14ac:dyDescent="0.25">
      <c r="A43" s="2307"/>
      <c r="B43" s="2308"/>
      <c r="C43" s="2308"/>
      <c r="D43" s="2308"/>
      <c r="E43" s="2308"/>
      <c r="F43" s="2309"/>
      <c r="H43" s="1879"/>
      <c r="I43" s="1879"/>
      <c r="J43" s="1879"/>
      <c r="K43" s="1879"/>
    </row>
    <row r="44" spans="1:11" s="1870" customFormat="1" ht="12" hidden="1" customHeight="1" x14ac:dyDescent="0.25">
      <c r="A44" s="2307"/>
      <c r="B44" s="2308"/>
      <c r="C44" s="2308"/>
      <c r="D44" s="2308"/>
      <c r="E44" s="2308"/>
      <c r="F44" s="2309"/>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3"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topLeftCell="A13" colorId="8" zoomScale="110" zoomScaleNormal="110" workbookViewId="0">
      <selection activeCell="J20" sqref="J20"/>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3" t="str">
        <f>COVER!A17</f>
        <v>Chester-East Lincoln Community CCSD 61</v>
      </c>
      <c r="J6" s="2324"/>
      <c r="Q6" s="1664"/>
    </row>
    <row r="7" spans="1:17" x14ac:dyDescent="0.2">
      <c r="A7" s="2325" t="s">
        <v>869</v>
      </c>
      <c r="B7" s="2326"/>
      <c r="C7" s="2326"/>
      <c r="D7" s="2326"/>
      <c r="E7" s="2327"/>
      <c r="F7" s="1017"/>
      <c r="G7" s="1009"/>
      <c r="H7" s="1016" t="s">
        <v>372</v>
      </c>
      <c r="I7" s="2328">
        <f>COVER!A13</f>
        <v>17054061004</v>
      </c>
      <c r="J7" s="2328"/>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9" t="s">
        <v>481</v>
      </c>
      <c r="B11" s="2330"/>
      <c r="C11" s="2331"/>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74994</v>
      </c>
      <c r="F12" s="1039"/>
      <c r="G12" s="1811">
        <f t="shared" ref="G12:G18" si="0">SUM(E12:F12)</f>
        <v>74994</v>
      </c>
      <c r="H12" s="1040">
        <v>71000</v>
      </c>
      <c r="I12" s="1039"/>
      <c r="J12" s="1811">
        <f t="shared" ref="J12:J18" si="1">SUM(H12:I12)</f>
        <v>71000</v>
      </c>
    </row>
    <row r="13" spans="1:17" ht="15" customHeight="1" x14ac:dyDescent="0.2">
      <c r="A13" s="1035">
        <v>2</v>
      </c>
      <c r="B13" s="1036" t="s">
        <v>42</v>
      </c>
      <c r="C13" s="1037"/>
      <c r="D13" s="1038">
        <v>2330</v>
      </c>
      <c r="E13" s="1811">
        <f>'Expenditures 15-22'!K51</f>
        <v>36266</v>
      </c>
      <c r="F13" s="1039"/>
      <c r="G13" s="1811">
        <f t="shared" si="0"/>
        <v>36266</v>
      </c>
      <c r="H13" s="1040">
        <v>46000</v>
      </c>
      <c r="I13" s="1039"/>
      <c r="J13" s="1811">
        <f t="shared" si="1"/>
        <v>46000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15392</v>
      </c>
      <c r="G15" s="1811">
        <f t="shared" si="0"/>
        <v>15392</v>
      </c>
      <c r="H15" s="1040"/>
      <c r="I15" s="1040">
        <v>15950</v>
      </c>
      <c r="J15" s="1811">
        <f t="shared" si="1"/>
        <v>15950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2" t="s">
        <v>7</v>
      </c>
      <c r="C18" s="2333"/>
      <c r="D18" s="2334"/>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111260</v>
      </c>
      <c r="F19" s="1813">
        <f t="shared" si="2"/>
        <v>15392</v>
      </c>
      <c r="G19" s="1813">
        <f t="shared" si="2"/>
        <v>126652</v>
      </c>
      <c r="H19" s="1813">
        <f t="shared" si="2"/>
        <v>117000</v>
      </c>
      <c r="I19" s="1813">
        <f t="shared" si="2"/>
        <v>15950</v>
      </c>
      <c r="J19" s="1813">
        <f t="shared" si="2"/>
        <v>132950</v>
      </c>
    </row>
    <row r="20" spans="1:10" ht="13.5" thickTop="1" x14ac:dyDescent="0.2">
      <c r="A20" s="1035">
        <v>9</v>
      </c>
      <c r="B20" s="2335" t="s">
        <v>1979</v>
      </c>
      <c r="C20" s="2335"/>
      <c r="D20" s="2336"/>
      <c r="E20" s="1046"/>
      <c r="F20" s="1046"/>
      <c r="G20" s="1046"/>
      <c r="H20" s="1046"/>
      <c r="I20" s="1046"/>
      <c r="J20" s="1814">
        <f>IF(AND(G19&gt;0,J19&gt;0),(((J19-G19)/G19)),"Enter Budget Data")</f>
        <v>4.9726810472791587E-2</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41"/>
      <c r="D26" s="2341"/>
      <c r="E26" s="1050"/>
      <c r="F26" s="2340"/>
      <c r="G26" s="2340"/>
    </row>
    <row r="27" spans="1:10" x14ac:dyDescent="0.2">
      <c r="B27" s="1047"/>
      <c r="C27" s="1051" t="s">
        <v>1033</v>
      </c>
      <c r="D27" s="1052"/>
      <c r="E27" s="1053"/>
      <c r="F27" s="2337" t="s">
        <v>1509</v>
      </c>
      <c r="G27" s="2337"/>
    </row>
    <row r="28" spans="1:10" ht="28.5" customHeight="1" x14ac:dyDescent="0.2">
      <c r="B28" s="1047"/>
      <c r="C28" s="2339"/>
      <c r="D28" s="2339"/>
      <c r="E28" s="1054"/>
      <c r="F28" s="2339"/>
      <c r="G28" s="2339"/>
    </row>
    <row r="29" spans="1:10" x14ac:dyDescent="0.2">
      <c r="B29" s="1047"/>
      <c r="C29" s="1055" t="s">
        <v>1561</v>
      </c>
      <c r="E29" s="1056"/>
      <c r="F29" s="2338" t="s">
        <v>1510</v>
      </c>
      <c r="G29" s="2338"/>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20" t="s">
        <v>132</v>
      </c>
      <c r="D33" s="2321"/>
      <c r="E33" s="2321"/>
      <c r="F33" s="2321"/>
      <c r="G33" s="2321"/>
      <c r="H33" s="2321"/>
      <c r="I33" s="2321"/>
    </row>
    <row r="34" spans="1:10" ht="10.35" customHeight="1" x14ac:dyDescent="0.2">
      <c r="C34" s="2321"/>
      <c r="D34" s="2321"/>
      <c r="E34" s="2321"/>
      <c r="F34" s="2321"/>
      <c r="G34" s="2321"/>
      <c r="H34" s="2321"/>
      <c r="I34" s="2321"/>
    </row>
    <row r="35" spans="1:10" ht="7.5" customHeight="1" x14ac:dyDescent="0.2">
      <c r="C35" s="1062"/>
    </row>
    <row r="36" spans="1:10" ht="13.5" customHeight="1" x14ac:dyDescent="0.2">
      <c r="B36" s="1061"/>
      <c r="C36" s="2322" t="s">
        <v>1981</v>
      </c>
      <c r="D36" s="2321"/>
      <c r="E36" s="2321"/>
      <c r="F36" s="2321"/>
      <c r="G36" s="2321"/>
      <c r="H36" s="2321"/>
      <c r="I36" s="2321"/>
      <c r="J36" s="1063"/>
    </row>
    <row r="37" spans="1:10" ht="22.5" customHeight="1" x14ac:dyDescent="0.2">
      <c r="C37" s="2321"/>
      <c r="D37" s="2321"/>
      <c r="E37" s="2321"/>
      <c r="F37" s="2321"/>
      <c r="G37" s="2321"/>
      <c r="H37" s="2321"/>
      <c r="I37" s="2321"/>
      <c r="J37" s="1063"/>
    </row>
    <row r="38" spans="1:10" ht="7.5" customHeight="1" x14ac:dyDescent="0.2">
      <c r="C38" s="1062"/>
      <c r="D38" s="1064"/>
      <c r="E38" s="1065"/>
      <c r="F38" s="1066"/>
      <c r="G38" s="1065"/>
    </row>
    <row r="39" spans="1:10" ht="13.5" customHeight="1" x14ac:dyDescent="0.2">
      <c r="B39" s="1061"/>
      <c r="C39" s="2318" t="s">
        <v>882</v>
      </c>
      <c r="D39" s="2319"/>
      <c r="E39" s="2319"/>
      <c r="F39" s="2319"/>
      <c r="G39" s="2319"/>
      <c r="H39" s="2319"/>
      <c r="I39" s="2319"/>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D65"/>
  <sheetViews>
    <sheetView showGridLines="0" topLeftCell="A42" zoomScale="110" zoomScaleNormal="110" workbookViewId="0">
      <selection activeCell="B26" sqref="B26"/>
    </sheetView>
  </sheetViews>
  <sheetFormatPr defaultRowHeight="12.75" x14ac:dyDescent="0.2"/>
  <cols>
    <col min="1" max="1" width="3" style="329" customWidth="1"/>
    <col min="2" max="2" width="11.42578125" style="329" customWidth="1"/>
    <col min="3" max="3" width="3.140625" style="329" customWidth="1"/>
    <col min="4" max="16384" width="9.140625" style="329"/>
  </cols>
  <sheetData>
    <row r="2" spans="1:4" x14ac:dyDescent="0.2">
      <c r="A2" s="389" t="s">
        <v>258</v>
      </c>
    </row>
    <row r="3" spans="1:4" x14ac:dyDescent="0.2">
      <c r="A3" s="329" t="s">
        <v>259</v>
      </c>
    </row>
    <row r="5" spans="1:4" x14ac:dyDescent="0.2">
      <c r="A5" s="1941" t="s">
        <v>2083</v>
      </c>
    </row>
    <row r="6" spans="1:4" x14ac:dyDescent="0.2">
      <c r="A6" s="1068"/>
    </row>
    <row r="7" spans="1:4" x14ac:dyDescent="0.2">
      <c r="A7" s="1068"/>
      <c r="B7" s="1940">
        <v>35</v>
      </c>
      <c r="D7" s="329" t="s">
        <v>2084</v>
      </c>
    </row>
    <row r="8" spans="1:4" x14ac:dyDescent="0.2">
      <c r="A8" s="1068"/>
    </row>
    <row r="9" spans="1:4" x14ac:dyDescent="0.2">
      <c r="A9" s="1941" t="s">
        <v>2085</v>
      </c>
    </row>
    <row r="10" spans="1:4" x14ac:dyDescent="0.2">
      <c r="A10" s="1069"/>
    </row>
    <row r="11" spans="1:4" x14ac:dyDescent="0.2">
      <c r="A11" s="1069"/>
      <c r="B11" s="1940">
        <v>11526</v>
      </c>
      <c r="C11" s="329" t="s">
        <v>2088</v>
      </c>
    </row>
    <row r="12" spans="1:4" x14ac:dyDescent="0.2">
      <c r="A12" s="1069"/>
      <c r="B12" s="1942">
        <v>132</v>
      </c>
      <c r="C12" s="329" t="s">
        <v>2086</v>
      </c>
    </row>
    <row r="13" spans="1:4" ht="13.5" thickBot="1" x14ac:dyDescent="0.25">
      <c r="A13" s="1069"/>
      <c r="B13" s="1943">
        <f>SUM(B11:B12)</f>
        <v>11658</v>
      </c>
      <c r="C13" s="329" t="s">
        <v>2087</v>
      </c>
    </row>
    <row r="14" spans="1:4" ht="13.5" thickTop="1" x14ac:dyDescent="0.2">
      <c r="A14" s="1069"/>
    </row>
    <row r="15" spans="1:4" x14ac:dyDescent="0.2">
      <c r="A15" s="1069"/>
      <c r="B15" s="1940">
        <v>360</v>
      </c>
      <c r="C15" s="329" t="s">
        <v>2089</v>
      </c>
    </row>
    <row r="16" spans="1:4" x14ac:dyDescent="0.2">
      <c r="A16" s="1069"/>
    </row>
    <row r="17" spans="1:3" x14ac:dyDescent="0.2">
      <c r="A17" s="1941" t="s">
        <v>2090</v>
      </c>
    </row>
    <row r="18" spans="1:3" x14ac:dyDescent="0.2">
      <c r="A18" s="1069"/>
    </row>
    <row r="19" spans="1:3" x14ac:dyDescent="0.2">
      <c r="A19" s="1069"/>
      <c r="B19" s="1940">
        <v>58</v>
      </c>
      <c r="C19" s="329" t="s">
        <v>2091</v>
      </c>
    </row>
    <row r="20" spans="1:3" x14ac:dyDescent="0.2">
      <c r="A20" s="1069"/>
    </row>
    <row r="21" spans="1:3" x14ac:dyDescent="0.2">
      <c r="A21" s="1941" t="s">
        <v>2092</v>
      </c>
    </row>
    <row r="22" spans="1:3" x14ac:dyDescent="0.2">
      <c r="A22" s="1069"/>
    </row>
    <row r="23" spans="1:3" x14ac:dyDescent="0.2">
      <c r="A23" s="1069"/>
      <c r="B23" s="1940">
        <v>547</v>
      </c>
      <c r="C23" s="329" t="s">
        <v>2093</v>
      </c>
    </row>
    <row r="24" spans="1:3" x14ac:dyDescent="0.2">
      <c r="A24" s="1069"/>
    </row>
    <row r="25" spans="1:3" x14ac:dyDescent="0.2">
      <c r="A25" s="1069"/>
    </row>
    <row r="26" spans="1:3" x14ac:dyDescent="0.2">
      <c r="A26" s="1069"/>
    </row>
    <row r="27" spans="1:3" x14ac:dyDescent="0.2">
      <c r="A27" s="1069"/>
    </row>
    <row r="28" spans="1:3" x14ac:dyDescent="0.2">
      <c r="A28" s="1069"/>
    </row>
    <row r="29" spans="1:3" x14ac:dyDescent="0.2">
      <c r="A29" s="1069"/>
    </row>
    <row r="30" spans="1:3" x14ac:dyDescent="0.2">
      <c r="A30" s="1069"/>
    </row>
    <row r="31" spans="1:3" x14ac:dyDescent="0.2">
      <c r="A31" s="1069"/>
    </row>
    <row r="32" spans="1:3"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Chester-East Lincoln Community CCSD 61</v>
      </c>
    </row>
    <row r="65" spans="2:2" x14ac:dyDescent="0.2">
      <c r="B65" s="1070">
        <f>COVER!A13</f>
        <v>17054061004</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G1" sqref="G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9" t="s">
        <v>1065</v>
      </c>
      <c r="B35" s="2059"/>
      <c r="C35" s="2059"/>
      <c r="D35" s="2059"/>
      <c r="E35" s="205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6" t="s">
        <v>691</v>
      </c>
      <c r="B40" s="2056"/>
      <c r="C40" s="2056"/>
      <c r="D40" s="2056"/>
      <c r="E40" s="2056"/>
    </row>
    <row r="41" spans="1:5" x14ac:dyDescent="0.2">
      <c r="A41" s="2057" t="s">
        <v>1608</v>
      </c>
      <c r="B41" s="2057"/>
      <c r="C41" s="2057"/>
      <c r="D41" s="2057"/>
      <c r="E41" s="2057"/>
    </row>
    <row r="42" spans="1:5" ht="12.75" customHeight="1" x14ac:dyDescent="0.2">
      <c r="A42" s="2058" t="s">
        <v>1022</v>
      </c>
      <c r="B42" s="2058"/>
      <c r="C42" s="2058"/>
      <c r="D42" s="2058"/>
      <c r="E42" s="2058"/>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22" sqref="B22"/>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2" t="s">
        <v>1685</v>
      </c>
      <c r="B18" s="2342"/>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238125</xdr:colOff>
                <xdr:row>5</xdr:row>
                <xdr:rowOff>104775</xdr:rowOff>
              </from>
              <to>
                <xdr:col>1</xdr:col>
                <xdr:colOff>1152525</xdr:colOff>
                <xdr:row>9</xdr:row>
                <xdr:rowOff>142875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topLeftCell="A3" zoomScale="110" zoomScaleNormal="110" workbookViewId="0">
      <selection activeCell="A4" sqref="A4:F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3" t="s">
        <v>1690</v>
      </c>
      <c r="B1" s="2344"/>
      <c r="C1" s="2344"/>
      <c r="D1" s="2344"/>
      <c r="E1" s="2344"/>
      <c r="F1" s="2345"/>
    </row>
    <row r="2" spans="1:8" ht="45" customHeight="1" x14ac:dyDescent="0.2">
      <c r="A2" s="2353" t="s">
        <v>1985</v>
      </c>
      <c r="B2" s="2354"/>
      <c r="C2" s="2354"/>
      <c r="D2" s="2354"/>
      <c r="E2" s="2354"/>
      <c r="F2" s="2355"/>
      <c r="G2" s="1074"/>
      <c r="H2" s="1074"/>
    </row>
    <row r="3" spans="1:8" ht="57" customHeight="1" x14ac:dyDescent="0.2">
      <c r="A3" s="2356" t="s">
        <v>1686</v>
      </c>
      <c r="B3" s="2357"/>
      <c r="C3" s="2357"/>
      <c r="D3" s="2357"/>
      <c r="E3" s="2357"/>
      <c r="F3" s="2358"/>
      <c r="G3" s="1074"/>
      <c r="H3" s="1074"/>
    </row>
    <row r="4" spans="1:8" ht="14.25" customHeight="1" x14ac:dyDescent="0.2">
      <c r="A4" s="2362" t="s">
        <v>1986</v>
      </c>
      <c r="B4" s="2363"/>
      <c r="C4" s="2363"/>
      <c r="D4" s="2363"/>
      <c r="E4" s="2363"/>
      <c r="F4" s="2364"/>
      <c r="G4" s="1074"/>
      <c r="H4" s="1074"/>
    </row>
    <row r="5" spans="1:8" ht="14.25" customHeight="1" x14ac:dyDescent="0.2">
      <c r="A5" s="2365" t="s">
        <v>1982</v>
      </c>
      <c r="B5" s="2366"/>
      <c r="C5" s="2366"/>
      <c r="D5" s="2366"/>
      <c r="E5" s="2366"/>
      <c r="F5" s="2367"/>
      <c r="G5" s="1074"/>
      <c r="H5" s="1074"/>
    </row>
    <row r="6" spans="1:8" s="1075" customFormat="1" ht="41.25" customHeight="1" x14ac:dyDescent="0.2">
      <c r="A6" s="2359" t="s">
        <v>1691</v>
      </c>
      <c r="B6" s="2360"/>
      <c r="C6" s="2360"/>
      <c r="D6" s="2360"/>
      <c r="E6" s="2360"/>
      <c r="F6" s="2361"/>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2347811</v>
      </c>
      <c r="C8" s="1815">
        <f>'Acct Summary 7-8'!D8</f>
        <v>198109</v>
      </c>
      <c r="D8" s="1815">
        <f>'Acct Summary 7-8'!F8</f>
        <v>198411</v>
      </c>
      <c r="E8" s="1815">
        <f>'Acct Summary 7-8'!I8</f>
        <v>45573</v>
      </c>
      <c r="F8" s="1815">
        <f>SUM(B8:E8)</f>
        <v>2789904</v>
      </c>
    </row>
    <row r="9" spans="1:8" s="1079" customFormat="1" ht="14.25" customHeight="1" thickBot="1" x14ac:dyDescent="0.25">
      <c r="A9" s="1078" t="s">
        <v>1369</v>
      </c>
      <c r="B9" s="1816">
        <f>'Acct Summary 7-8'!C17</f>
        <v>1954907</v>
      </c>
      <c r="C9" s="1816">
        <f>'Acct Summary 7-8'!D17</f>
        <v>187165</v>
      </c>
      <c r="D9" s="1816">
        <f>'Acct Summary 7-8'!F17</f>
        <v>180649</v>
      </c>
      <c r="E9" s="1815"/>
      <c r="F9" s="1815">
        <f>SUM(B9:E9)</f>
        <v>2322721</v>
      </c>
    </row>
    <row r="10" spans="1:8" s="1079" customFormat="1" ht="14.25" thickTop="1" thickBot="1" x14ac:dyDescent="0.25">
      <c r="A10" s="1080" t="s">
        <v>1370</v>
      </c>
      <c r="B10" s="1817">
        <f>(B8-B9)</f>
        <v>392904</v>
      </c>
      <c r="C10" s="1817">
        <f>(C8-C9)</f>
        <v>10944</v>
      </c>
      <c r="D10" s="1817">
        <f>(D8-D9)</f>
        <v>17762</v>
      </c>
      <c r="E10" s="1816">
        <f>(E8-E9)</f>
        <v>45573</v>
      </c>
      <c r="F10" s="1818">
        <f>SUM(F8-F9)</f>
        <v>467183</v>
      </c>
    </row>
    <row r="11" spans="1:8" s="1079" customFormat="1" ht="14.25" thickTop="1" thickBot="1" x14ac:dyDescent="0.25">
      <c r="A11" s="1081" t="s">
        <v>1983</v>
      </c>
      <c r="B11" s="1819">
        <f>'Acct Summary 7-8'!C81</f>
        <v>1745865</v>
      </c>
      <c r="C11" s="1819">
        <f>'Acct Summary 7-8'!D81</f>
        <v>237869</v>
      </c>
      <c r="D11" s="1819">
        <f>'Acct Summary 7-8'!F81</f>
        <v>440266</v>
      </c>
      <c r="E11" s="1819">
        <f>'Acct Summary 7-8'!I81</f>
        <v>384357</v>
      </c>
      <c r="F11" s="1820">
        <f>SUM(B11:E11)</f>
        <v>2808357</v>
      </c>
    </row>
    <row r="12" spans="1:8" ht="16.5" customHeight="1" thickTop="1" x14ac:dyDescent="0.2">
      <c r="A12" s="1082"/>
      <c r="B12" s="1083"/>
      <c r="C12" s="2347" t="str">
        <f>IF(AND(F10&lt;0,F11&gt;=0,ABS(F10*3)&gt;ABS(F11)),A16,IF(AND(F10&lt;0,F11&gt;0,ABS(F10*3)&lt;=ABS(F11)),A17,IF(AND(F10&lt;0,F11&lt;0),A16,IF(F11=0,A19,A18))))</f>
        <v>Balanced - no deficit reduction plan is required.</v>
      </c>
      <c r="D12" s="2348"/>
      <c r="E12" s="2348"/>
      <c r="F12" s="2349"/>
    </row>
    <row r="13" spans="1:8" ht="19.5" customHeight="1" x14ac:dyDescent="0.2">
      <c r="A13" s="1084"/>
      <c r="B13" s="1085"/>
      <c r="C13" s="2347"/>
      <c r="D13" s="2348"/>
      <c r="E13" s="2348"/>
      <c r="F13" s="2349"/>
      <c r="H13" s="1074"/>
    </row>
    <row r="14" spans="1:8" ht="19.5" customHeight="1" x14ac:dyDescent="0.2">
      <c r="A14" s="1084"/>
      <c r="B14" s="1085"/>
      <c r="C14" s="2347"/>
      <c r="D14" s="2348"/>
      <c r="E14" s="2348"/>
      <c r="F14" s="2349"/>
      <c r="H14" s="1074"/>
    </row>
    <row r="15" spans="1:8" ht="17.25" customHeight="1" x14ac:dyDescent="0.2">
      <c r="A15" s="1084"/>
      <c r="B15" s="1085"/>
      <c r="C15" s="2350"/>
      <c r="D15" s="2351"/>
      <c r="E15" s="2351"/>
      <c r="F15" s="2352"/>
      <c r="H15" s="1074"/>
    </row>
    <row r="16" spans="1:8" s="310" customFormat="1" ht="51.75" hidden="1" customHeight="1" x14ac:dyDescent="0.2">
      <c r="A16" s="2346" t="s">
        <v>1687</v>
      </c>
      <c r="B16" s="2346"/>
      <c r="C16" s="2346"/>
      <c r="D16" s="2346"/>
      <c r="E16" s="2346"/>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69" colorId="8" zoomScale="110" zoomScaleNormal="110" workbookViewId="0">
      <selection activeCell="G89" sqref="G89"/>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8" t="s">
        <v>665</v>
      </c>
      <c r="B3" s="2369"/>
      <c r="C3" s="2369"/>
      <c r="D3" s="2370"/>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9" t="s">
        <v>1504</v>
      </c>
      <c r="D7" s="2380"/>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71" t="s">
        <v>1008</v>
      </c>
      <c r="B15" s="2372"/>
      <c r="C15" s="2372"/>
      <c r="D15" s="2373"/>
    </row>
    <row r="16" spans="1:4" s="668" customFormat="1" ht="24" customHeight="1" x14ac:dyDescent="0.2">
      <c r="A16" s="2374" t="s">
        <v>663</v>
      </c>
      <c r="B16" s="2375"/>
      <c r="C16" s="2375"/>
      <c r="D16" s="2376"/>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3" t="s">
        <v>314</v>
      </c>
      <c r="D21" s="2384"/>
    </row>
    <row r="22" spans="1:10" ht="12.75" x14ac:dyDescent="0.2">
      <c r="A22" s="1139"/>
      <c r="B22" s="1140">
        <v>2</v>
      </c>
      <c r="C22" s="2381" t="s">
        <v>1524</v>
      </c>
      <c r="D22" s="2382"/>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PLEASE CHECK YES or NO.</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5" t="s">
        <v>536</v>
      </c>
      <c r="D43" s="2386"/>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7" t="s">
        <v>784</v>
      </c>
      <c r="D56" s="2378"/>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7" t="s">
        <v>1696</v>
      </c>
      <c r="D70" s="2378"/>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OK</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17054061004</v>
      </c>
    </row>
    <row r="3" spans="1:2" x14ac:dyDescent="0.2">
      <c r="A3" t="s">
        <v>956</v>
      </c>
      <c r="B3" s="138" t="str">
        <f>COVER!A15</f>
        <v>Logan</v>
      </c>
    </row>
    <row r="4" spans="1:2" x14ac:dyDescent="0.2">
      <c r="A4" t="s">
        <v>1007</v>
      </c>
      <c r="B4" s="138" t="str">
        <f>COVER!A17</f>
        <v>Chester-East Lincoln Community CCSD 61</v>
      </c>
    </row>
    <row r="5" spans="1:2" x14ac:dyDescent="0.2">
      <c r="A5" t="s">
        <v>704</v>
      </c>
      <c r="B5" s="138" t="str">
        <f>COVER!A38</f>
        <v>Laura Irwin</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Yes</v>
      </c>
    </row>
    <row r="15" spans="1:2" x14ac:dyDescent="0.2">
      <c r="A15" t="s">
        <v>577</v>
      </c>
      <c r="B15" s="138">
        <f>COVER!T23</f>
        <v>65.027017999999998</v>
      </c>
    </row>
    <row r="16" spans="1:2" x14ac:dyDescent="0.2">
      <c r="A16" t="s">
        <v>422</v>
      </c>
      <c r="B16" s="138" t="str">
        <f>COVER!T13</f>
        <v>Koch Consultants, Ltd.</v>
      </c>
    </row>
    <row r="17" spans="1:2" x14ac:dyDescent="0.2">
      <c r="A17" t="s">
        <v>884</v>
      </c>
      <c r="B17" s="138" t="str">
        <f>COVER!T15</f>
        <v>Nathan D. Koch</v>
      </c>
    </row>
    <row r="18" spans="1:2" x14ac:dyDescent="0.2">
      <c r="A18" t="s">
        <v>1150</v>
      </c>
      <c r="B18" s="138" t="str">
        <f>COVER!T17</f>
        <v>PO Box 1400</v>
      </c>
    </row>
    <row r="19" spans="1:2" x14ac:dyDescent="0.2">
      <c r="A19" t="s">
        <v>886</v>
      </c>
      <c r="B19" s="138" t="str">
        <f>COVER!T25</f>
        <v>nate@kochconsultants.com</v>
      </c>
    </row>
    <row r="20" spans="1:2" x14ac:dyDescent="0.2">
      <c r="A20" t="s">
        <v>887</v>
      </c>
      <c r="B20" s="138" t="str">
        <f>COVER!T19</f>
        <v>Tremont</v>
      </c>
    </row>
    <row r="21" spans="1:2" x14ac:dyDescent="0.2">
      <c r="A21" t="s">
        <v>479</v>
      </c>
      <c r="B21" s="138" t="str">
        <f>COVER!X19</f>
        <v>IL</v>
      </c>
    </row>
    <row r="22" spans="1:2" x14ac:dyDescent="0.2">
      <c r="A22" t="s">
        <v>888</v>
      </c>
      <c r="B22" s="138">
        <f>COVER!Z19</f>
        <v>61568</v>
      </c>
    </row>
    <row r="23" spans="1:2" x14ac:dyDescent="0.2">
      <c r="A23" t="s">
        <v>1152</v>
      </c>
      <c r="B23" s="138" t="str">
        <f>COVER!T21</f>
        <v>(309) 267-3796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Yes</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511574</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1745865</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1676491</v>
      </c>
      <c r="D92" s="2" t="str">
        <f t="shared" si="0"/>
        <v>Error?</v>
      </c>
    </row>
    <row r="93" spans="1:4" x14ac:dyDescent="0.2">
      <c r="A93" s="5">
        <v>32</v>
      </c>
      <c r="B93" s="138">
        <f>'Assets-Liab 5-6'!C41</f>
        <v>1745865</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237869</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237869</v>
      </c>
      <c r="D123" s="2" t="str">
        <f t="shared" si="0"/>
        <v>Error?</v>
      </c>
    </row>
    <row r="124" spans="1:4" x14ac:dyDescent="0.2">
      <c r="A124" s="5">
        <v>63</v>
      </c>
      <c r="B124" s="138">
        <f>'Assets-Liab 5-6'!D41</f>
        <v>237869</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154409</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154409</v>
      </c>
      <c r="D140" s="2" t="str">
        <f t="shared" si="1"/>
        <v>Error?</v>
      </c>
    </row>
    <row r="141" spans="1:4" x14ac:dyDescent="0.2">
      <c r="A141" s="5">
        <v>80</v>
      </c>
      <c r="B141" s="138">
        <f>'Assets-Liab 5-6'!E41</f>
        <v>154409</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440266</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440266</v>
      </c>
      <c r="D170" s="2" t="str">
        <f t="shared" si="1"/>
        <v>Error?</v>
      </c>
    </row>
    <row r="171" spans="1:4" x14ac:dyDescent="0.2">
      <c r="A171" s="5">
        <v>110</v>
      </c>
      <c r="B171" s="138">
        <f>'Assets-Liab 5-6'!F41</f>
        <v>440266</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105455</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105455</v>
      </c>
      <c r="D189" s="2" t="str">
        <f t="shared" si="1"/>
        <v>Error?</v>
      </c>
    </row>
    <row r="190" spans="1:4" x14ac:dyDescent="0.2">
      <c r="A190" s="5">
        <v>129</v>
      </c>
      <c r="B190" s="138">
        <f>'Assets-Liab 5-6'!G41</f>
        <v>105455</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18402</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18402</v>
      </c>
      <c r="D212" s="2" t="str">
        <f t="shared" si="2"/>
        <v>Error?</v>
      </c>
    </row>
    <row r="213" spans="1:4" x14ac:dyDescent="0.2">
      <c r="A213" s="12">
        <v>152</v>
      </c>
      <c r="B213" s="138">
        <f>'Assets-Liab 5-6'!H41</f>
        <v>18402</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19100</v>
      </c>
      <c r="D273" s="2" t="str">
        <f t="shared" si="3"/>
        <v>Error?</v>
      </c>
    </row>
    <row r="274" spans="1:4" x14ac:dyDescent="0.2">
      <c r="A274" s="5">
        <v>213</v>
      </c>
      <c r="B274" s="138">
        <f>'Assets-Liab 5-6'!M17</f>
        <v>5875639</v>
      </c>
      <c r="D274" s="2" t="str">
        <f t="shared" si="3"/>
        <v>Error?</v>
      </c>
    </row>
    <row r="275" spans="1:4" x14ac:dyDescent="0.2">
      <c r="A275" s="5">
        <v>214</v>
      </c>
      <c r="B275" s="138">
        <f>'Assets-Liab 5-6'!M18</f>
        <v>87755</v>
      </c>
      <c r="D275" s="2" t="str">
        <f t="shared" si="3"/>
        <v>Error?</v>
      </c>
    </row>
    <row r="276" spans="1:4" x14ac:dyDescent="0.2">
      <c r="A276" s="5">
        <v>215</v>
      </c>
      <c r="B276" s="138">
        <f>'Assets-Liab 5-6'!M19</f>
        <v>303024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6295518</v>
      </c>
      <c r="C279" s="2" t="s">
        <v>573</v>
      </c>
      <c r="D279" s="2" t="str">
        <f t="shared" si="3"/>
        <v>Error?</v>
      </c>
    </row>
    <row r="280" spans="1:4" x14ac:dyDescent="0.2">
      <c r="A280" s="5">
        <v>219</v>
      </c>
      <c r="B280" s="138">
        <f>'Assets-Liab 5-6'!M40</f>
        <v>6295518</v>
      </c>
      <c r="D280" s="2" t="str">
        <f t="shared" si="3"/>
        <v>Error?</v>
      </c>
    </row>
    <row r="281" spans="1:4" x14ac:dyDescent="0.2">
      <c r="A281" s="5">
        <v>220</v>
      </c>
      <c r="B281" s="138">
        <f>'Assets-Liab 5-6'!M41</f>
        <v>6295518</v>
      </c>
      <c r="C281" s="2" t="s">
        <v>573</v>
      </c>
      <c r="D281" s="2" t="str">
        <f t="shared" si="3"/>
        <v>Error?</v>
      </c>
    </row>
    <row r="282" spans="1:4" x14ac:dyDescent="0.2">
      <c r="A282" s="5">
        <v>221</v>
      </c>
      <c r="B282" s="138">
        <f>'Assets-Liab 5-6'!N21</f>
        <v>154409</v>
      </c>
      <c r="D282" s="2" t="str">
        <f t="shared" si="3"/>
        <v>Error?</v>
      </c>
    </row>
    <row r="283" spans="1:4" x14ac:dyDescent="0.2">
      <c r="A283" s="5">
        <v>222</v>
      </c>
      <c r="B283" s="138">
        <f>'Assets-Liab 5-6'!N22</f>
        <v>2020591</v>
      </c>
      <c r="D283" s="2" t="str">
        <f t="shared" si="3"/>
        <v>Error?</v>
      </c>
    </row>
    <row r="284" spans="1:4" x14ac:dyDescent="0.2">
      <c r="A284" s="5">
        <v>223</v>
      </c>
      <c r="B284" s="138">
        <f>'Assets-Liab 5-6'!N23</f>
        <v>2175000</v>
      </c>
      <c r="C284" s="2" t="s">
        <v>573</v>
      </c>
      <c r="D284" s="2" t="str">
        <f t="shared" si="3"/>
        <v>Error?</v>
      </c>
    </row>
    <row r="285" spans="1:4" x14ac:dyDescent="0.2">
      <c r="A285" s="5">
        <v>224</v>
      </c>
      <c r="B285" s="138">
        <f>'Assets-Liab 5-6'!N36</f>
        <v>2175000</v>
      </c>
      <c r="D285" s="2" t="str">
        <f t="shared" si="3"/>
        <v>Error?</v>
      </c>
    </row>
    <row r="286" spans="1:4" x14ac:dyDescent="0.2">
      <c r="A286" s="10">
        <v>225</v>
      </c>
      <c r="D286" s="2" t="str">
        <f t="shared" si="3"/>
        <v>OK</v>
      </c>
    </row>
    <row r="287" spans="1:4" x14ac:dyDescent="0.2">
      <c r="A287" s="5">
        <v>226</v>
      </c>
      <c r="B287" s="138">
        <f>'Assets-Liab 5-6'!N37</f>
        <v>2175000</v>
      </c>
      <c r="C287" s="2" t="s">
        <v>573</v>
      </c>
      <c r="D287" s="2" t="str">
        <f t="shared" si="3"/>
        <v>Error?</v>
      </c>
    </row>
    <row r="288" spans="1:4" x14ac:dyDescent="0.2">
      <c r="A288" s="5">
        <v>227</v>
      </c>
      <c r="B288" s="138">
        <f>'Assets-Liab 5-6'!N41</f>
        <v>2175000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820504</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17500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1099568</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1370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1370</v>
      </c>
      <c r="C727" s="2" t="s">
        <v>573</v>
      </c>
      <c r="D727" s="2" t="str">
        <f t="shared" si="10"/>
        <v>Error?</v>
      </c>
    </row>
    <row r="728" spans="1:4" x14ac:dyDescent="0.2">
      <c r="A728" s="5">
        <v>667</v>
      </c>
      <c r="B728" s="138">
        <f>'Expenditures 15-22'!C44</f>
        <v>10163</v>
      </c>
      <c r="D728" s="2" t="str">
        <f t="shared" si="10"/>
        <v>Error?</v>
      </c>
    </row>
    <row r="729" spans="1:4" x14ac:dyDescent="0.2">
      <c r="A729" s="5">
        <v>668</v>
      </c>
      <c r="B729" s="138">
        <f>'Expenditures 15-22'!C45</f>
        <v>50427</v>
      </c>
      <c r="D729" s="2" t="str">
        <f t="shared" si="10"/>
        <v>Error?</v>
      </c>
    </row>
    <row r="730" spans="1:4" x14ac:dyDescent="0.2">
      <c r="A730" s="5">
        <v>669</v>
      </c>
      <c r="B730" s="138">
        <f>'Expenditures 15-22'!C46</f>
        <v>0</v>
      </c>
      <c r="D730" s="2" t="str">
        <f t="shared" si="10"/>
        <v>Error?</v>
      </c>
    </row>
    <row r="731" spans="1:4" x14ac:dyDescent="0.2">
      <c r="A731" s="5">
        <v>670</v>
      </c>
      <c r="B731" s="138">
        <f>'Expenditures 15-22'!C47</f>
        <v>60590</v>
      </c>
      <c r="C731" s="2" t="s">
        <v>573</v>
      </c>
      <c r="D731" s="2" t="str">
        <f t="shared" si="10"/>
        <v>Error?</v>
      </c>
    </row>
    <row r="732" spans="1:4" x14ac:dyDescent="0.2">
      <c r="A732" s="5">
        <v>671</v>
      </c>
      <c r="B732" s="138">
        <f>'Expenditures 15-22'!C49</f>
        <v>1200</v>
      </c>
      <c r="D732" s="2" t="str">
        <f t="shared" si="10"/>
        <v>Error?</v>
      </c>
    </row>
    <row r="733" spans="1:4" x14ac:dyDescent="0.2">
      <c r="A733" s="5">
        <v>672</v>
      </c>
      <c r="B733" s="138">
        <f>'Expenditures 15-22'!C50</f>
        <v>50529</v>
      </c>
      <c r="D733" s="2" t="str">
        <f t="shared" si="10"/>
        <v>Error?</v>
      </c>
    </row>
    <row r="734" spans="1:4" x14ac:dyDescent="0.2">
      <c r="A734" s="5">
        <v>673</v>
      </c>
      <c r="B734" s="138">
        <f>'Expenditures 15-22'!C53</f>
        <v>81326</v>
      </c>
      <c r="C734" s="2" t="s">
        <v>573</v>
      </c>
      <c r="D734" s="2" t="str">
        <f t="shared" si="10"/>
        <v>Error?</v>
      </c>
    </row>
    <row r="735" spans="1:4" x14ac:dyDescent="0.2">
      <c r="A735" s="5">
        <v>674</v>
      </c>
      <c r="B735" s="138">
        <f>'Expenditures 15-22'!C55</f>
        <v>66597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66597</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18115</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32211</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50326</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260209</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1359777</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200512</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1126</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268646</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573</v>
      </c>
      <c r="D785" s="2" t="str">
        <f t="shared" si="11"/>
        <v>Error?</v>
      </c>
    </row>
    <row r="786" spans="1:4" x14ac:dyDescent="0.2">
      <c r="A786" s="5">
        <v>725</v>
      </c>
      <c r="B786" s="138">
        <f>'Expenditures 15-22'!D44</f>
        <v>2049</v>
      </c>
      <c r="D786" s="2" t="str">
        <f t="shared" si="11"/>
        <v>Error?</v>
      </c>
    </row>
    <row r="787" spans="1:4" x14ac:dyDescent="0.2">
      <c r="A787" s="5">
        <v>726</v>
      </c>
      <c r="B787" s="138">
        <f>'Expenditures 15-22'!D45</f>
        <v>4883</v>
      </c>
      <c r="D787" s="2" t="str">
        <f t="shared" si="11"/>
        <v>Error?</v>
      </c>
    </row>
    <row r="788" spans="1:4" x14ac:dyDescent="0.2">
      <c r="A788" s="5">
        <v>727</v>
      </c>
      <c r="B788" s="138">
        <f>'Expenditures 15-22'!D46</f>
        <v>0</v>
      </c>
      <c r="D788" s="2" t="str">
        <f t="shared" si="11"/>
        <v>Error?</v>
      </c>
    </row>
    <row r="789" spans="1:4" x14ac:dyDescent="0.2">
      <c r="A789" s="5">
        <v>728</v>
      </c>
      <c r="B789" s="138">
        <f>'Expenditures 15-22'!D47</f>
        <v>6932</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7193</v>
      </c>
      <c r="D791" s="2" t="str">
        <f t="shared" si="11"/>
        <v>Error?</v>
      </c>
    </row>
    <row r="792" spans="1:4" x14ac:dyDescent="0.2">
      <c r="A792" s="5">
        <v>731</v>
      </c>
      <c r="B792" s="138">
        <f>'Expenditures 15-22'!D53</f>
        <v>13862</v>
      </c>
      <c r="C792" s="2" t="s">
        <v>573</v>
      </c>
      <c r="D792" s="2" t="str">
        <f t="shared" si="11"/>
        <v>Error?</v>
      </c>
    </row>
    <row r="793" spans="1:4" x14ac:dyDescent="0.2">
      <c r="A793" s="5">
        <v>732</v>
      </c>
      <c r="B793" s="138">
        <f>'Expenditures 15-22'!D55</f>
        <v>14449</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14449</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1461</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9330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10791</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46034</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314680</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9688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3670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20072</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50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50</v>
      </c>
      <c r="C843" s="2" t="s">
        <v>573</v>
      </c>
      <c r="D843" s="2" t="str">
        <f t="shared" si="12"/>
        <v>Error?</v>
      </c>
    </row>
    <row r="844" spans="1:4" x14ac:dyDescent="0.2">
      <c r="A844" s="5">
        <v>783</v>
      </c>
      <c r="B844" s="138">
        <f>'Expenditures 15-22'!E44</f>
        <v>23346</v>
      </c>
      <c r="D844" s="2" t="str">
        <f t="shared" si="12"/>
        <v>Error?</v>
      </c>
    </row>
    <row r="845" spans="1:4" x14ac:dyDescent="0.2">
      <c r="A845" s="5">
        <v>784</v>
      </c>
      <c r="B845" s="138">
        <f>'Expenditures 15-22'!E45</f>
        <v>5663</v>
      </c>
      <c r="D845" s="2" t="str">
        <f t="shared" si="12"/>
        <v>Error?</v>
      </c>
    </row>
    <row r="846" spans="1:4" x14ac:dyDescent="0.2">
      <c r="A846" s="5">
        <v>785</v>
      </c>
      <c r="B846" s="138">
        <f>'Expenditures 15-22'!E46</f>
        <v>2038</v>
      </c>
      <c r="D846" s="2" t="str">
        <f t="shared" si="12"/>
        <v>Error?</v>
      </c>
    </row>
    <row r="847" spans="1:4" x14ac:dyDescent="0.2">
      <c r="A847" s="5">
        <v>786</v>
      </c>
      <c r="B847" s="138">
        <f>'Expenditures 15-22'!E47</f>
        <v>31047</v>
      </c>
      <c r="C847" s="2" t="s">
        <v>573</v>
      </c>
      <c r="D847" s="2" t="str">
        <f t="shared" si="12"/>
        <v>Error?</v>
      </c>
    </row>
    <row r="848" spans="1:4" x14ac:dyDescent="0.2">
      <c r="A848" s="5">
        <v>787</v>
      </c>
      <c r="B848" s="138">
        <f>'Expenditures 15-22'!E49</f>
        <v>13001</v>
      </c>
      <c r="D848" s="2" t="str">
        <f t="shared" si="12"/>
        <v>Error?</v>
      </c>
    </row>
    <row r="849" spans="1:4" x14ac:dyDescent="0.2">
      <c r="A849" s="5">
        <v>788</v>
      </c>
      <c r="B849" s="138">
        <f>'Expenditures 15-22'!E50</f>
        <v>16479</v>
      </c>
      <c r="D849" s="2" t="str">
        <f t="shared" si="12"/>
        <v>Error?</v>
      </c>
    </row>
    <row r="850" spans="1:4" x14ac:dyDescent="0.2">
      <c r="A850" s="5">
        <v>789</v>
      </c>
      <c r="B850" s="138">
        <f>'Expenditures 15-22'!E53</f>
        <v>29480</v>
      </c>
      <c r="C850" s="2" t="s">
        <v>573</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1214</v>
      </c>
      <c r="D855" s="2" t="str">
        <f t="shared" si="12"/>
        <v>Error?</v>
      </c>
    </row>
    <row r="856" spans="1:4" x14ac:dyDescent="0.2">
      <c r="A856" s="5">
        <v>795</v>
      </c>
      <c r="B856" s="138">
        <f>'Expenditures 15-22'!E61</f>
        <v>12654</v>
      </c>
      <c r="D856" s="2" t="str">
        <f t="shared" si="12"/>
        <v>Error?</v>
      </c>
    </row>
    <row r="857" spans="1:4" x14ac:dyDescent="0.2">
      <c r="A857" s="5">
        <v>796</v>
      </c>
      <c r="B857" s="138">
        <f>'Expenditures 15-22'!E62</f>
        <v>0</v>
      </c>
      <c r="D857" s="2" t="str">
        <f t="shared" si="12"/>
        <v>Error?</v>
      </c>
    </row>
    <row r="858" spans="1:4" x14ac:dyDescent="0.2">
      <c r="A858" s="5">
        <v>797</v>
      </c>
      <c r="B858" s="138">
        <f>'Expenditures 15-22'!E63</f>
        <v>4798</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18666</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79243</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146500</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18337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2538</v>
      </c>
      <c r="D892" s="2" t="str">
        <f t="shared" si="12"/>
        <v>Error?</v>
      </c>
    </row>
    <row r="893" spans="1:4" x14ac:dyDescent="0.2">
      <c r="A893" s="5">
        <v>832</v>
      </c>
      <c r="B893" s="138">
        <f>'Expenditures 15-22'!F15</f>
        <v>26</v>
      </c>
      <c r="D893" s="2" t="str">
        <f t="shared" si="12"/>
        <v>Error?</v>
      </c>
    </row>
    <row r="894" spans="1:4" x14ac:dyDescent="0.2">
      <c r="A894" s="5">
        <v>833</v>
      </c>
      <c r="B894" s="138">
        <f>'Expenditures 15-22'!F33</f>
        <v>25776</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12</v>
      </c>
      <c r="D897" s="2" t="str">
        <f t="shared" si="13"/>
        <v>Error?</v>
      </c>
    </row>
    <row r="898" spans="1:4" x14ac:dyDescent="0.2">
      <c r="A898" s="5">
        <v>837</v>
      </c>
      <c r="B898" s="138">
        <f>'Expenditures 15-22'!F39</f>
        <v>0</v>
      </c>
      <c r="D898" s="2" t="str">
        <f t="shared" si="13"/>
        <v>Error?</v>
      </c>
    </row>
    <row r="899" spans="1:4" x14ac:dyDescent="0.2">
      <c r="A899" s="5">
        <v>838</v>
      </c>
      <c r="B899" s="138">
        <f>'Expenditures 15-22'!F40</f>
        <v>54</v>
      </c>
      <c r="D899" s="2" t="str">
        <f t="shared" si="13"/>
        <v>Error?</v>
      </c>
    </row>
    <row r="900" spans="1:4" x14ac:dyDescent="0.2">
      <c r="A900" s="5">
        <v>839</v>
      </c>
      <c r="B900" s="138">
        <f>'Expenditures 15-22'!F41</f>
        <v>0</v>
      </c>
      <c r="D900" s="2" t="str">
        <f t="shared" si="13"/>
        <v>Error?</v>
      </c>
    </row>
    <row r="901" spans="1:4" x14ac:dyDescent="0.2">
      <c r="A901" s="5">
        <v>840</v>
      </c>
      <c r="B901" s="138">
        <f>'Expenditures 15-22'!F42</f>
        <v>66</v>
      </c>
      <c r="C901" s="2" t="s">
        <v>573</v>
      </c>
      <c r="D901" s="2" t="str">
        <f t="shared" si="13"/>
        <v>Error?</v>
      </c>
    </row>
    <row r="902" spans="1:4" x14ac:dyDescent="0.2">
      <c r="A902" s="5">
        <v>841</v>
      </c>
      <c r="B902" s="138">
        <f>'Expenditures 15-22'!F44</f>
        <v>3362</v>
      </c>
      <c r="D902" s="2" t="str">
        <f t="shared" si="13"/>
        <v>Error?</v>
      </c>
    </row>
    <row r="903" spans="1:4" x14ac:dyDescent="0.2">
      <c r="A903" s="5">
        <v>842</v>
      </c>
      <c r="B903" s="138">
        <f>'Expenditures 15-22'!F45</f>
        <v>1955</v>
      </c>
      <c r="D903" s="2" t="str">
        <f t="shared" si="13"/>
        <v>Error?</v>
      </c>
    </row>
    <row r="904" spans="1:4" x14ac:dyDescent="0.2">
      <c r="A904" s="5">
        <v>843</v>
      </c>
      <c r="B904" s="138">
        <f>'Expenditures 15-22'!F46</f>
        <v>0</v>
      </c>
      <c r="D904" s="2" t="str">
        <f t="shared" si="13"/>
        <v>Error?</v>
      </c>
    </row>
    <row r="905" spans="1:4" x14ac:dyDescent="0.2">
      <c r="A905" s="5">
        <v>844</v>
      </c>
      <c r="B905" s="138">
        <f>'Expenditures 15-22'!F47</f>
        <v>5317</v>
      </c>
      <c r="C905" s="2" t="s">
        <v>573</v>
      </c>
      <c r="D905" s="2" t="str">
        <f t="shared" si="13"/>
        <v>Error?</v>
      </c>
    </row>
    <row r="906" spans="1:4" x14ac:dyDescent="0.2">
      <c r="A906" s="5">
        <v>845</v>
      </c>
      <c r="B906" s="138">
        <f>'Expenditures 15-22'!F49</f>
        <v>51</v>
      </c>
      <c r="D906" s="2" t="str">
        <f t="shared" si="13"/>
        <v>Error?</v>
      </c>
    </row>
    <row r="907" spans="1:4" x14ac:dyDescent="0.2">
      <c r="A907" s="5">
        <v>846</v>
      </c>
      <c r="B907" s="138">
        <f>'Expenditures 15-22'!F50</f>
        <v>793</v>
      </c>
      <c r="D907" s="2" t="str">
        <f t="shared" si="13"/>
        <v>Error?</v>
      </c>
    </row>
    <row r="908" spans="1:4" x14ac:dyDescent="0.2">
      <c r="A908" s="5">
        <v>847</v>
      </c>
      <c r="B908" s="138">
        <f>'Expenditures 15-22'!F53</f>
        <v>844</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147</v>
      </c>
      <c r="D913" s="2" t="str">
        <f t="shared" si="13"/>
        <v>Error?</v>
      </c>
    </row>
    <row r="914" spans="1:4" x14ac:dyDescent="0.2">
      <c r="A914" s="5">
        <v>853</v>
      </c>
      <c r="B914" s="138">
        <f>'Expenditures 15-22'!F61</f>
        <v>5971</v>
      </c>
      <c r="D914" s="2" t="str">
        <f t="shared" si="13"/>
        <v>Error?</v>
      </c>
    </row>
    <row r="915" spans="1:4" x14ac:dyDescent="0.2">
      <c r="A915" s="5">
        <v>854</v>
      </c>
      <c r="B915" s="138">
        <f>'Expenditures 15-22'!F62</f>
        <v>0</v>
      </c>
      <c r="D915" s="2" t="str">
        <f t="shared" si="13"/>
        <v>Error?</v>
      </c>
    </row>
    <row r="916" spans="1:4" x14ac:dyDescent="0.2">
      <c r="A916" s="5">
        <v>855</v>
      </c>
      <c r="B916" s="138">
        <f>'Expenditures 15-22'!F63</f>
        <v>64778</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70896</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58</v>
      </c>
      <c r="D928" s="2" t="str">
        <f t="shared" si="13"/>
        <v>Error?</v>
      </c>
    </row>
    <row r="929" spans="1:4" x14ac:dyDescent="0.2">
      <c r="A929" s="5">
        <v>868</v>
      </c>
      <c r="B929" s="138">
        <f>'Expenditures 15-22'!F74</f>
        <v>77181</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102957</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3073</v>
      </c>
      <c r="D961" s="2" t="str">
        <f t="shared" si="14"/>
        <v>Error?</v>
      </c>
    </row>
    <row r="962" spans="1:4" x14ac:dyDescent="0.2">
      <c r="A962" s="5">
        <v>901</v>
      </c>
      <c r="B962" s="138">
        <f>'Expenditures 15-22'!G46</f>
        <v>0</v>
      </c>
      <c r="D962" s="2" t="str">
        <f t="shared" si="14"/>
        <v>Error?</v>
      </c>
    </row>
    <row r="963" spans="1:4" x14ac:dyDescent="0.2">
      <c r="A963" s="5">
        <v>902</v>
      </c>
      <c r="B963" s="138">
        <f>'Expenditures 15-22'!G47</f>
        <v>3073</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643</v>
      </c>
      <c r="D971" s="2" t="str">
        <f t="shared" si="14"/>
        <v>Error?</v>
      </c>
    </row>
    <row r="972" spans="1:4" x14ac:dyDescent="0.2">
      <c r="A972" s="5">
        <v>911</v>
      </c>
      <c r="B972" s="138">
        <f>'Expenditures 15-22'!G61</f>
        <v>2026</v>
      </c>
      <c r="D972" s="2" t="str">
        <f t="shared" si="14"/>
        <v>Error?</v>
      </c>
    </row>
    <row r="973" spans="1:4" x14ac:dyDescent="0.2">
      <c r="A973" s="5">
        <v>912</v>
      </c>
      <c r="B973" s="138">
        <f>'Expenditures 15-22'!G62</f>
        <v>0</v>
      </c>
      <c r="D973" s="2" t="str">
        <f t="shared" si="14"/>
        <v>Error?</v>
      </c>
    </row>
    <row r="974" spans="1:4" x14ac:dyDescent="0.2">
      <c r="A974" s="5">
        <v>913</v>
      </c>
      <c r="B974" s="138">
        <f>'Expenditures 15-22'!G63</f>
        <v>4980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7649</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10722</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10722</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1823</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1823</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12105</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12105</v>
      </c>
      <c r="C1024" s="2" t="s">
        <v>573</v>
      </c>
      <c r="D1024" s="2" t="str">
        <f t="shared" si="15"/>
        <v>Error?</v>
      </c>
    </row>
    <row r="1025" spans="1:4" x14ac:dyDescent="0.2">
      <c r="A1025" s="5">
        <v>964</v>
      </c>
      <c r="B1025" s="138">
        <f>'Expenditures 15-22'!H55</f>
        <v>290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290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825</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825</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13220</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5228</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20271</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1049041</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26657</v>
      </c>
      <c r="C1106" s="2" t="s">
        <v>573</v>
      </c>
      <c r="D1106" s="2" t="str">
        <f t="shared" si="16"/>
        <v>Error?</v>
      </c>
    </row>
    <row r="1107" spans="1:4" x14ac:dyDescent="0.2">
      <c r="A1107" s="5">
        <v>1046</v>
      </c>
      <c r="B1107" s="138">
        <f>'Expenditures 15-22'!K15</f>
        <v>26</v>
      </c>
      <c r="C1107" s="2" t="s">
        <v>573</v>
      </c>
      <c r="D1107" s="2" t="str">
        <f t="shared" si="16"/>
        <v>Error?</v>
      </c>
    </row>
    <row r="1108" spans="1:4" x14ac:dyDescent="0.2">
      <c r="A1108" s="5">
        <v>1047</v>
      </c>
      <c r="B1108" s="138">
        <f>'Expenditures 15-22'!K33</f>
        <v>1415885</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1432</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54</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1486</v>
      </c>
      <c r="C1115" s="2" t="s">
        <v>573</v>
      </c>
      <c r="D1115" s="2" t="str">
        <f t="shared" si="16"/>
        <v>Error?</v>
      </c>
    </row>
    <row r="1116" spans="1:4" x14ac:dyDescent="0.2">
      <c r="A1116" s="5">
        <v>1055</v>
      </c>
      <c r="B1116" s="138">
        <f>'Expenditures 15-22'!K44</f>
        <v>38920</v>
      </c>
      <c r="C1116" s="2" t="s">
        <v>573</v>
      </c>
      <c r="D1116" s="2" t="str">
        <f t="shared" si="16"/>
        <v>Error?</v>
      </c>
    </row>
    <row r="1117" spans="1:4" x14ac:dyDescent="0.2">
      <c r="A1117" s="5">
        <v>1056</v>
      </c>
      <c r="B1117" s="138">
        <f>'Expenditures 15-22'!K45</f>
        <v>66001</v>
      </c>
      <c r="C1117" s="2" t="s">
        <v>573</v>
      </c>
      <c r="D1117" s="2" t="str">
        <f t="shared" si="16"/>
        <v>Error?</v>
      </c>
    </row>
    <row r="1118" spans="1:4" x14ac:dyDescent="0.2">
      <c r="A1118" s="5">
        <v>1057</v>
      </c>
      <c r="B1118" s="138">
        <f>'Expenditures 15-22'!K46</f>
        <v>2038</v>
      </c>
      <c r="C1118" s="2" t="s">
        <v>573</v>
      </c>
      <c r="D1118" s="2" t="str">
        <f t="shared" si="16"/>
        <v>Error?</v>
      </c>
    </row>
    <row r="1119" spans="1:4" x14ac:dyDescent="0.2">
      <c r="A1119" s="5">
        <v>1058</v>
      </c>
      <c r="B1119" s="138">
        <f>'Expenditures 15-22'!K47</f>
        <v>106959</v>
      </c>
      <c r="C1119" s="2" t="s">
        <v>573</v>
      </c>
      <c r="D1119" s="2" t="str">
        <f t="shared" si="16"/>
        <v>Error?</v>
      </c>
    </row>
    <row r="1120" spans="1:4" x14ac:dyDescent="0.2">
      <c r="A1120" s="5">
        <v>1059</v>
      </c>
      <c r="B1120" s="138">
        <f>'Expenditures 15-22'!K49</f>
        <v>26357</v>
      </c>
      <c r="C1120" s="2" t="s">
        <v>573</v>
      </c>
      <c r="D1120" s="2" t="str">
        <f t="shared" si="16"/>
        <v>Error?</v>
      </c>
    </row>
    <row r="1121" spans="1:4" x14ac:dyDescent="0.2">
      <c r="A1121" s="5">
        <v>1060</v>
      </c>
      <c r="B1121" s="138">
        <f>'Expenditures 15-22'!K50</f>
        <v>74994</v>
      </c>
      <c r="C1121" s="2" t="s">
        <v>573</v>
      </c>
      <c r="D1121" s="2" t="str">
        <f t="shared" si="16"/>
        <v>Error?</v>
      </c>
    </row>
    <row r="1122" spans="1:4" x14ac:dyDescent="0.2">
      <c r="A1122" s="5">
        <v>1061</v>
      </c>
      <c r="B1122" s="138">
        <f>'Expenditures 15-22'!K53</f>
        <v>137617</v>
      </c>
      <c r="C1122" s="2" t="s">
        <v>573</v>
      </c>
      <c r="D1122" s="2" t="str">
        <f t="shared" si="16"/>
        <v>Error?</v>
      </c>
    </row>
    <row r="1123" spans="1:4" x14ac:dyDescent="0.2">
      <c r="A1123" s="5">
        <v>1062</v>
      </c>
      <c r="B1123" s="138">
        <f>'Expenditures 15-22'!K55</f>
        <v>81336</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81336</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21580</v>
      </c>
      <c r="C1127" s="2" t="s">
        <v>573</v>
      </c>
      <c r="D1127" s="2" t="str">
        <f t="shared" si="16"/>
        <v>Error?</v>
      </c>
    </row>
    <row r="1128" spans="1:4" x14ac:dyDescent="0.2">
      <c r="A1128" s="5">
        <v>1067</v>
      </c>
      <c r="B1128" s="138">
        <f>'Expenditures 15-22'!K61</f>
        <v>20651</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116922</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159153</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58</v>
      </c>
      <c r="C1142" s="2" t="s">
        <v>573</v>
      </c>
      <c r="D1142" s="2" t="str">
        <f t="shared" si="16"/>
        <v>Error?</v>
      </c>
    </row>
    <row r="1143" spans="1:4" x14ac:dyDescent="0.2">
      <c r="A1143" s="5">
        <v>1082</v>
      </c>
      <c r="B1143" s="138">
        <f>'Expenditures 15-22'!K74</f>
        <v>486609</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52413</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1954907</v>
      </c>
      <c r="C1152" s="2" t="s">
        <v>573</v>
      </c>
      <c r="D1152" s="2" t="str">
        <f t="shared" si="17"/>
        <v>Error?</v>
      </c>
    </row>
    <row r="1153" spans="1:4" x14ac:dyDescent="0.2">
      <c r="A1153" s="5">
        <v>1092</v>
      </c>
      <c r="B1153" s="138">
        <f>'Expenditures 15-22'!K115</f>
        <v>392904</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12600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60732</v>
      </c>
      <c r="D1221" s="2" t="str">
        <f t="shared" si="18"/>
        <v>Error?</v>
      </c>
    </row>
    <row r="1222" spans="1:4" x14ac:dyDescent="0.2">
      <c r="A1222" s="10">
        <v>1161</v>
      </c>
      <c r="D1222" s="2" t="str">
        <f t="shared" si="18"/>
        <v>OK</v>
      </c>
    </row>
    <row r="1223" spans="1:4" x14ac:dyDescent="0.2">
      <c r="A1223" s="5">
        <v>1162</v>
      </c>
      <c r="B1223" s="138">
        <f>'Expenditures 15-22'!C127</f>
        <v>73332</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73332</v>
      </c>
      <c r="C1225" s="2" t="s">
        <v>573</v>
      </c>
      <c r="D1225" s="2" t="str">
        <f t="shared" si="18"/>
        <v>Error?</v>
      </c>
    </row>
    <row r="1226" spans="1:4" x14ac:dyDescent="0.2">
      <c r="A1226" s="5">
        <v>1165</v>
      </c>
      <c r="B1226" s="138">
        <f>'Expenditures 15-22'!C151</f>
        <v>73332</v>
      </c>
      <c r="C1226" s="2" t="s">
        <v>573</v>
      </c>
      <c r="D1226" s="2" t="str">
        <f t="shared" si="18"/>
        <v>Error?</v>
      </c>
    </row>
    <row r="1227" spans="1:4" x14ac:dyDescent="0.2">
      <c r="A1227" s="5">
        <v>1166</v>
      </c>
      <c r="B1227" s="138">
        <f>'Expenditures 15-22'!D122</f>
        <v>2792</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3434</v>
      </c>
      <c r="D1229" s="2" t="str">
        <f t="shared" si="18"/>
        <v>Error?</v>
      </c>
    </row>
    <row r="1230" spans="1:4" x14ac:dyDescent="0.2">
      <c r="A1230" s="10">
        <v>1169</v>
      </c>
      <c r="D1230" s="2" t="str">
        <f t="shared" si="18"/>
        <v>OK</v>
      </c>
    </row>
    <row r="1231" spans="1:4" x14ac:dyDescent="0.2">
      <c r="A1231" s="5">
        <v>1170</v>
      </c>
      <c r="B1231" s="138">
        <f>'Expenditures 15-22'!D127</f>
        <v>6226</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6226</v>
      </c>
      <c r="C1233" s="2" t="s">
        <v>573</v>
      </c>
      <c r="D1233" s="2" t="str">
        <f t="shared" si="18"/>
        <v>Error?</v>
      </c>
    </row>
    <row r="1234" spans="1:4" x14ac:dyDescent="0.2">
      <c r="A1234" s="5">
        <v>1173</v>
      </c>
      <c r="B1234" s="138">
        <f>'Expenditures 15-22'!D151</f>
        <v>6226</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37535</v>
      </c>
      <c r="D1237" s="2" t="str">
        <f t="shared" si="18"/>
        <v>Error?</v>
      </c>
    </row>
    <row r="1238" spans="1:4" x14ac:dyDescent="0.2">
      <c r="A1238" s="10">
        <v>1177</v>
      </c>
      <c r="D1238" s="2" t="str">
        <f t="shared" si="18"/>
        <v>OK</v>
      </c>
    </row>
    <row r="1239" spans="1:4" x14ac:dyDescent="0.2">
      <c r="A1239" s="5">
        <v>1178</v>
      </c>
      <c r="B1239" s="138">
        <f>'Expenditures 15-22'!E127</f>
        <v>37535</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37535</v>
      </c>
      <c r="C1241" s="2" t="s">
        <v>573</v>
      </c>
      <c r="D1241" s="2" t="str">
        <f t="shared" si="18"/>
        <v>Error?</v>
      </c>
    </row>
    <row r="1242" spans="1:4" x14ac:dyDescent="0.2">
      <c r="A1242" s="5">
        <v>1181</v>
      </c>
      <c r="B1242" s="138">
        <f>'Expenditures 15-22'!E151</f>
        <v>37535</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48747</v>
      </c>
      <c r="D1245" s="2" t="str">
        <f t="shared" si="18"/>
        <v>Error?</v>
      </c>
    </row>
    <row r="1246" spans="1:4" x14ac:dyDescent="0.2">
      <c r="A1246" s="10">
        <v>1185</v>
      </c>
      <c r="D1246" s="2" t="str">
        <f t="shared" si="18"/>
        <v>OK</v>
      </c>
    </row>
    <row r="1247" spans="1:4" x14ac:dyDescent="0.2">
      <c r="A1247" s="5">
        <v>1186</v>
      </c>
      <c r="B1247" s="138">
        <f>'Expenditures 15-22'!F127</f>
        <v>48747</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48747</v>
      </c>
      <c r="C1249" s="2" t="s">
        <v>573</v>
      </c>
      <c r="D1249" s="2" t="str">
        <f t="shared" si="18"/>
        <v>Error?</v>
      </c>
    </row>
    <row r="1250" spans="1:4" x14ac:dyDescent="0.2">
      <c r="A1250" s="5">
        <v>1189</v>
      </c>
      <c r="B1250" s="138">
        <f>'Expenditures 15-22'!F151</f>
        <v>48747</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21325</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21325</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21325</v>
      </c>
      <c r="C1258" s="2" t="s">
        <v>573</v>
      </c>
      <c r="D1258" s="2" t="str">
        <f t="shared" si="18"/>
        <v>Error?</v>
      </c>
    </row>
    <row r="1259" spans="1:4" x14ac:dyDescent="0.2">
      <c r="A1259" s="5">
        <v>1198</v>
      </c>
      <c r="B1259" s="138">
        <f>'Expenditures 15-22'!G151</f>
        <v>21325</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15392</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171773</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187165</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187165</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187165</v>
      </c>
      <c r="C1288" s="2" t="s">
        <v>573</v>
      </c>
      <c r="D1288" s="2" t="str">
        <f t="shared" si="19"/>
        <v>Error?</v>
      </c>
    </row>
    <row r="1289" spans="1:4" x14ac:dyDescent="0.2">
      <c r="A1289" s="5">
        <v>1228</v>
      </c>
      <c r="B1289" s="138">
        <f>'Expenditures 15-22'!K152</f>
        <v>10944</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73855</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115000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188855</v>
      </c>
      <c r="C1317" s="2" t="s">
        <v>573</v>
      </c>
      <c r="D1317" s="2" t="str">
        <f t="shared" si="19"/>
        <v>Error?</v>
      </c>
    </row>
    <row r="1318" spans="1:4" x14ac:dyDescent="0.2">
      <c r="A1318" s="5">
        <v>1257</v>
      </c>
      <c r="B1318" s="138">
        <f>'Expenditures 15-22'!H174</f>
        <v>188855</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73855</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115000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188855</v>
      </c>
      <c r="C1331" s="2" t="s">
        <v>573</v>
      </c>
      <c r="D1331" s="2" t="str">
        <f t="shared" si="19"/>
        <v>Error?</v>
      </c>
    </row>
    <row r="1332" spans="1:4" x14ac:dyDescent="0.2">
      <c r="A1332" s="5">
        <v>1271</v>
      </c>
      <c r="B1332" s="138">
        <f>'Expenditures 15-22'!K174</f>
        <v>188855</v>
      </c>
      <c r="C1332" s="2" t="s">
        <v>573</v>
      </c>
      <c r="D1332" s="2" t="str">
        <f t="shared" si="19"/>
        <v>Error?</v>
      </c>
    </row>
    <row r="1333" spans="1:4" x14ac:dyDescent="0.2">
      <c r="A1333" s="5">
        <v>1272</v>
      </c>
      <c r="B1333" s="138">
        <f>'Expenditures 15-22'!K175</f>
        <v>10841</v>
      </c>
      <c r="C1333" s="2" t="s">
        <v>573</v>
      </c>
      <c r="D1333" s="2" t="str">
        <f t="shared" si="19"/>
        <v>Error?</v>
      </c>
    </row>
    <row r="1334" spans="1:4" x14ac:dyDescent="0.2">
      <c r="A1334" s="10">
        <v>1273</v>
      </c>
      <c r="D1334" s="2" t="str">
        <f t="shared" si="19"/>
        <v>OK</v>
      </c>
    </row>
    <row r="1335" spans="1:4" x14ac:dyDescent="0.2">
      <c r="A1335" s="5">
        <v>1274</v>
      </c>
      <c r="B1335" s="138">
        <f>'Expenditures 15-22'!C182</f>
        <v>94409</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94409</v>
      </c>
      <c r="C1339" s="2" t="s">
        <v>573</v>
      </c>
      <c r="D1339" s="2" t="str">
        <f t="shared" si="19"/>
        <v>Error?</v>
      </c>
    </row>
    <row r="1340" spans="1:4" x14ac:dyDescent="0.2">
      <c r="A1340" s="5">
        <v>1279</v>
      </c>
      <c r="B1340" s="138">
        <f>'Expenditures 15-22'!C210</f>
        <v>94409</v>
      </c>
      <c r="C1340" s="2" t="s">
        <v>573</v>
      </c>
      <c r="D1340" s="2" t="str">
        <f t="shared" si="19"/>
        <v>Error?</v>
      </c>
    </row>
    <row r="1341" spans="1:4" x14ac:dyDescent="0.2">
      <c r="A1341" s="5">
        <v>1280</v>
      </c>
      <c r="B1341" s="138">
        <f>'Expenditures 15-22'!D182</f>
        <v>4936</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4936</v>
      </c>
      <c r="C1345" s="2" t="s">
        <v>573</v>
      </c>
      <c r="D1345" s="2" t="str">
        <f t="shared" si="20"/>
        <v>Error?</v>
      </c>
    </row>
    <row r="1346" spans="1:4" x14ac:dyDescent="0.2">
      <c r="A1346" s="5">
        <v>1285</v>
      </c>
      <c r="B1346" s="138">
        <f>'Expenditures 15-22'!D210</f>
        <v>4936</v>
      </c>
      <c r="C1346" s="2" t="s">
        <v>573</v>
      </c>
      <c r="D1346" s="2" t="str">
        <f t="shared" si="20"/>
        <v>Error?</v>
      </c>
    </row>
    <row r="1347" spans="1:4" x14ac:dyDescent="0.2">
      <c r="A1347" s="5">
        <v>1286</v>
      </c>
      <c r="B1347" s="138">
        <f>'Expenditures 15-22'!E182</f>
        <v>56022</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56022</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56022</v>
      </c>
      <c r="C1353" s="2" t="s">
        <v>573</v>
      </c>
      <c r="D1353" s="2" t="str">
        <f t="shared" si="20"/>
        <v>Error?</v>
      </c>
    </row>
    <row r="1354" spans="1:4" x14ac:dyDescent="0.2">
      <c r="A1354" s="5">
        <v>1293</v>
      </c>
      <c r="B1354" s="138">
        <f>'Expenditures 15-22'!F182</f>
        <v>23404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23404</v>
      </c>
      <c r="C1358" s="2" t="s">
        <v>573</v>
      </c>
      <c r="D1358" s="2" t="str">
        <f t="shared" si="20"/>
        <v>Error?</v>
      </c>
    </row>
    <row r="1359" spans="1:4" x14ac:dyDescent="0.2">
      <c r="A1359" s="5">
        <v>1298</v>
      </c>
      <c r="B1359" s="138">
        <f>'Expenditures 15-22'!F210</f>
        <v>23404</v>
      </c>
      <c r="C1359" s="2" t="s">
        <v>573</v>
      </c>
      <c r="D1359" s="2" t="str">
        <f t="shared" si="20"/>
        <v>Error?</v>
      </c>
    </row>
    <row r="1360" spans="1:4" x14ac:dyDescent="0.2">
      <c r="A1360" s="5">
        <v>1299</v>
      </c>
      <c r="B1360" s="138">
        <f>'Expenditures 15-22'!G182</f>
        <v>1846</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1846</v>
      </c>
      <c r="C1364" s="2" t="s">
        <v>573</v>
      </c>
      <c r="D1364" s="2" t="str">
        <f t="shared" si="20"/>
        <v>Error?</v>
      </c>
    </row>
    <row r="1365" spans="1:4" x14ac:dyDescent="0.2">
      <c r="A1365" s="5">
        <v>1304</v>
      </c>
      <c r="B1365" s="138">
        <f>'Expenditures 15-22'!G210</f>
        <v>1846</v>
      </c>
      <c r="C1365" s="2" t="s">
        <v>573</v>
      </c>
      <c r="D1365" s="2" t="str">
        <f t="shared" si="20"/>
        <v>Error?</v>
      </c>
    </row>
    <row r="1366" spans="1:4" x14ac:dyDescent="0.2">
      <c r="A1366" s="5">
        <v>1305</v>
      </c>
      <c r="B1366" s="138">
        <f>'Expenditures 15-22'!H182</f>
        <v>32</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32</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32</v>
      </c>
      <c r="C1376" s="2" t="s">
        <v>573</v>
      </c>
      <c r="D1376" s="2" t="str">
        <f t="shared" si="20"/>
        <v>Error?</v>
      </c>
    </row>
    <row r="1377" spans="1:4" x14ac:dyDescent="0.2">
      <c r="A1377" s="5">
        <v>1316</v>
      </c>
      <c r="B1377" s="138">
        <f>'Expenditures 15-22'!K182</f>
        <v>180649</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180649</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180649</v>
      </c>
      <c r="C1388" s="2" t="s">
        <v>573</v>
      </c>
      <c r="D1388" s="2" t="str">
        <f t="shared" si="20"/>
        <v>Error?</v>
      </c>
    </row>
    <row r="1389" spans="1:4" x14ac:dyDescent="0.2">
      <c r="A1389" s="5">
        <v>1328</v>
      </c>
      <c r="B1389" s="138">
        <f>'Expenditures 15-22'!K211</f>
        <v>17762</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1077</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30729</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226</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226</v>
      </c>
      <c r="C1417" s="2" t="s">
        <v>573</v>
      </c>
      <c r="D1417" s="2" t="str">
        <f t="shared" si="21"/>
        <v>Error?</v>
      </c>
    </row>
    <row r="1418" spans="1:4" x14ac:dyDescent="0.2">
      <c r="A1418" s="5">
        <v>1357</v>
      </c>
      <c r="B1418" s="138">
        <f>'Expenditures 15-22'!D240</f>
        <v>145</v>
      </c>
      <c r="D1418" s="2" t="str">
        <f t="shared" si="21"/>
        <v>Error?</v>
      </c>
    </row>
    <row r="1419" spans="1:4" x14ac:dyDescent="0.2">
      <c r="A1419" s="5">
        <v>1358</v>
      </c>
      <c r="B1419" s="138">
        <f>'Expenditures 15-22'!D241</f>
        <v>7841</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7986</v>
      </c>
      <c r="C1421" s="2" t="s">
        <v>573</v>
      </c>
      <c r="D1421" s="2" t="str">
        <f t="shared" si="21"/>
        <v>Error?</v>
      </c>
    </row>
    <row r="1422" spans="1:4" x14ac:dyDescent="0.2">
      <c r="A1422" s="5">
        <v>1361</v>
      </c>
      <c r="B1422" s="138">
        <f>'Expenditures 15-22'!D245</f>
        <v>92</v>
      </c>
      <c r="D1422" s="2" t="str">
        <f t="shared" si="21"/>
        <v>Error?</v>
      </c>
    </row>
    <row r="1423" spans="1:4" x14ac:dyDescent="0.2">
      <c r="A1423" s="5">
        <v>1362</v>
      </c>
      <c r="B1423" s="138">
        <f>'Expenditures 15-22'!D246</f>
        <v>4060</v>
      </c>
      <c r="D1423" s="2" t="str">
        <f t="shared" si="21"/>
        <v>Error?</v>
      </c>
    </row>
    <row r="1424" spans="1:4" x14ac:dyDescent="0.2">
      <c r="A1424" s="5">
        <v>1363</v>
      </c>
      <c r="B1424" s="138">
        <f>'Expenditures 15-22'!D257</f>
        <v>4678</v>
      </c>
      <c r="C1424" s="2" t="s">
        <v>573</v>
      </c>
      <c r="D1424" s="2" t="str">
        <f t="shared" si="21"/>
        <v>Error?</v>
      </c>
    </row>
    <row r="1425" spans="1:4" x14ac:dyDescent="0.2">
      <c r="A1425" s="5">
        <v>1364</v>
      </c>
      <c r="B1425" s="138">
        <f>'Expenditures 15-22'!D259</f>
        <v>1204</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1204</v>
      </c>
      <c r="C1427" s="2" t="s">
        <v>573</v>
      </c>
      <c r="D1427" s="2" t="str">
        <f t="shared" si="21"/>
        <v>Error?</v>
      </c>
    </row>
    <row r="1428" spans="1:4" x14ac:dyDescent="0.2">
      <c r="A1428" s="5">
        <v>1367</v>
      </c>
      <c r="B1428" s="138">
        <f>'Expenditures 15-22'!D263</f>
        <v>177</v>
      </c>
      <c r="D1428" s="2" t="str">
        <f t="shared" si="21"/>
        <v>Error?</v>
      </c>
    </row>
    <row r="1429" spans="1:4" x14ac:dyDescent="0.2">
      <c r="A1429" s="5">
        <v>1368</v>
      </c>
      <c r="B1429" s="138">
        <f>'Expenditures 15-22'!D264</f>
        <v>2838</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12001</v>
      </c>
      <c r="D1431" s="2" t="str">
        <f t="shared" si="21"/>
        <v>Error?</v>
      </c>
    </row>
    <row r="1432" spans="1:4" x14ac:dyDescent="0.2">
      <c r="A1432" s="5">
        <v>1371</v>
      </c>
      <c r="B1432" s="138">
        <f>'Expenditures 15-22'!D267</f>
        <v>11849</v>
      </c>
      <c r="D1432" s="2" t="str">
        <f t="shared" si="21"/>
        <v>Error?</v>
      </c>
    </row>
    <row r="1433" spans="1:4" x14ac:dyDescent="0.2">
      <c r="A1433" s="5">
        <v>1372</v>
      </c>
      <c r="B1433" s="138">
        <f>'Expenditures 15-22'!D268</f>
        <v>4672</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31537</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45631</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76360</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1077</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30729</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226</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226</v>
      </c>
      <c r="C1481" s="2" t="s">
        <v>573</v>
      </c>
      <c r="D1481" s="2" t="str">
        <f t="shared" si="22"/>
        <v>Error?</v>
      </c>
    </row>
    <row r="1482" spans="1:4" x14ac:dyDescent="0.2">
      <c r="A1482" s="5">
        <v>1421</v>
      </c>
      <c r="B1482" s="138">
        <f>'Expenditures 15-22'!K240</f>
        <v>145</v>
      </c>
      <c r="C1482" s="2" t="s">
        <v>573</v>
      </c>
      <c r="D1482" s="2" t="str">
        <f t="shared" si="22"/>
        <v>Error?</v>
      </c>
    </row>
    <row r="1483" spans="1:4" x14ac:dyDescent="0.2">
      <c r="A1483" s="5">
        <v>1422</v>
      </c>
      <c r="B1483" s="138">
        <f>'Expenditures 15-22'!K241</f>
        <v>7841</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7986</v>
      </c>
      <c r="C1485" s="2" t="s">
        <v>573</v>
      </c>
      <c r="D1485" s="2" t="str">
        <f t="shared" si="22"/>
        <v>Error?</v>
      </c>
    </row>
    <row r="1486" spans="1:4" x14ac:dyDescent="0.2">
      <c r="A1486" s="5">
        <v>1425</v>
      </c>
      <c r="B1486" s="138">
        <f>'Expenditures 15-22'!K245</f>
        <v>92</v>
      </c>
      <c r="C1486" s="2" t="s">
        <v>573</v>
      </c>
      <c r="D1486" s="2" t="str">
        <f t="shared" si="22"/>
        <v>Error?</v>
      </c>
    </row>
    <row r="1487" spans="1:4" x14ac:dyDescent="0.2">
      <c r="A1487" s="5">
        <v>1426</v>
      </c>
      <c r="B1487" s="138">
        <f>'Expenditures 15-22'!K246</f>
        <v>4060</v>
      </c>
      <c r="C1487" s="2" t="s">
        <v>573</v>
      </c>
      <c r="D1487" s="2" t="str">
        <f t="shared" si="22"/>
        <v>Error?</v>
      </c>
    </row>
    <row r="1488" spans="1:4" x14ac:dyDescent="0.2">
      <c r="A1488" s="5">
        <v>1427</v>
      </c>
      <c r="B1488" s="138">
        <f>'Expenditures 15-22'!K257</f>
        <v>4678</v>
      </c>
      <c r="C1488" s="2" t="s">
        <v>573</v>
      </c>
      <c r="D1488" s="2" t="str">
        <f t="shared" si="22"/>
        <v>Error?</v>
      </c>
    </row>
    <row r="1489" spans="1:4" x14ac:dyDescent="0.2">
      <c r="A1489" s="5">
        <v>1428</v>
      </c>
      <c r="B1489" s="138">
        <f>'Expenditures 15-22'!K259</f>
        <v>1204</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1204</v>
      </c>
      <c r="C1491" s="2" t="s">
        <v>573</v>
      </c>
      <c r="D1491" s="2" t="str">
        <f t="shared" si="22"/>
        <v>Error?</v>
      </c>
    </row>
    <row r="1492" spans="1:4" x14ac:dyDescent="0.2">
      <c r="A1492" s="5">
        <v>1431</v>
      </c>
      <c r="B1492" s="138">
        <f>'Expenditures 15-22'!K263</f>
        <v>177</v>
      </c>
      <c r="C1492" s="2" t="s">
        <v>573</v>
      </c>
      <c r="D1492" s="2" t="str">
        <f t="shared" si="22"/>
        <v>Error?</v>
      </c>
    </row>
    <row r="1493" spans="1:4" x14ac:dyDescent="0.2">
      <c r="A1493" s="5">
        <v>1432</v>
      </c>
      <c r="B1493" s="138">
        <f>'Expenditures 15-22'!K264</f>
        <v>2838</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12001</v>
      </c>
      <c r="C1495" s="2" t="s">
        <v>573</v>
      </c>
      <c r="D1495" s="2" t="str">
        <f t="shared" si="22"/>
        <v>Error?</v>
      </c>
    </row>
    <row r="1496" spans="1:4" x14ac:dyDescent="0.2">
      <c r="A1496" s="5">
        <v>1435</v>
      </c>
      <c r="B1496" s="138">
        <f>'Expenditures 15-22'!K267</f>
        <v>11849</v>
      </c>
      <c r="C1496" s="2" t="s">
        <v>573</v>
      </c>
      <c r="D1496" s="2" t="str">
        <f t="shared" si="22"/>
        <v>Error?</v>
      </c>
    </row>
    <row r="1497" spans="1:4" x14ac:dyDescent="0.2">
      <c r="A1497" s="5">
        <v>1436</v>
      </c>
      <c r="B1497" s="138">
        <f>'Expenditures 15-22'!K268</f>
        <v>4672</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31537</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45631</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76360</v>
      </c>
      <c r="C1517" s="2" t="s">
        <v>573</v>
      </c>
      <c r="D1517" s="2" t="str">
        <f t="shared" si="22"/>
        <v>Error?</v>
      </c>
    </row>
    <row r="1518" spans="1:4" x14ac:dyDescent="0.2">
      <c r="A1518" s="5">
        <v>1457</v>
      </c>
      <c r="B1518" s="138">
        <f>'Expenditures 15-22'!K296</f>
        <v>23646</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28</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1352361</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1745865</v>
      </c>
      <c r="C1630" s="2" t="s">
        <v>573</v>
      </c>
      <c r="D1630" s="2" t="str">
        <f t="shared" si="24"/>
        <v>Error?</v>
      </c>
    </row>
    <row r="1631" spans="1:4" x14ac:dyDescent="0.2">
      <c r="A1631" s="5">
        <v>1570</v>
      </c>
      <c r="B1631" s="138">
        <f>'Acct Summary 7-8'!D79</f>
        <v>226925</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237869</v>
      </c>
      <c r="C1644" s="2" t="s">
        <v>573</v>
      </c>
      <c r="D1644" s="2" t="str">
        <f t="shared" si="24"/>
        <v>Error?</v>
      </c>
    </row>
    <row r="1645" spans="1:4" x14ac:dyDescent="0.2">
      <c r="A1645" s="5">
        <v>1584</v>
      </c>
      <c r="B1645" s="138">
        <f>'Acct Summary 7-8'!E79</f>
        <v>143568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154409</v>
      </c>
      <c r="C1658" s="2" t="s">
        <v>573</v>
      </c>
      <c r="D1658" s="2" t="str">
        <f t="shared" si="24"/>
        <v>Error?</v>
      </c>
    </row>
    <row r="1659" spans="1:4" x14ac:dyDescent="0.2">
      <c r="A1659" s="5">
        <v>1598</v>
      </c>
      <c r="B1659" s="138">
        <f>'Acct Summary 7-8'!F79</f>
        <v>422504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440266</v>
      </c>
      <c r="C1672" s="2" t="s">
        <v>573</v>
      </c>
      <c r="D1672" s="2" t="str">
        <f t="shared" si="25"/>
        <v>Error?</v>
      </c>
    </row>
    <row r="1673" spans="1:4" x14ac:dyDescent="0.2">
      <c r="A1673" s="5">
        <v>1612</v>
      </c>
      <c r="B1673" s="138">
        <f>'Acct Summary 7-8'!G79</f>
        <v>81809</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105455</v>
      </c>
      <c r="C1686" s="2" t="s">
        <v>573</v>
      </c>
      <c r="D1686" s="2" t="str">
        <f t="shared" si="25"/>
        <v>Error?</v>
      </c>
    </row>
    <row r="1687" spans="1:4" x14ac:dyDescent="0.2">
      <c r="A1687" s="5">
        <v>1626</v>
      </c>
      <c r="B1687" s="138">
        <f>'Acct Summary 7-8'!H79</f>
        <v>18374</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18402</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1483309</v>
      </c>
      <c r="C1744" s="2" t="s">
        <v>573</v>
      </c>
      <c r="D1744" s="2" t="str">
        <f t="shared" si="26"/>
        <v>Error?</v>
      </c>
    </row>
    <row r="1745" spans="1:5" x14ac:dyDescent="0.2">
      <c r="A1745" s="5">
        <v>1684</v>
      </c>
      <c r="B1745" s="138">
        <f>'Tax Sched 23'!B5</f>
        <v>195171</v>
      </c>
      <c r="C1745" s="2" t="s">
        <v>573</v>
      </c>
      <c r="D1745" s="2" t="str">
        <f t="shared" si="26"/>
        <v>Error?</v>
      </c>
    </row>
    <row r="1746" spans="1:5" x14ac:dyDescent="0.2">
      <c r="A1746" s="5">
        <v>1685</v>
      </c>
      <c r="B1746" s="138">
        <f>'Tax Sched 23'!B6</f>
        <v>70646</v>
      </c>
      <c r="C1746" s="2" t="s">
        <v>573</v>
      </c>
      <c r="D1746" s="2" t="str">
        <f t="shared" si="26"/>
        <v>Error?</v>
      </c>
    </row>
    <row r="1747" spans="1:5" x14ac:dyDescent="0.2">
      <c r="A1747" s="5">
        <v>1686</v>
      </c>
      <c r="B1747" s="138">
        <f>'Tax Sched 23'!B7</f>
        <v>93682</v>
      </c>
      <c r="C1747" s="2" t="s">
        <v>573</v>
      </c>
      <c r="D1747" s="2" t="str">
        <f t="shared" si="26"/>
        <v>Error?</v>
      </c>
    </row>
    <row r="1748" spans="1:5" x14ac:dyDescent="0.2">
      <c r="A1748" s="5">
        <v>1687</v>
      </c>
      <c r="B1748" s="138">
        <f>'Tax Sched 23'!B8</f>
        <v>39931</v>
      </c>
      <c r="C1748" s="2" t="s">
        <v>573</v>
      </c>
      <c r="D1748" s="2" t="str">
        <f t="shared" si="26"/>
        <v>Error?</v>
      </c>
    </row>
    <row r="1749" spans="1:5" x14ac:dyDescent="0.2">
      <c r="A1749" s="5">
        <v>1688</v>
      </c>
      <c r="B1749" s="138">
        <f>'Tax Sched 23'!B10</f>
        <v>39035</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102833</v>
      </c>
      <c r="C1752" s="2" t="s">
        <v>573</v>
      </c>
      <c r="D1752" s="2" t="str">
        <f t="shared" si="26"/>
        <v>Error?</v>
      </c>
    </row>
    <row r="1753" spans="1:5" x14ac:dyDescent="0.2">
      <c r="A1753" s="5">
        <v>1692</v>
      </c>
      <c r="B1753" s="138">
        <f>'Tax Sched 23'!B12</f>
        <v>39035</v>
      </c>
      <c r="C1753" s="2" t="s">
        <v>573</v>
      </c>
      <c r="D1753" s="2" t="str">
        <f t="shared" si="26"/>
        <v>Error?</v>
      </c>
    </row>
    <row r="1754" spans="1:5" x14ac:dyDescent="0.2">
      <c r="A1754" s="5">
        <v>1693</v>
      </c>
      <c r="B1754" s="138">
        <f>'Tax Sched 23'!B14</f>
        <v>15614</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2149142</v>
      </c>
      <c r="C1759" s="2" t="s">
        <v>573</v>
      </c>
      <c r="D1759" s="2" t="str">
        <f t="shared" si="26"/>
        <v>Error?</v>
      </c>
    </row>
    <row r="1760" spans="1:5" x14ac:dyDescent="0.2">
      <c r="A1760" s="5">
        <v>1699</v>
      </c>
      <c r="B1760" s="138">
        <f>'Tax Sched 23'!D4</f>
        <v>1483309</v>
      </c>
      <c r="C1760" s="2" t="s">
        <v>573</v>
      </c>
      <c r="D1760" s="2" t="str">
        <f t="shared" si="26"/>
        <v>Error?</v>
      </c>
    </row>
    <row r="1761" spans="1:5" x14ac:dyDescent="0.2">
      <c r="A1761" s="5">
        <v>1700</v>
      </c>
      <c r="B1761" s="138">
        <f>'Tax Sched 23'!D5</f>
        <v>195171</v>
      </c>
      <c r="C1761" s="2" t="s">
        <v>573</v>
      </c>
      <c r="D1761" s="2" t="str">
        <f t="shared" si="26"/>
        <v>Error?</v>
      </c>
    </row>
    <row r="1762" spans="1:5" s="8" customFormat="1" x14ac:dyDescent="0.2">
      <c r="A1762" s="5">
        <v>1701</v>
      </c>
      <c r="B1762" s="138">
        <f>'Tax Sched 23'!D6</f>
        <v>70646</v>
      </c>
      <c r="C1762" s="2" t="s">
        <v>573</v>
      </c>
      <c r="D1762" s="2" t="str">
        <f t="shared" si="26"/>
        <v>Error?</v>
      </c>
      <c r="E1762" s="9"/>
    </row>
    <row r="1763" spans="1:5" x14ac:dyDescent="0.2">
      <c r="A1763" s="5">
        <v>1702</v>
      </c>
      <c r="B1763" s="138">
        <f>'Tax Sched 23'!D7</f>
        <v>93682</v>
      </c>
      <c r="C1763" s="2" t="s">
        <v>573</v>
      </c>
      <c r="D1763" s="2" t="str">
        <f t="shared" si="26"/>
        <v>Error?</v>
      </c>
    </row>
    <row r="1764" spans="1:5" x14ac:dyDescent="0.2">
      <c r="A1764" s="5">
        <v>1703</v>
      </c>
      <c r="B1764" s="138">
        <f>'Tax Sched 23'!D8</f>
        <v>39931</v>
      </c>
      <c r="C1764" s="2" t="s">
        <v>573</v>
      </c>
      <c r="D1764" s="2" t="str">
        <f t="shared" si="26"/>
        <v>Error?</v>
      </c>
    </row>
    <row r="1765" spans="1:5" x14ac:dyDescent="0.2">
      <c r="A1765" s="5">
        <v>1704</v>
      </c>
      <c r="B1765" s="138">
        <f>'Tax Sched 23'!D10</f>
        <v>39035</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102833</v>
      </c>
      <c r="C1768" s="2" t="s">
        <v>573</v>
      </c>
      <c r="D1768" s="2" t="str">
        <f t="shared" si="26"/>
        <v>Error?</v>
      </c>
    </row>
    <row r="1769" spans="1:5" x14ac:dyDescent="0.2">
      <c r="A1769" s="5">
        <v>1708</v>
      </c>
      <c r="B1769" s="138">
        <f>'Tax Sched 23'!D12</f>
        <v>39035</v>
      </c>
      <c r="C1769" s="2" t="s">
        <v>573</v>
      </c>
      <c r="D1769" s="2" t="str">
        <f t="shared" si="26"/>
        <v>Error?</v>
      </c>
    </row>
    <row r="1770" spans="1:5" x14ac:dyDescent="0.2">
      <c r="A1770" s="5">
        <v>1709</v>
      </c>
      <c r="B1770" s="138">
        <f>'Tax Sched 23'!D14</f>
        <v>15614</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2149142</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1500005</v>
      </c>
      <c r="C1792" s="2" t="s">
        <v>573</v>
      </c>
      <c r="D1792" s="2" t="str">
        <f t="shared" si="27"/>
        <v>Error?</v>
      </c>
    </row>
    <row r="1793" spans="1:4" x14ac:dyDescent="0.2">
      <c r="A1793" s="5">
        <v>1732</v>
      </c>
      <c r="B1793" s="138">
        <f>'Tax Sched 23'!F5</f>
        <v>200002</v>
      </c>
      <c r="C1793" s="2" t="s">
        <v>573</v>
      </c>
      <c r="D1793" s="2" t="str">
        <f t="shared" si="27"/>
        <v>Error?</v>
      </c>
    </row>
    <row r="1794" spans="1:4" x14ac:dyDescent="0.2">
      <c r="A1794" s="5">
        <v>1733</v>
      </c>
      <c r="B1794" s="138">
        <f>'Tax Sched 23'!F6</f>
        <v>90678</v>
      </c>
      <c r="C1794" s="2" t="s">
        <v>573</v>
      </c>
      <c r="D1794" s="2" t="str">
        <f t="shared" si="27"/>
        <v>Error?</v>
      </c>
    </row>
    <row r="1795" spans="1:4" x14ac:dyDescent="0.2">
      <c r="A1795" s="5">
        <v>1734</v>
      </c>
      <c r="B1795" s="138">
        <f>'Tax Sched 23'!F7</f>
        <v>94505</v>
      </c>
      <c r="C1795" s="2" t="s">
        <v>573</v>
      </c>
      <c r="D1795" s="2" t="str">
        <f t="shared" si="27"/>
        <v>Error?</v>
      </c>
    </row>
    <row r="1796" spans="1:4" x14ac:dyDescent="0.2">
      <c r="A1796" s="5">
        <v>1735</v>
      </c>
      <c r="B1796" s="138">
        <f>'Tax Sched 23'!F8</f>
        <v>40000</v>
      </c>
      <c r="C1796" s="2" t="s">
        <v>573</v>
      </c>
      <c r="D1796" s="2" t="str">
        <f t="shared" si="27"/>
        <v>Error?</v>
      </c>
    </row>
    <row r="1797" spans="1:4" x14ac:dyDescent="0.2">
      <c r="A1797" s="5">
        <v>1736</v>
      </c>
      <c r="B1797" s="138">
        <f>'Tax Sched 23'!F10</f>
        <v>40000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100001</v>
      </c>
      <c r="C1800" s="2" t="s">
        <v>573</v>
      </c>
      <c r="D1800" s="2" t="str">
        <f t="shared" si="27"/>
        <v>Error?</v>
      </c>
    </row>
    <row r="1801" spans="1:4" x14ac:dyDescent="0.2">
      <c r="A1801" s="5">
        <v>1740</v>
      </c>
      <c r="B1801" s="138">
        <f>'Tax Sched 23'!F12</f>
        <v>40000</v>
      </c>
      <c r="C1801" s="2" t="s">
        <v>573</v>
      </c>
      <c r="D1801" s="2" t="str">
        <f t="shared" si="27"/>
        <v>Error?</v>
      </c>
    </row>
    <row r="1802" spans="1:4" x14ac:dyDescent="0.2">
      <c r="A1802" s="5">
        <v>1741</v>
      </c>
      <c r="B1802" s="138">
        <f>'Tax Sched 23'!F14</f>
        <v>15600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2210791</v>
      </c>
      <c r="C1807" s="2" t="s">
        <v>573</v>
      </c>
      <c r="D1807" s="2" t="str">
        <f t="shared" si="27"/>
        <v>Error?</v>
      </c>
    </row>
    <row r="1808" spans="1:4" x14ac:dyDescent="0.2">
      <c r="A1808" s="5">
        <v>1747</v>
      </c>
      <c r="B1808" s="138">
        <f>'Tax Sched 23'!E4</f>
        <v>1500005</v>
      </c>
      <c r="D1808" s="2" t="str">
        <f t="shared" si="27"/>
        <v>Error?</v>
      </c>
    </row>
    <row r="1809" spans="1:4" x14ac:dyDescent="0.2">
      <c r="A1809" s="5">
        <v>1748</v>
      </c>
      <c r="B1809" s="138">
        <f>'Tax Sched 23'!E5</f>
        <v>200002</v>
      </c>
      <c r="D1809" s="2" t="str">
        <f t="shared" si="27"/>
        <v>Error?</v>
      </c>
    </row>
    <row r="1810" spans="1:4" x14ac:dyDescent="0.2">
      <c r="A1810" s="5">
        <v>1749</v>
      </c>
      <c r="B1810" s="138">
        <f>'Tax Sched 23'!E6</f>
        <v>90678</v>
      </c>
      <c r="D1810" s="2" t="str">
        <f t="shared" si="27"/>
        <v>Error?</v>
      </c>
    </row>
    <row r="1811" spans="1:4" x14ac:dyDescent="0.2">
      <c r="A1811" s="5">
        <v>1750</v>
      </c>
      <c r="B1811" s="138">
        <f>'Tax Sched 23'!E7</f>
        <v>94505</v>
      </c>
      <c r="D1811" s="2" t="str">
        <f t="shared" si="27"/>
        <v>Error?</v>
      </c>
    </row>
    <row r="1812" spans="1:4" x14ac:dyDescent="0.2">
      <c r="A1812" s="5">
        <v>1751</v>
      </c>
      <c r="B1812" s="138">
        <f>'Tax Sched 23'!E8</f>
        <v>40000</v>
      </c>
      <c r="D1812" s="2" t="str">
        <f t="shared" si="27"/>
        <v>Error?</v>
      </c>
    </row>
    <row r="1813" spans="1:4" x14ac:dyDescent="0.2">
      <c r="A1813" s="5">
        <v>1752</v>
      </c>
      <c r="B1813" s="138">
        <f>'Tax Sched 23'!E10</f>
        <v>40000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100001</v>
      </c>
      <c r="D1816" s="2" t="str">
        <f t="shared" si="27"/>
        <v>Error?</v>
      </c>
    </row>
    <row r="1817" spans="1:4" x14ac:dyDescent="0.2">
      <c r="A1817" s="5">
        <v>1756</v>
      </c>
      <c r="B1817" s="138">
        <f>'Tax Sched 23'!E12</f>
        <v>40000</v>
      </c>
      <c r="D1817" s="2" t="str">
        <f t="shared" si="27"/>
        <v>Error?</v>
      </c>
    </row>
    <row r="1818" spans="1:4" x14ac:dyDescent="0.2">
      <c r="A1818" s="5">
        <v>1757</v>
      </c>
      <c r="B1818" s="138">
        <f>'Tax Sched 23'!E14</f>
        <v>15600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2210791</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2290000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15614</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15614</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15614</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19100</v>
      </c>
      <c r="D2008" s="2" t="str">
        <f t="shared" si="30"/>
        <v>Error?</v>
      </c>
    </row>
    <row r="2009" spans="1:4" x14ac:dyDescent="0.2">
      <c r="A2009" s="5">
        <v>1948</v>
      </c>
      <c r="B2009" s="138">
        <f>'Cap Outlay Deprec 26'!C8</f>
        <v>5872440</v>
      </c>
      <c r="D2009" s="2" t="str">
        <f t="shared" si="30"/>
        <v>Error?</v>
      </c>
    </row>
    <row r="2010" spans="1:4" x14ac:dyDescent="0.2">
      <c r="A2010" s="5">
        <v>1949</v>
      </c>
      <c r="B2010" s="138">
        <f>'Cap Outlay Deprec 26'!C10</f>
        <v>87755</v>
      </c>
      <c r="D2010" s="2" t="str">
        <f t="shared" si="30"/>
        <v>Error?</v>
      </c>
    </row>
    <row r="2011" spans="1:4" x14ac:dyDescent="0.2">
      <c r="A2011" s="5">
        <v>1950</v>
      </c>
      <c r="B2011" s="138">
        <f>'Cap Outlay Deprec 26'!C12</f>
        <v>143739</v>
      </c>
      <c r="D2011" s="2" t="str">
        <f t="shared" si="30"/>
        <v>Error?</v>
      </c>
    </row>
    <row r="2012" spans="1:4" x14ac:dyDescent="0.2">
      <c r="A2012" s="5">
        <v>1951</v>
      </c>
      <c r="B2012" s="138">
        <f>'Cap Outlay Deprec 26'!C13</f>
        <v>150403</v>
      </c>
      <c r="D2012" s="2" t="str">
        <f t="shared" si="30"/>
        <v>Error?</v>
      </c>
    </row>
    <row r="2013" spans="1:4" x14ac:dyDescent="0.2">
      <c r="A2013" s="5">
        <v>1952</v>
      </c>
      <c r="B2013" s="138">
        <f>'Cap Outlay Deprec 26'!C16</f>
        <v>6273437</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3199</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20694</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33893</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11812</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11812</v>
      </c>
      <c r="C2025" s="2" t="s">
        <v>573</v>
      </c>
      <c r="D2025" s="2" t="str">
        <f t="shared" si="30"/>
        <v>Error?</v>
      </c>
    </row>
    <row r="2026" spans="1:4" x14ac:dyDescent="0.2">
      <c r="A2026" s="5">
        <v>1965</v>
      </c>
      <c r="B2026" s="138">
        <f>'Cap Outlay Deprec 26'!F5</f>
        <v>19100</v>
      </c>
      <c r="C2026" s="2" t="s">
        <v>573</v>
      </c>
      <c r="D2026" s="2" t="str">
        <f t="shared" si="30"/>
        <v>Error?</v>
      </c>
    </row>
    <row r="2027" spans="1:4" x14ac:dyDescent="0.2">
      <c r="A2027" s="5">
        <v>1966</v>
      </c>
      <c r="B2027" s="138">
        <f>'Cap Outlay Deprec 26'!F8</f>
        <v>5875639</v>
      </c>
      <c r="C2027" s="2" t="s">
        <v>573</v>
      </c>
      <c r="D2027" s="2" t="str">
        <f t="shared" si="30"/>
        <v>Error?</v>
      </c>
    </row>
    <row r="2028" spans="1:4" x14ac:dyDescent="0.2">
      <c r="A2028" s="5">
        <v>1967</v>
      </c>
      <c r="B2028" s="138">
        <f>'Cap Outlay Deprec 26'!F10</f>
        <v>87755</v>
      </c>
      <c r="C2028" s="2" t="s">
        <v>573</v>
      </c>
      <c r="D2028" s="2" t="str">
        <f t="shared" si="30"/>
        <v>Error?</v>
      </c>
    </row>
    <row r="2029" spans="1:4" x14ac:dyDescent="0.2">
      <c r="A2029" s="5">
        <v>1968</v>
      </c>
      <c r="B2029" s="138">
        <f>'Cap Outlay Deprec 26'!F12</f>
        <v>152621</v>
      </c>
      <c r="C2029" s="2" t="s">
        <v>573</v>
      </c>
      <c r="D2029" s="2" t="str">
        <f t="shared" si="30"/>
        <v>Error?</v>
      </c>
    </row>
    <row r="2030" spans="1:4" x14ac:dyDescent="0.2">
      <c r="A2030" s="5">
        <v>1969</v>
      </c>
      <c r="B2030" s="138">
        <f>'Cap Outlay Deprec 26'!F13</f>
        <v>150403</v>
      </c>
      <c r="C2030" s="2" t="s">
        <v>573</v>
      </c>
      <c r="D2030" s="2" t="str">
        <f t="shared" si="30"/>
        <v>Error?</v>
      </c>
    </row>
    <row r="2031" spans="1:4" x14ac:dyDescent="0.2">
      <c r="A2031" s="5">
        <v>1970</v>
      </c>
      <c r="B2031" s="138">
        <f>'Cap Outlay Deprec 26'!F16</f>
        <v>6295518</v>
      </c>
      <c r="C2031" s="2" t="s">
        <v>573</v>
      </c>
      <c r="D2031" s="2" t="str">
        <f t="shared" si="30"/>
        <v>Error?</v>
      </c>
    </row>
    <row r="2032" spans="1:4" x14ac:dyDescent="0.2">
      <c r="A2032" s="10">
        <v>1971</v>
      </c>
      <c r="D2032" s="2" t="str">
        <f t="shared" si="30"/>
        <v>OK</v>
      </c>
    </row>
    <row r="2033" spans="1:4" x14ac:dyDescent="0.2">
      <c r="A2033" s="5">
        <v>1972</v>
      </c>
      <c r="B2033" s="138">
        <f>'Cap Outlay Deprec 26'!H8</f>
        <v>2117998</v>
      </c>
      <c r="D2033" s="2" t="str">
        <f t="shared" si="30"/>
        <v>Error?</v>
      </c>
    </row>
    <row r="2034" spans="1:4" x14ac:dyDescent="0.2">
      <c r="A2034" s="5">
        <v>1973</v>
      </c>
      <c r="B2034" s="138">
        <f>'Cap Outlay Deprec 26'!H10</f>
        <v>30715</v>
      </c>
      <c r="D2034" s="2" t="str">
        <f t="shared" si="30"/>
        <v>Error?</v>
      </c>
    </row>
    <row r="2035" spans="1:4" x14ac:dyDescent="0.2">
      <c r="A2035" s="5">
        <v>1974</v>
      </c>
      <c r="B2035" s="138">
        <f>'Cap Outlay Deprec 26'!H12</f>
        <v>65070</v>
      </c>
      <c r="D2035" s="2" t="str">
        <f t="shared" si="30"/>
        <v>Error?</v>
      </c>
    </row>
    <row r="2036" spans="1:4" x14ac:dyDescent="0.2">
      <c r="A2036" s="5">
        <v>1975</v>
      </c>
      <c r="B2036" s="138">
        <f>'Cap Outlay Deprec 26'!H13</f>
        <v>114784</v>
      </c>
      <c r="D2036" s="2" t="str">
        <f t="shared" si="30"/>
        <v>Error?</v>
      </c>
    </row>
    <row r="2037" spans="1:4" x14ac:dyDescent="0.2">
      <c r="A2037" s="5">
        <v>1976</v>
      </c>
      <c r="B2037" s="138">
        <f>'Cap Outlay Deprec 26'!H16</f>
        <v>2328567</v>
      </c>
      <c r="C2037" s="2" t="s">
        <v>573</v>
      </c>
      <c r="D2037" s="2" t="str">
        <f t="shared" si="30"/>
        <v>Error?</v>
      </c>
    </row>
    <row r="2038" spans="1:4" x14ac:dyDescent="0.2">
      <c r="A2038" s="10">
        <v>1977</v>
      </c>
      <c r="D2038" s="2" t="str">
        <f t="shared" si="30"/>
        <v>OK</v>
      </c>
    </row>
    <row r="2039" spans="1:4" x14ac:dyDescent="0.2">
      <c r="A2039" s="5">
        <v>1978</v>
      </c>
      <c r="B2039" s="138">
        <f>'Cap Outlay Deprec 26'!I8</f>
        <v>114638</v>
      </c>
      <c r="D2039" s="2" t="str">
        <f t="shared" si="30"/>
        <v>Error?</v>
      </c>
    </row>
    <row r="2040" spans="1:4" x14ac:dyDescent="0.2">
      <c r="A2040" s="5">
        <v>1979</v>
      </c>
      <c r="B2040" s="138">
        <f>'Cap Outlay Deprec 26'!I10</f>
        <v>4387</v>
      </c>
      <c r="D2040" s="2" t="str">
        <f t="shared" si="30"/>
        <v>Error?</v>
      </c>
    </row>
    <row r="2041" spans="1:4" x14ac:dyDescent="0.2">
      <c r="A2041" s="5">
        <v>1980</v>
      </c>
      <c r="B2041" s="138">
        <f>'Cap Outlay Deprec 26'!I12</f>
        <v>14542</v>
      </c>
      <c r="D2041" s="2" t="str">
        <f t="shared" si="30"/>
        <v>Error?</v>
      </c>
    </row>
    <row r="2042" spans="1:4" x14ac:dyDescent="0.2">
      <c r="A2042" s="5">
        <v>1981</v>
      </c>
      <c r="B2042" s="138">
        <f>'Cap Outlay Deprec 26'!I13</f>
        <v>17710</v>
      </c>
      <c r="D2042" s="2" t="str">
        <f t="shared" si="30"/>
        <v>Error?</v>
      </c>
    </row>
    <row r="2043" spans="1:4" x14ac:dyDescent="0.2">
      <c r="A2043" s="5">
        <v>1982</v>
      </c>
      <c r="B2043" s="138">
        <f>'Cap Outlay Deprec 26'!I16</f>
        <v>151277</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11812</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11812</v>
      </c>
      <c r="C2049" s="2" t="s">
        <v>573</v>
      </c>
      <c r="D2049" s="2" t="str">
        <f t="shared" si="31"/>
        <v>Error?</v>
      </c>
    </row>
    <row r="2050" spans="1:4" x14ac:dyDescent="0.2">
      <c r="A2050" s="10">
        <v>1989</v>
      </c>
      <c r="D2050" s="2" t="str">
        <f t="shared" si="31"/>
        <v>OK</v>
      </c>
    </row>
    <row r="2051" spans="1:4" x14ac:dyDescent="0.2">
      <c r="A2051" s="5">
        <v>1990</v>
      </c>
      <c r="B2051" s="138">
        <f>'Cap Outlay Deprec 26'!K8</f>
        <v>2232636</v>
      </c>
      <c r="C2051" s="2" t="s">
        <v>573</v>
      </c>
      <c r="D2051" s="2" t="str">
        <f t="shared" si="31"/>
        <v>Error?</v>
      </c>
    </row>
    <row r="2052" spans="1:4" x14ac:dyDescent="0.2">
      <c r="A2052" s="5">
        <v>1991</v>
      </c>
      <c r="B2052" s="138">
        <f>'Cap Outlay Deprec 26'!K10</f>
        <v>35102</v>
      </c>
      <c r="C2052" s="2" t="s">
        <v>573</v>
      </c>
      <c r="D2052" s="2" t="str">
        <f t="shared" si="31"/>
        <v>Error?</v>
      </c>
    </row>
    <row r="2053" spans="1:4" x14ac:dyDescent="0.2">
      <c r="A2053" s="5">
        <v>1992</v>
      </c>
      <c r="B2053" s="138">
        <f>'Cap Outlay Deprec 26'!K12</f>
        <v>67800</v>
      </c>
      <c r="C2053" s="2" t="s">
        <v>573</v>
      </c>
      <c r="D2053" s="2" t="str">
        <f t="shared" si="31"/>
        <v>Error?</v>
      </c>
    </row>
    <row r="2054" spans="1:4" x14ac:dyDescent="0.2">
      <c r="A2054" s="5">
        <v>1993</v>
      </c>
      <c r="B2054" s="138">
        <f>'Cap Outlay Deprec 26'!K13</f>
        <v>132494</v>
      </c>
      <c r="C2054" s="2" t="s">
        <v>573</v>
      </c>
      <c r="D2054" s="2" t="str">
        <f t="shared" si="31"/>
        <v>Error?</v>
      </c>
    </row>
    <row r="2055" spans="1:4" x14ac:dyDescent="0.2">
      <c r="A2055" s="5">
        <v>1994</v>
      </c>
      <c r="B2055" s="138">
        <f>'Cap Outlay Deprec 26'!K16</f>
        <v>2468032</v>
      </c>
      <c r="C2055" s="2" t="s">
        <v>573</v>
      </c>
      <c r="D2055" s="2" t="str">
        <f t="shared" si="31"/>
        <v>Error?</v>
      </c>
    </row>
    <row r="2056" spans="1:4" x14ac:dyDescent="0.2">
      <c r="A2056" s="5">
        <v>1995</v>
      </c>
      <c r="B2056" s="138">
        <f>'Cap Outlay Deprec 26'!L5</f>
        <v>19100</v>
      </c>
      <c r="C2056" s="2" t="s">
        <v>573</v>
      </c>
      <c r="D2056" s="2" t="str">
        <f t="shared" si="31"/>
        <v>Error?</v>
      </c>
    </row>
    <row r="2057" spans="1:4" x14ac:dyDescent="0.2">
      <c r="A2057" s="5">
        <v>1996</v>
      </c>
      <c r="B2057" s="138">
        <f>'Cap Outlay Deprec 26'!L8</f>
        <v>3643003</v>
      </c>
      <c r="C2057" s="2" t="s">
        <v>573</v>
      </c>
      <c r="D2057" s="2" t="str">
        <f t="shared" si="31"/>
        <v>Error?</v>
      </c>
    </row>
    <row r="2058" spans="1:4" x14ac:dyDescent="0.2">
      <c r="A2058" s="5">
        <v>1997</v>
      </c>
      <c r="B2058" s="138">
        <f>'Cap Outlay Deprec 26'!L10</f>
        <v>52653</v>
      </c>
      <c r="C2058" s="2" t="s">
        <v>573</v>
      </c>
      <c r="D2058" s="2" t="str">
        <f t="shared" si="31"/>
        <v>Error?</v>
      </c>
    </row>
    <row r="2059" spans="1:4" x14ac:dyDescent="0.2">
      <c r="A2059" s="5">
        <v>1998</v>
      </c>
      <c r="B2059" s="138">
        <f>'Cap Outlay Deprec 26'!L12</f>
        <v>84821</v>
      </c>
      <c r="C2059" s="2" t="s">
        <v>573</v>
      </c>
      <c r="D2059" s="2" t="str">
        <f t="shared" si="31"/>
        <v>Error?</v>
      </c>
    </row>
    <row r="2060" spans="1:4" x14ac:dyDescent="0.2">
      <c r="A2060" s="5">
        <v>1999</v>
      </c>
      <c r="B2060" s="138">
        <f>'Cap Outlay Deprec 26'!L13</f>
        <v>17909</v>
      </c>
      <c r="C2060" s="2" t="s">
        <v>573</v>
      </c>
      <c r="D2060" s="2" t="str">
        <f t="shared" si="31"/>
        <v>Error?</v>
      </c>
    </row>
    <row r="2061" spans="1:4" x14ac:dyDescent="0.2">
      <c r="A2061" s="5">
        <v>2000</v>
      </c>
      <c r="B2061" s="138">
        <f>'Cap Outlay Deprec 26'!L16</f>
        <v>3827486</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5228</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52413</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69374</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1813433</v>
      </c>
      <c r="C2551" s="2" t="s">
        <v>573</v>
      </c>
      <c r="D2551" s="2" t="str">
        <f t="shared" si="38"/>
        <v>Error?</v>
      </c>
    </row>
    <row r="2552" spans="1:4" x14ac:dyDescent="0.2">
      <c r="A2552" s="10">
        <v>2491</v>
      </c>
      <c r="D2552" s="2" t="str">
        <f t="shared" si="38"/>
        <v>OK</v>
      </c>
    </row>
    <row r="2553" spans="1:4" x14ac:dyDescent="0.2">
      <c r="A2553" s="5">
        <v>2492</v>
      </c>
      <c r="B2553" s="138">
        <f>'Acct Summary 7-8'!C6</f>
        <v>325533</v>
      </c>
      <c r="C2553" s="2" t="s">
        <v>573</v>
      </c>
      <c r="D2553" s="2" t="str">
        <f t="shared" si="38"/>
        <v>Error?</v>
      </c>
    </row>
    <row r="2554" spans="1:4" x14ac:dyDescent="0.2">
      <c r="A2554" s="5">
        <v>2493</v>
      </c>
      <c r="B2554" s="138">
        <f>'Acct Summary 7-8'!C7</f>
        <v>208845</v>
      </c>
      <c r="C2554" s="2" t="s">
        <v>573</v>
      </c>
      <c r="D2554" s="2" t="str">
        <f t="shared" si="38"/>
        <v>Error?</v>
      </c>
    </row>
    <row r="2555" spans="1:4" x14ac:dyDescent="0.2">
      <c r="A2555" s="5">
        <v>2494</v>
      </c>
      <c r="B2555" s="138">
        <f>'Acct Summary 7-8'!C8</f>
        <v>2347811</v>
      </c>
      <c r="C2555" s="2" t="s">
        <v>573</v>
      </c>
      <c r="D2555" s="2" t="str">
        <f t="shared" si="38"/>
        <v>Error?</v>
      </c>
    </row>
    <row r="2556" spans="1:4" x14ac:dyDescent="0.2">
      <c r="A2556" s="5">
        <v>2495</v>
      </c>
      <c r="B2556" s="138">
        <f>'Acct Summary 7-8'!C12</f>
        <v>1415885</v>
      </c>
      <c r="C2556" s="2" t="s">
        <v>573</v>
      </c>
      <c r="D2556" s="2" t="str">
        <f t="shared" si="38"/>
        <v>Error?</v>
      </c>
    </row>
    <row r="2557" spans="1:4" x14ac:dyDescent="0.2">
      <c r="A2557" s="5">
        <v>2496</v>
      </c>
      <c r="B2557" s="138">
        <f>'Acct Summary 7-8'!C13</f>
        <v>486609</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52413</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1954907</v>
      </c>
      <c r="C2561" s="2" t="s">
        <v>573</v>
      </c>
      <c r="D2561" s="2" t="str">
        <f t="shared" si="39"/>
        <v>Error?</v>
      </c>
    </row>
    <row r="2562" spans="1:4" x14ac:dyDescent="0.2">
      <c r="A2562" s="5">
        <v>2501</v>
      </c>
      <c r="B2562" s="138">
        <f>'Acct Summary 7-8'!C20</f>
        <v>392904</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198109</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198109</v>
      </c>
      <c r="C2568" s="2" t="s">
        <v>573</v>
      </c>
      <c r="D2568" s="2" t="str">
        <f t="shared" si="39"/>
        <v>Error?</v>
      </c>
    </row>
    <row r="2569" spans="1:4" x14ac:dyDescent="0.2">
      <c r="A2569" s="5">
        <v>2508</v>
      </c>
      <c r="B2569" s="138">
        <f>'Acct Summary 7-8'!D13</f>
        <v>187165</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187165</v>
      </c>
      <c r="C2573" s="2" t="s">
        <v>573</v>
      </c>
      <c r="D2573" s="2" t="str">
        <f t="shared" si="39"/>
        <v>Error?</v>
      </c>
    </row>
    <row r="2574" spans="1:4" x14ac:dyDescent="0.2">
      <c r="A2574" s="5">
        <v>2513</v>
      </c>
      <c r="B2574" s="138">
        <f>'Acct Summary 7-8'!D20</f>
        <v>10944</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97518</v>
      </c>
      <c r="C2591" s="2" t="s">
        <v>573</v>
      </c>
      <c r="D2591" s="2" t="str">
        <f t="shared" si="39"/>
        <v>Error?</v>
      </c>
    </row>
    <row r="2592" spans="1:4" x14ac:dyDescent="0.2">
      <c r="A2592" s="10">
        <v>2531</v>
      </c>
      <c r="D2592" s="2" t="str">
        <f t="shared" si="39"/>
        <v>OK</v>
      </c>
    </row>
    <row r="2593" spans="1:4" x14ac:dyDescent="0.2">
      <c r="A2593" s="5">
        <v>2532</v>
      </c>
      <c r="B2593" s="138">
        <f>'Acct Summary 7-8'!F6</f>
        <v>100893</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198411</v>
      </c>
      <c r="C2595" s="2" t="s">
        <v>573</v>
      </c>
      <c r="D2595" s="2" t="str">
        <f t="shared" si="39"/>
        <v>Error?</v>
      </c>
    </row>
    <row r="2596" spans="1:4" x14ac:dyDescent="0.2">
      <c r="A2596" s="5">
        <v>2535</v>
      </c>
      <c r="B2596" s="138">
        <f>'Acct Summary 7-8'!F13</f>
        <v>180649</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180649</v>
      </c>
      <c r="C2600" s="2" t="s">
        <v>573</v>
      </c>
      <c r="D2600" s="2" t="str">
        <f t="shared" si="39"/>
        <v>Error?</v>
      </c>
    </row>
    <row r="2601" spans="1:4" x14ac:dyDescent="0.2">
      <c r="A2601" s="5">
        <v>2540</v>
      </c>
      <c r="B2601" s="138">
        <f>'Acct Summary 7-8'!F20</f>
        <v>17762</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100006</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100006</v>
      </c>
      <c r="C2606" s="2" t="s">
        <v>573</v>
      </c>
      <c r="D2606" s="2" t="str">
        <f t="shared" si="39"/>
        <v>Error?</v>
      </c>
    </row>
    <row r="2607" spans="1:4" x14ac:dyDescent="0.2">
      <c r="A2607" s="5">
        <v>2546</v>
      </c>
      <c r="B2607" s="138">
        <f>'Acct Summary 7-8'!G12</f>
        <v>30729</v>
      </c>
      <c r="C2607" s="2" t="s">
        <v>573</v>
      </c>
      <c r="D2607" s="2" t="str">
        <f t="shared" si="39"/>
        <v>Error?</v>
      </c>
    </row>
    <row r="2608" spans="1:4" x14ac:dyDescent="0.2">
      <c r="A2608" s="5">
        <v>2547</v>
      </c>
      <c r="B2608" s="138">
        <f>'Acct Summary 7-8'!G13</f>
        <v>45631</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76360</v>
      </c>
      <c r="C2612" s="2" t="s">
        <v>573</v>
      </c>
      <c r="D2612" s="2" t="str">
        <f t="shared" si="39"/>
        <v>Error?</v>
      </c>
    </row>
    <row r="2613" spans="1:4" x14ac:dyDescent="0.2">
      <c r="A2613" s="5">
        <v>2552</v>
      </c>
      <c r="B2613" s="138">
        <f>'Acct Summary 7-8'!G20</f>
        <v>23646</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199696</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199696</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188855</v>
      </c>
      <c r="C2634" s="2" t="s">
        <v>573</v>
      </c>
      <c r="D2634" s="2" t="str">
        <f t="shared" si="40"/>
        <v>Error?</v>
      </c>
    </row>
    <row r="2635" spans="1:4" x14ac:dyDescent="0.2">
      <c r="A2635" s="5">
        <v>2574</v>
      </c>
      <c r="B2635" s="138">
        <f>'Acct Summary 7-8'!E17</f>
        <v>188855</v>
      </c>
      <c r="C2635" s="2" t="s">
        <v>573</v>
      </c>
      <c r="D2635" s="2" t="str">
        <f t="shared" si="40"/>
        <v>Error?</v>
      </c>
    </row>
    <row r="2636" spans="1:4" x14ac:dyDescent="0.2">
      <c r="A2636" s="5">
        <v>2575</v>
      </c>
      <c r="B2636" s="138">
        <f>'Acct Summary 7-8'!E20</f>
        <v>10841</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28</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28</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28</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29597</v>
      </c>
      <c r="D2718" s="2" t="str">
        <f t="shared" si="41"/>
        <v>Error?</v>
      </c>
    </row>
    <row r="2719" spans="1:4" x14ac:dyDescent="0.2">
      <c r="A2719" s="5">
        <v>2658</v>
      </c>
      <c r="B2719" s="138">
        <f>'Expenditures 15-22'!D51</f>
        <v>6669</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36266</v>
      </c>
      <c r="C2724" s="2" t="s">
        <v>573</v>
      </c>
      <c r="D2724" s="2" t="str">
        <f t="shared" si="41"/>
        <v>Error?</v>
      </c>
    </row>
    <row r="2725" spans="1:4" x14ac:dyDescent="0.2">
      <c r="A2725" s="5">
        <v>2664</v>
      </c>
      <c r="B2725" s="138">
        <f>'Expenditures 15-22'!D247</f>
        <v>399</v>
      </c>
      <c r="D2725" s="2" t="str">
        <f t="shared" si="41"/>
        <v>Error?</v>
      </c>
    </row>
    <row r="2726" spans="1:4" x14ac:dyDescent="0.2">
      <c r="A2726" s="5">
        <v>2665</v>
      </c>
      <c r="B2726" s="138">
        <f>'Expenditures 15-22'!K247</f>
        <v>399</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47185</v>
      </c>
      <c r="C2789" s="2" t="s">
        <v>573</v>
      </c>
      <c r="D2789" s="2" t="str">
        <f t="shared" si="42"/>
        <v>Error?</v>
      </c>
    </row>
    <row r="2790" spans="1:4" x14ac:dyDescent="0.2">
      <c r="A2790" s="5">
        <v>2729</v>
      </c>
      <c r="B2790" s="138">
        <f>'Expenditures 15-22'!E102</f>
        <v>47185</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10000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384357</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42133</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384357</v>
      </c>
      <c r="D2912" s="2" t="str">
        <f t="shared" si="44"/>
        <v>Error?</v>
      </c>
    </row>
    <row r="2913" spans="1:4" x14ac:dyDescent="0.2">
      <c r="A2913" s="5">
        <v>2852</v>
      </c>
      <c r="B2913" s="138">
        <f>'Assets-Liab 5-6'!I41</f>
        <v>384357</v>
      </c>
      <c r="C2913" s="2" t="s">
        <v>573</v>
      </c>
      <c r="D2913" s="2" t="str">
        <f t="shared" si="44"/>
        <v>Error?</v>
      </c>
    </row>
    <row r="2914" spans="1:4" x14ac:dyDescent="0.2">
      <c r="A2914" s="5">
        <v>2853</v>
      </c>
      <c r="B2914" s="138">
        <f>'Assets-Liab 5-6'!L33</f>
        <v>42133</v>
      </c>
      <c r="D2914" s="2" t="str">
        <f t="shared" si="44"/>
        <v>Error?</v>
      </c>
    </row>
    <row r="2915" spans="1:4" x14ac:dyDescent="0.2">
      <c r="A2915" s="10">
        <v>2854</v>
      </c>
      <c r="D2915" s="2" t="str">
        <f t="shared" si="44"/>
        <v>OK</v>
      </c>
    </row>
    <row r="2916" spans="1:4" x14ac:dyDescent="0.2">
      <c r="A2916" s="5">
        <v>2855</v>
      </c>
      <c r="B2916" s="138">
        <f>'Assets-Liab 5-6'!L34</f>
        <v>42133</v>
      </c>
      <c r="C2916" s="2" t="s">
        <v>573</v>
      </c>
      <c r="D2916" s="2" t="str">
        <f t="shared" si="44"/>
        <v>Error?</v>
      </c>
    </row>
    <row r="2917" spans="1:4" x14ac:dyDescent="0.2">
      <c r="A2917" s="5">
        <v>2856</v>
      </c>
      <c r="B2917" s="138">
        <f>'Assets-Liab 5-6'!L41</f>
        <v>42133</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46638</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547</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5228</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51866</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547</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13933</v>
      </c>
      <c r="D3055" s="2" t="str">
        <f t="shared" si="46"/>
        <v>Error?</v>
      </c>
    </row>
    <row r="3056" spans="1:4" x14ac:dyDescent="0.2">
      <c r="A3056" s="5">
        <v>2995</v>
      </c>
      <c r="B3056" s="138">
        <f>'Expenditures 15-22'!D10</f>
        <v>2203</v>
      </c>
      <c r="D3056" s="2" t="str">
        <f t="shared" si="46"/>
        <v>Error?</v>
      </c>
    </row>
    <row r="3057" spans="1:4" x14ac:dyDescent="0.2">
      <c r="A3057" s="5">
        <v>2996</v>
      </c>
      <c r="B3057" s="138">
        <f>'Expenditures 15-22'!E10</f>
        <v>5128</v>
      </c>
      <c r="D3057" s="2" t="str">
        <f t="shared" si="46"/>
        <v>Error?</v>
      </c>
    </row>
    <row r="3058" spans="1:4" x14ac:dyDescent="0.2">
      <c r="A3058" s="5">
        <v>2997</v>
      </c>
      <c r="B3058" s="138">
        <f>'Expenditures 15-22'!F10</f>
        <v>3590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24854</v>
      </c>
      <c r="C3062" s="2" t="s">
        <v>573</v>
      </c>
      <c r="D3062" s="2" t="str">
        <f t="shared" si="46"/>
        <v>Error?</v>
      </c>
    </row>
    <row r="3063" spans="1:4" x14ac:dyDescent="0.2">
      <c r="A3063" s="10">
        <v>3002</v>
      </c>
      <c r="D3063" s="2" t="str">
        <f t="shared" si="46"/>
        <v>OK</v>
      </c>
    </row>
    <row r="3064" spans="1:4" x14ac:dyDescent="0.2">
      <c r="A3064" s="5">
        <v>3003</v>
      </c>
      <c r="B3064" s="138">
        <f>'Expenditures 15-22'!D219</f>
        <v>1983</v>
      </c>
      <c r="D3064" s="2" t="str">
        <f t="shared" si="46"/>
        <v>Error?</v>
      </c>
    </row>
    <row r="3065" spans="1:4" x14ac:dyDescent="0.2">
      <c r="A3065" s="5">
        <v>3004</v>
      </c>
      <c r="B3065" s="138">
        <f>'Expenditures 15-22'!K219</f>
        <v>1983</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45573</v>
      </c>
      <c r="C3225" s="2" t="s">
        <v>573</v>
      </c>
      <c r="D3225" s="2" t="str">
        <f t="shared" si="49"/>
        <v>Error?</v>
      </c>
    </row>
    <row r="3226" spans="1:4" x14ac:dyDescent="0.2">
      <c r="A3226" s="5">
        <v>3165</v>
      </c>
      <c r="B3226" s="138">
        <f>'Acct Summary 7-8'!I8</f>
        <v>45573</v>
      </c>
      <c r="C3226" s="2" t="s">
        <v>573</v>
      </c>
      <c r="D3226" s="2" t="str">
        <f t="shared" si="49"/>
        <v>Error?</v>
      </c>
    </row>
    <row r="3227" spans="1:4" x14ac:dyDescent="0.2">
      <c r="A3227" s="5">
        <v>3166</v>
      </c>
      <c r="B3227" s="138">
        <f>'Acct Summary 7-8'!I20</f>
        <v>45573</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600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600</v>
      </c>
      <c r="C3232" s="2" t="s">
        <v>573</v>
      </c>
      <c r="D3232" s="2" t="str">
        <f t="shared" si="49"/>
        <v>Error?</v>
      </c>
    </row>
    <row r="3233" spans="1:4" x14ac:dyDescent="0.2">
      <c r="A3233" s="5">
        <v>3172</v>
      </c>
      <c r="B3233" s="138">
        <f>'Acct Summary 7-8'!C78</f>
        <v>393504</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10944</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17762</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23646</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10841</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28</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45573</v>
      </c>
      <c r="C3320" s="2" t="s">
        <v>573</v>
      </c>
      <c r="D3320" s="2" t="str">
        <f t="shared" si="50"/>
        <v>Error?</v>
      </c>
    </row>
    <row r="3321" spans="1:4" x14ac:dyDescent="0.2">
      <c r="A3321" s="5">
        <v>3260</v>
      </c>
      <c r="B3321" s="138">
        <f>'Acct Summary 7-8'!I79</f>
        <v>338784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384357</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211971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54102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1586</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1140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268799</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11678</v>
      </c>
      <c r="D3387" s="2" t="str">
        <f t="shared" si="51"/>
        <v>Error?</v>
      </c>
    </row>
    <row r="3388" spans="1:4" x14ac:dyDescent="0.2">
      <c r="A3388" s="5">
        <v>3327</v>
      </c>
      <c r="B3388" s="138">
        <f>'Expenditures 15-22'!D217</f>
        <v>15480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11678</v>
      </c>
      <c r="C3390" s="2" t="s">
        <v>573</v>
      </c>
      <c r="D3390" s="2" t="str">
        <f t="shared" si="51"/>
        <v>Error?</v>
      </c>
    </row>
    <row r="3391" spans="1:4" x14ac:dyDescent="0.2">
      <c r="A3391" s="5">
        <v>3330</v>
      </c>
      <c r="B3391" s="138">
        <f>'Expenditures 15-22'!K217</f>
        <v>15480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1234291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237869</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154409</v>
      </c>
      <c r="D3417" s="2" t="str">
        <f t="shared" si="52"/>
        <v>Error?</v>
      </c>
    </row>
    <row r="3418" spans="1:4" x14ac:dyDescent="0.2">
      <c r="A3418" s="10">
        <v>3357</v>
      </c>
      <c r="D3418" s="2" t="str">
        <f t="shared" si="52"/>
        <v>OK</v>
      </c>
    </row>
    <row r="3419" spans="1:4" x14ac:dyDescent="0.2">
      <c r="A3419" s="5">
        <v>3358</v>
      </c>
      <c r="B3419" s="138">
        <f>'Assets-Liab 5-6'!F4</f>
        <v>440266</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105455</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18402</v>
      </c>
      <c r="D3425" s="2" t="str">
        <f t="shared" si="52"/>
        <v>Error?</v>
      </c>
    </row>
    <row r="3426" spans="1:4" x14ac:dyDescent="0.2">
      <c r="A3426" s="10">
        <v>3365</v>
      </c>
      <c r="D3426" s="2" t="str">
        <f t="shared" si="52"/>
        <v>OK</v>
      </c>
    </row>
    <row r="3427" spans="1:4" x14ac:dyDescent="0.2">
      <c r="A3427" s="5">
        <v>3366</v>
      </c>
      <c r="B3427" s="138">
        <f>'Assets-Liab 5-6'!I4</f>
        <v>384357</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42133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49916</v>
      </c>
      <c r="C3446" s="2" t="s">
        <v>573</v>
      </c>
      <c r="D3446" s="2" t="str">
        <f t="shared" si="52"/>
        <v>Error?</v>
      </c>
    </row>
    <row r="3447" spans="1:4" x14ac:dyDescent="0.2">
      <c r="A3447" s="5">
        <v>3386</v>
      </c>
      <c r="B3447" s="138">
        <f>'Tax Sched 23'!D16</f>
        <v>49916</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50000</v>
      </c>
      <c r="C3449" s="2" t="s">
        <v>573</v>
      </c>
      <c r="D3449" s="2" t="str">
        <f t="shared" si="52"/>
        <v>Error?</v>
      </c>
    </row>
    <row r="3450" spans="1:4" x14ac:dyDescent="0.2">
      <c r="A3450" s="5">
        <v>3389</v>
      </c>
      <c r="B3450" s="138">
        <f>'Tax Sched 23'!E16</f>
        <v>50000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10000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10000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10000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600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49957</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49957</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49957</v>
      </c>
      <c r="D3567" s="2" t="str">
        <f t="shared" si="54"/>
        <v>Error?</v>
      </c>
    </row>
    <row r="3568" spans="1:4" x14ac:dyDescent="0.2">
      <c r="A3568" s="5">
        <v>3507</v>
      </c>
      <c r="B3568" s="138">
        <f>'Assets-Liab 5-6'!K41</f>
        <v>49957</v>
      </c>
      <c r="C3568" s="2" t="s">
        <v>573</v>
      </c>
      <c r="D3568" s="2" t="str">
        <f t="shared" si="54"/>
        <v>Error?</v>
      </c>
    </row>
    <row r="3569" spans="1:4" x14ac:dyDescent="0.2">
      <c r="A3569" s="5">
        <v>3508</v>
      </c>
      <c r="B3569" s="138">
        <f>'Acct Summary 7-8'!K4</f>
        <v>39302</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39302</v>
      </c>
      <c r="C3571" s="2" t="s">
        <v>573</v>
      </c>
      <c r="D3571" s="2" t="str">
        <f t="shared" si="54"/>
        <v>Error?</v>
      </c>
    </row>
    <row r="3572" spans="1:4" x14ac:dyDescent="0.2">
      <c r="A3572" s="5">
        <v>3511</v>
      </c>
      <c r="B3572" s="138">
        <f>'Acct Summary 7-8'!K13</f>
        <v>19607</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19607</v>
      </c>
      <c r="C3575" s="2" t="s">
        <v>573</v>
      </c>
      <c r="D3575" s="2" t="str">
        <f t="shared" si="54"/>
        <v>Error?</v>
      </c>
    </row>
    <row r="3576" spans="1:4" x14ac:dyDescent="0.2">
      <c r="A3576" s="5">
        <v>3515</v>
      </c>
      <c r="B3576" s="138">
        <f>'Acct Summary 7-8'!K20</f>
        <v>19695</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19695</v>
      </c>
      <c r="C3588" s="2" t="s">
        <v>573</v>
      </c>
      <c r="D3588" s="2" t="str">
        <f t="shared" si="55"/>
        <v>Error?</v>
      </c>
    </row>
    <row r="3589" spans="1:4" x14ac:dyDescent="0.2">
      <c r="A3589" s="5">
        <v>3528</v>
      </c>
      <c r="B3589" s="138">
        <f>'Acct Summary 7-8'!K79</f>
        <v>30262</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49957</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16996</v>
      </c>
      <c r="D3618" s="2" t="str">
        <f t="shared" si="55"/>
        <v>Error?</v>
      </c>
    </row>
    <row r="3619" spans="1:4" x14ac:dyDescent="0.2">
      <c r="A3619" s="5">
        <v>3558</v>
      </c>
      <c r="B3619" s="138">
        <f>'Expenditures 15-22'!C350</f>
        <v>16996</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16996</v>
      </c>
      <c r="C3621" s="2" t="s">
        <v>573</v>
      </c>
      <c r="D3621" s="2" t="str">
        <f t="shared" si="55"/>
        <v>Error?</v>
      </c>
    </row>
    <row r="3622" spans="1:4" x14ac:dyDescent="0.2">
      <c r="A3622" s="5">
        <v>3561</v>
      </c>
      <c r="B3622" s="138">
        <f>'Expenditures 15-22'!C367</f>
        <v>16996</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1461</v>
      </c>
      <c r="D3625" s="2" t="str">
        <f t="shared" si="55"/>
        <v>Error?</v>
      </c>
    </row>
    <row r="3626" spans="1:4" x14ac:dyDescent="0.2">
      <c r="A3626" s="5">
        <v>3565</v>
      </c>
      <c r="B3626" s="138">
        <f>'Expenditures 15-22'!D350</f>
        <v>1461</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1461</v>
      </c>
      <c r="C3628" s="2" t="s">
        <v>573</v>
      </c>
      <c r="D3628" s="2" t="str">
        <f t="shared" si="55"/>
        <v>Error?</v>
      </c>
    </row>
    <row r="3629" spans="1:4" x14ac:dyDescent="0.2">
      <c r="A3629" s="5">
        <v>3568</v>
      </c>
      <c r="B3629" s="138">
        <f>'Expenditures 15-22'!D367</f>
        <v>1461</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1022</v>
      </c>
      <c r="D3632" s="2" t="str">
        <f t="shared" si="55"/>
        <v>Error?</v>
      </c>
    </row>
    <row r="3633" spans="1:4" x14ac:dyDescent="0.2">
      <c r="A3633" s="5">
        <v>3572</v>
      </c>
      <c r="B3633" s="138">
        <f>'Expenditures 15-22'!E350</f>
        <v>1022</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1022</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128</v>
      </c>
      <c r="D3639" s="2" t="str">
        <f t="shared" si="55"/>
        <v>Error?</v>
      </c>
    </row>
    <row r="3640" spans="1:4" x14ac:dyDescent="0.2">
      <c r="A3640" s="5">
        <v>3579</v>
      </c>
      <c r="B3640" s="138">
        <f>'Expenditures 15-22'!F350</f>
        <v>128</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128</v>
      </c>
      <c r="C3642" s="2" t="s">
        <v>573</v>
      </c>
      <c r="D3642" s="2" t="str">
        <f t="shared" si="55"/>
        <v>Error?</v>
      </c>
    </row>
    <row r="3643" spans="1:4" x14ac:dyDescent="0.2">
      <c r="A3643" s="5">
        <v>3582</v>
      </c>
      <c r="B3643" s="138">
        <f>'Expenditures 15-22'!F367</f>
        <v>128</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19607</v>
      </c>
      <c r="C3669" s="2" t="s">
        <v>573</v>
      </c>
      <c r="D3669" s="2" t="str">
        <f t="shared" si="56"/>
        <v>Error?</v>
      </c>
    </row>
    <row r="3670" spans="1:4" x14ac:dyDescent="0.2">
      <c r="A3670" s="5">
        <v>3609</v>
      </c>
      <c r="B3670" s="138">
        <f>'Expenditures 15-22'!K350</f>
        <v>19607</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19607</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19607</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19695</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19970</v>
      </c>
      <c r="C3725" s="2" t="s">
        <v>573</v>
      </c>
      <c r="D3725" s="2" t="str">
        <f t="shared" si="57"/>
        <v>Error?</v>
      </c>
    </row>
    <row r="3726" spans="1:4" x14ac:dyDescent="0.2">
      <c r="A3726" s="5">
        <v>3665</v>
      </c>
      <c r="B3726" s="138">
        <f>'Tax Sched 23'!D13</f>
        <v>19970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40000</v>
      </c>
      <c r="C3728" s="2" t="s">
        <v>573</v>
      </c>
      <c r="D3728" s="2" t="str">
        <f t="shared" si="57"/>
        <v>Error?</v>
      </c>
    </row>
    <row r="3729" spans="1:4" x14ac:dyDescent="0.2">
      <c r="A3729" s="5">
        <v>3668</v>
      </c>
      <c r="B3729" s="138">
        <f>'Tax Sched 23'!E13</f>
        <v>40000</v>
      </c>
      <c r="D3729" s="2" t="str">
        <f t="shared" si="57"/>
        <v>Error?</v>
      </c>
    </row>
    <row r="3730" spans="1:4" x14ac:dyDescent="0.2">
      <c r="A3730" s="5">
        <v>3669</v>
      </c>
      <c r="B3730" s="138">
        <f>'ICR Computation 30'!E10</f>
        <v>69576</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961988</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3309799</v>
      </c>
      <c r="C4122" s="2" t="s">
        <v>573</v>
      </c>
      <c r="D4122" s="2" t="str">
        <f t="shared" si="63"/>
        <v>Error?</v>
      </c>
    </row>
    <row r="4123" spans="1:4" x14ac:dyDescent="0.2">
      <c r="A4123" s="5">
        <v>4062</v>
      </c>
      <c r="B4123" s="138">
        <f>'Acct Summary 7-8'!D10</f>
        <v>198109</v>
      </c>
      <c r="C4123" s="2" t="s">
        <v>573</v>
      </c>
      <c r="D4123" s="2" t="str">
        <f t="shared" si="63"/>
        <v>Error?</v>
      </c>
    </row>
    <row r="4124" spans="1:4" x14ac:dyDescent="0.2">
      <c r="A4124" s="5">
        <v>4063</v>
      </c>
      <c r="B4124" s="138">
        <f>'Acct Summary 7-8'!E10</f>
        <v>199696</v>
      </c>
      <c r="C4124" s="2" t="s">
        <v>573</v>
      </c>
      <c r="D4124" s="2" t="str">
        <f t="shared" si="63"/>
        <v>Error?</v>
      </c>
    </row>
    <row r="4125" spans="1:4" x14ac:dyDescent="0.2">
      <c r="A4125" s="5">
        <v>4064</v>
      </c>
      <c r="B4125" s="138">
        <f>'Acct Summary 7-8'!F10</f>
        <v>198411</v>
      </c>
      <c r="C4125" s="2" t="s">
        <v>573</v>
      </c>
      <c r="D4125" s="2" t="str">
        <f t="shared" si="63"/>
        <v>Error?</v>
      </c>
    </row>
    <row r="4126" spans="1:4" x14ac:dyDescent="0.2">
      <c r="A4126" s="5">
        <v>4065</v>
      </c>
      <c r="B4126" s="138">
        <f>'Acct Summary 7-8'!G10</f>
        <v>100006</v>
      </c>
      <c r="C4126" s="2" t="s">
        <v>573</v>
      </c>
      <c r="D4126" s="2" t="str">
        <f t="shared" si="63"/>
        <v>Error?</v>
      </c>
    </row>
    <row r="4127" spans="1:4" x14ac:dyDescent="0.2">
      <c r="A4127" s="5">
        <v>4066</v>
      </c>
      <c r="B4127" s="138">
        <f>'Acct Summary 7-8'!H10</f>
        <v>28</v>
      </c>
      <c r="C4127" s="2" t="s">
        <v>573</v>
      </c>
      <c r="D4127" s="2" t="str">
        <f t="shared" si="63"/>
        <v>Error?</v>
      </c>
    </row>
    <row r="4128" spans="1:4" x14ac:dyDescent="0.2">
      <c r="A4128" s="5">
        <v>4067</v>
      </c>
      <c r="B4128" s="138">
        <f>'Acct Summary 7-8'!I10</f>
        <v>45573</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39302</v>
      </c>
      <c r="C4130" s="2" t="s">
        <v>573</v>
      </c>
      <c r="D4130" s="2" t="str">
        <f t="shared" si="63"/>
        <v>Error?</v>
      </c>
    </row>
    <row r="4131" spans="1:4" x14ac:dyDescent="0.2">
      <c r="A4131" s="5">
        <v>4070</v>
      </c>
      <c r="B4131" s="138">
        <f>'Acct Summary 7-8'!C18</f>
        <v>961988</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2916895</v>
      </c>
      <c r="C4136" s="2" t="s">
        <v>573</v>
      </c>
      <c r="D4136" s="2" t="str">
        <f t="shared" si="63"/>
        <v>Error?</v>
      </c>
    </row>
    <row r="4137" spans="1:4" x14ac:dyDescent="0.2">
      <c r="A4137" s="5">
        <v>4076</v>
      </c>
      <c r="B4137" s="138">
        <f>'Acct Summary 7-8'!D19</f>
        <v>187165</v>
      </c>
      <c r="C4137" s="2" t="s">
        <v>573</v>
      </c>
      <c r="D4137" s="2" t="str">
        <f t="shared" si="63"/>
        <v>Error?</v>
      </c>
    </row>
    <row r="4138" spans="1:4" x14ac:dyDescent="0.2">
      <c r="A4138" s="5">
        <v>4077</v>
      </c>
      <c r="B4138" s="138">
        <f>'Acct Summary 7-8'!E19</f>
        <v>188855</v>
      </c>
      <c r="C4138" s="2" t="s">
        <v>573</v>
      </c>
      <c r="D4138" s="2" t="str">
        <f t="shared" si="63"/>
        <v>Error?</v>
      </c>
    </row>
    <row r="4139" spans="1:4" x14ac:dyDescent="0.2">
      <c r="A4139" s="5">
        <v>4078</v>
      </c>
      <c r="B4139" s="138">
        <f>'Acct Summary 7-8'!F19</f>
        <v>180649</v>
      </c>
      <c r="C4139" s="2" t="s">
        <v>573</v>
      </c>
      <c r="D4139" s="2" t="str">
        <f t="shared" si="63"/>
        <v>Error?</v>
      </c>
    </row>
    <row r="4140" spans="1:4" x14ac:dyDescent="0.2">
      <c r="A4140" s="5">
        <v>4079</v>
      </c>
      <c r="B4140" s="138">
        <f>'Acct Summary 7-8'!G19</f>
        <v>76360</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19607</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2175000</v>
      </c>
      <c r="C4171" s="2" t="s">
        <v>573</v>
      </c>
      <c r="D4171" s="2" t="str">
        <f t="shared" si="64"/>
        <v>Error?</v>
      </c>
    </row>
    <row r="4172" spans="1:4" x14ac:dyDescent="0.2">
      <c r="A4172" s="5">
        <v>4111</v>
      </c>
      <c r="B4172" s="138">
        <f>'Short-Term Long-Term Debt 24'!J49</f>
        <v>2020591</v>
      </c>
      <c r="C4172" s="2" t="s">
        <v>573</v>
      </c>
      <c r="D4172" s="2" t="str">
        <f t="shared" si="64"/>
        <v>Error?</v>
      </c>
    </row>
    <row r="4173" spans="1:4" x14ac:dyDescent="0.2">
      <c r="A4173" s="5">
        <v>4112</v>
      </c>
      <c r="B4173" s="138">
        <f>'Short-Term Long-Term Debt 24'!H49</f>
        <v>115000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1861.49</v>
      </c>
      <c r="C4265" s="2" t="s">
        <v>573</v>
      </c>
      <c r="D4265" s="2" t="str">
        <f t="shared" si="65"/>
        <v>Error?</v>
      </c>
      <c r="E4265" s="128"/>
    </row>
    <row r="4266" spans="1:5" x14ac:dyDescent="0.2">
      <c r="A4266" s="12">
        <v>4205</v>
      </c>
      <c r="B4266" s="138">
        <f>('FP Info 3'!F10)*100000</f>
        <v>248.2</v>
      </c>
      <c r="C4266" s="2" t="s">
        <v>573</v>
      </c>
      <c r="D4266" s="2" t="str">
        <f t="shared" si="65"/>
        <v>Error?</v>
      </c>
      <c r="E4266" s="128"/>
    </row>
    <row r="4267" spans="1:5" x14ac:dyDescent="0.2">
      <c r="A4267" s="12">
        <v>4206</v>
      </c>
      <c r="B4267" s="138">
        <f>('FP Info 3'!H10)*100000</f>
        <v>117.72799999999999</v>
      </c>
      <c r="C4267" s="2" t="s">
        <v>573</v>
      </c>
      <c r="D4267" s="2" t="str">
        <f t="shared" si="65"/>
        <v>Error?</v>
      </c>
      <c r="E4267" s="128"/>
    </row>
    <row r="4268" spans="1:5" x14ac:dyDescent="0.2">
      <c r="A4268" s="12">
        <v>4207</v>
      </c>
      <c r="B4268" s="138">
        <f>('FP Info 3'!J10)*100000</f>
        <v>2227</v>
      </c>
      <c r="C4268" s="2" t="s">
        <v>573</v>
      </c>
      <c r="D4268" s="2" t="str">
        <f t="shared" si="65"/>
        <v>Error?</v>
      </c>
    </row>
    <row r="4269" spans="1:5" x14ac:dyDescent="0.2">
      <c r="A4269" s="12">
        <v>4208</v>
      </c>
      <c r="B4269" s="138">
        <f>'FP Info 3'!J16</f>
        <v>2808357</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5719</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9277</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49.64</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80580904</v>
      </c>
      <c r="D4995" s="2" t="str">
        <f t="shared" si="77"/>
        <v>Error?</v>
      </c>
    </row>
    <row r="4996" spans="1:4" x14ac:dyDescent="0.2">
      <c r="A4996" s="12">
        <v>4935</v>
      </c>
      <c r="B4996" s="138">
        <f>'FP Info 3'!H31</f>
        <v>5560082.3760000002</v>
      </c>
      <c r="D4996" s="2" t="str">
        <f t="shared" si="77"/>
        <v>Error?</v>
      </c>
    </row>
    <row r="4997" spans="1:4" x14ac:dyDescent="0.2">
      <c r="A4997" s="12">
        <v>4936</v>
      </c>
      <c r="B4997" s="138">
        <f>'FP Info 3'!H37</f>
        <v>2175000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19970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1483309</v>
      </c>
      <c r="D5061" s="2" t="str">
        <f t="shared" si="78"/>
        <v>Error?</v>
      </c>
    </row>
    <row r="5062" spans="1:4" x14ac:dyDescent="0.2">
      <c r="A5062" s="10">
        <v>5001</v>
      </c>
      <c r="D5062" s="2" t="str">
        <f t="shared" si="78"/>
        <v>OK</v>
      </c>
    </row>
    <row r="5063" spans="1:4" x14ac:dyDescent="0.2">
      <c r="A5063" s="5">
        <v>5002</v>
      </c>
      <c r="B5063" s="138">
        <f>'Revenues 9-14'!C7</f>
        <v>15614</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1518893</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123117</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123117</v>
      </c>
      <c r="C5071" s="2" t="s">
        <v>573</v>
      </c>
      <c r="D5071" s="2" t="str">
        <f t="shared" si="78"/>
        <v>Error?</v>
      </c>
    </row>
    <row r="5072" spans="1:4" x14ac:dyDescent="0.2">
      <c r="A5072" s="5">
        <v>5011</v>
      </c>
      <c r="B5072" s="138">
        <f>'Revenues 9-14'!C20</f>
        <v>34705</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1545</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36250</v>
      </c>
      <c r="C5087" s="2" t="s">
        <v>573</v>
      </c>
      <c r="D5087" s="2" t="str">
        <f t="shared" si="78"/>
        <v>Error?</v>
      </c>
    </row>
    <row r="5088" spans="1:4" x14ac:dyDescent="0.2">
      <c r="A5088" s="5">
        <v>5027</v>
      </c>
      <c r="B5088" s="138">
        <f>'Revenues 9-14'!C65</f>
        <v>19804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19804</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1964</v>
      </c>
      <c r="D5094" s="2" t="str">
        <f t="shared" si="78"/>
        <v>Error?</v>
      </c>
    </row>
    <row r="5095" spans="1:4" x14ac:dyDescent="0.2">
      <c r="A5095" s="5">
        <v>5034</v>
      </c>
      <c r="B5095" s="138">
        <f>'Revenues 9-14'!C74</f>
        <v>0</v>
      </c>
      <c r="D5095" s="2" t="str">
        <f t="shared" si="78"/>
        <v>Error?</v>
      </c>
    </row>
    <row r="5096" spans="1:4" x14ac:dyDescent="0.2">
      <c r="A5096" s="5">
        <v>5035</v>
      </c>
      <c r="B5096" s="138">
        <f>'Revenues 9-14'!C75</f>
        <v>56373</v>
      </c>
      <c r="C5096" s="2" t="s">
        <v>573</v>
      </c>
      <c r="D5096" s="2" t="str">
        <f t="shared" si="78"/>
        <v>Error?</v>
      </c>
    </row>
    <row r="5097" spans="1:4" x14ac:dyDescent="0.2">
      <c r="A5097" s="5">
        <v>5036</v>
      </c>
      <c r="B5097" s="138">
        <f>'Revenues 9-14'!C77</f>
        <v>5741</v>
      </c>
      <c r="D5097" s="2" t="str">
        <f t="shared" si="78"/>
        <v>Error?</v>
      </c>
    </row>
    <row r="5098" spans="1:4" x14ac:dyDescent="0.2">
      <c r="A5098" s="5">
        <v>5037</v>
      </c>
      <c r="B5098" s="138">
        <f>'Revenues 9-14'!C78</f>
        <v>0</v>
      </c>
      <c r="D5098" s="2" t="str">
        <f t="shared" si="78"/>
        <v>Error?</v>
      </c>
    </row>
    <row r="5099" spans="1:4" x14ac:dyDescent="0.2">
      <c r="A5099" s="5">
        <v>5038</v>
      </c>
      <c r="B5099" s="138">
        <f>'Revenues 9-14'!C79</f>
        <v>4540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35</v>
      </c>
      <c r="D5101" s="2" t="str">
        <f t="shared" si="78"/>
        <v>Error?</v>
      </c>
    </row>
    <row r="5102" spans="1:4" x14ac:dyDescent="0.2">
      <c r="A5102" s="5">
        <v>5041</v>
      </c>
      <c r="B5102" s="138">
        <f>'Revenues 9-14'!C82</f>
        <v>10316</v>
      </c>
      <c r="C5102" s="2" t="s">
        <v>573</v>
      </c>
      <c r="D5102" s="2" t="str">
        <f t="shared" si="78"/>
        <v>Error?</v>
      </c>
    </row>
    <row r="5103" spans="1:4" x14ac:dyDescent="0.2">
      <c r="A5103" s="5">
        <v>5042</v>
      </c>
      <c r="B5103" s="138">
        <f>'Revenues 9-14'!C84</f>
        <v>13825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13825</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7840</v>
      </c>
      <c r="D5114" s="2" t="str">
        <f t="shared" si="78"/>
        <v>Error?</v>
      </c>
    </row>
    <row r="5115" spans="1:4" x14ac:dyDescent="0.2">
      <c r="A5115" s="5">
        <v>5054</v>
      </c>
      <c r="B5115" s="138">
        <f>'Revenues 9-14'!C98</f>
        <v>14132</v>
      </c>
      <c r="D5115" s="2" t="str">
        <f t="shared" si="78"/>
        <v>Error?</v>
      </c>
    </row>
    <row r="5116" spans="1:4" x14ac:dyDescent="0.2">
      <c r="A5116" s="5">
        <v>5055</v>
      </c>
      <c r="B5116" s="138">
        <f>'Revenues 9-14'!C99</f>
        <v>1225</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11658</v>
      </c>
      <c r="D5119" s="2" t="str">
        <f t="shared" ref="D5119:D5182" si="79">IF(ISBLANK(B5119),"OK",IF(A5119-B5119=0,"OK","Error?"))</f>
        <v>Error?</v>
      </c>
    </row>
    <row r="5120" spans="1:4" x14ac:dyDescent="0.2">
      <c r="A5120" s="5">
        <v>5059</v>
      </c>
      <c r="B5120" s="138">
        <f>'Revenues 9-14'!C108</f>
        <v>34855</v>
      </c>
      <c r="C5120" s="2" t="s">
        <v>573</v>
      </c>
      <c r="D5120" s="2" t="str">
        <f t="shared" si="79"/>
        <v>Error?</v>
      </c>
    </row>
    <row r="5121" spans="1:4" x14ac:dyDescent="0.2">
      <c r="A5121" s="5">
        <v>5060</v>
      </c>
      <c r="B5121" s="138">
        <f>'Revenues 9-14'!C109</f>
        <v>1813433</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297290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297290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26837</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26837</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1406</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28243</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325533</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62910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17864</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80774</v>
      </c>
      <c r="C5246" s="2" t="s">
        <v>573</v>
      </c>
      <c r="D5246" s="2" t="str">
        <f t="shared" si="80"/>
        <v>Error?</v>
      </c>
    </row>
    <row r="5247" spans="1:4" x14ac:dyDescent="0.2">
      <c r="A5247" s="5">
        <v>5186</v>
      </c>
      <c r="B5247" s="138">
        <f>'Revenues 9-14'!C200</f>
        <v>33800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5719</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33800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6405</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72870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79275</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208845</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208845</v>
      </c>
      <c r="C5326" s="2" t="s">
        <v>573</v>
      </c>
      <c r="D5326" s="2" t="str">
        <f t="shared" si="82"/>
        <v>Error?</v>
      </c>
    </row>
    <row r="5327" spans="1:5" x14ac:dyDescent="0.2">
      <c r="A5327" s="5">
        <v>5266</v>
      </c>
      <c r="B5327" s="138">
        <f>'Revenues 9-14'!C268</f>
        <v>2347811</v>
      </c>
      <c r="C5327" s="2" t="s">
        <v>573</v>
      </c>
      <c r="D5327" s="2" t="str">
        <f t="shared" si="82"/>
        <v>Error?</v>
      </c>
    </row>
    <row r="5328" spans="1:5" x14ac:dyDescent="0.2">
      <c r="A5328" s="5">
        <v>5267</v>
      </c>
      <c r="B5328" s="138">
        <f>'Revenues 9-14'!D5</f>
        <v>195171</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195171</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2028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2028</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910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910</v>
      </c>
      <c r="C5355" s="2" t="s">
        <v>573</v>
      </c>
      <c r="D5355" s="2" t="str">
        <f t="shared" si="82"/>
        <v>Error?</v>
      </c>
    </row>
    <row r="5356" spans="1:4" x14ac:dyDescent="0.2">
      <c r="A5356" s="5">
        <v>5295</v>
      </c>
      <c r="B5356" s="138">
        <f>'Revenues 9-14'!D109</f>
        <v>198109</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198109</v>
      </c>
      <c r="C5508" s="2" t="s">
        <v>573</v>
      </c>
      <c r="D5508" s="2" t="str">
        <f t="shared" si="85"/>
        <v>Error?</v>
      </c>
    </row>
    <row r="5509" spans="1:4" x14ac:dyDescent="0.2">
      <c r="A5509" s="5">
        <v>5448</v>
      </c>
      <c r="B5509" s="138">
        <f>'Revenues 9-14'!E5</f>
        <v>70646</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70646</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820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820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128230</v>
      </c>
      <c r="C5526" s="2" t="s">
        <v>573</v>
      </c>
      <c r="D5526" s="2" t="str">
        <f t="shared" si="85"/>
        <v>Error?</v>
      </c>
    </row>
    <row r="5527" spans="1:4" x14ac:dyDescent="0.2">
      <c r="A5527" s="5">
        <v>5466</v>
      </c>
      <c r="B5527" s="138">
        <f>'Revenues 9-14'!E109</f>
        <v>199696</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199696</v>
      </c>
      <c r="C5552" s="2" t="s">
        <v>573</v>
      </c>
      <c r="D5552" s="2" t="str">
        <f t="shared" si="85"/>
        <v>Error?</v>
      </c>
    </row>
    <row r="5553" spans="1:4" x14ac:dyDescent="0.2">
      <c r="A5553" s="5">
        <v>5492</v>
      </c>
      <c r="B5553" s="138">
        <f>'Revenues 9-14'!F5</f>
        <v>93682</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93682</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3476</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3476</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360</v>
      </c>
      <c r="D5586" s="2" t="str">
        <f t="shared" si="86"/>
        <v>Error?</v>
      </c>
    </row>
    <row r="5587" spans="1:4" x14ac:dyDescent="0.2">
      <c r="A5587" s="5">
        <v>5526</v>
      </c>
      <c r="B5587" s="138">
        <f>'Revenues 9-14'!F108</f>
        <v>360</v>
      </c>
      <c r="C5587" s="2" t="s">
        <v>573</v>
      </c>
      <c r="D5587" s="2" t="str">
        <f t="shared" si="86"/>
        <v>Error?</v>
      </c>
    </row>
    <row r="5588" spans="1:4" x14ac:dyDescent="0.2">
      <c r="A5588" s="5">
        <v>5527</v>
      </c>
      <c r="B5588" s="138">
        <f>'Revenues 9-14'!F109</f>
        <v>97518</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85739</v>
      </c>
      <c r="D5615" s="2" t="str">
        <f t="shared" si="86"/>
        <v>Error?</v>
      </c>
    </row>
    <row r="5616" spans="1:4" x14ac:dyDescent="0.2">
      <c r="A5616" s="10">
        <v>5555</v>
      </c>
      <c r="D5616" s="2" t="str">
        <f t="shared" si="86"/>
        <v>OK</v>
      </c>
    </row>
    <row r="5617" spans="1:5" x14ac:dyDescent="0.2">
      <c r="A5617" s="5">
        <v>5556</v>
      </c>
      <c r="B5617" s="138">
        <f>'Revenues 9-14'!F153</f>
        <v>15154</v>
      </c>
      <c r="D5617" s="2" t="str">
        <f t="shared" si="86"/>
        <v>Error?</v>
      </c>
    </row>
    <row r="5618" spans="1:5" x14ac:dyDescent="0.2">
      <c r="A5618" s="5">
        <v>5557</v>
      </c>
      <c r="B5618" s="138">
        <f>'Revenues 9-14'!F155</f>
        <v>100893</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100893</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100893</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198411</v>
      </c>
      <c r="C5720" s="2" t="s">
        <v>573</v>
      </c>
      <c r="D5720" s="2" t="str">
        <f t="shared" si="88"/>
        <v>Error?</v>
      </c>
    </row>
    <row r="5721" spans="1:4" x14ac:dyDescent="0.2">
      <c r="A5721" s="5">
        <v>5660</v>
      </c>
      <c r="B5721" s="138">
        <f>'Revenues 9-14'!G5</f>
        <v>39931</v>
      </c>
      <c r="D5721" s="2" t="str">
        <f t="shared" si="88"/>
        <v>Error?</v>
      </c>
    </row>
    <row r="5722" spans="1:4" x14ac:dyDescent="0.2">
      <c r="A5722" s="5">
        <v>5661</v>
      </c>
      <c r="B5722" s="138">
        <f>'Revenues 9-14'!G7</f>
        <v>0</v>
      </c>
      <c r="D5722" s="2" t="str">
        <f t="shared" si="88"/>
        <v>Error?</v>
      </c>
    </row>
    <row r="5723" spans="1:4" x14ac:dyDescent="0.2">
      <c r="A5723" s="5">
        <v>5662</v>
      </c>
      <c r="B5723" s="138">
        <f>'Revenues 9-14'!G8</f>
        <v>49916</v>
      </c>
      <c r="D5723" s="2" t="str">
        <f t="shared" si="88"/>
        <v>Error?</v>
      </c>
    </row>
    <row r="5724" spans="1:4" x14ac:dyDescent="0.2">
      <c r="A5724" s="5">
        <v>5663</v>
      </c>
      <c r="B5724" s="138">
        <f>'Revenues 9-14'!G11</f>
        <v>0</v>
      </c>
      <c r="D5724" s="2" t="str">
        <f t="shared" si="88"/>
        <v>Error?</v>
      </c>
    </row>
    <row r="5725" spans="1:4" x14ac:dyDescent="0.2">
      <c r="A5725" s="5">
        <v>5664</v>
      </c>
      <c r="B5725" s="138">
        <f>'Revenues 9-14'!G12</f>
        <v>89847</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8105</v>
      </c>
      <c r="D5728" s="2" t="str">
        <f t="shared" si="88"/>
        <v>Error?</v>
      </c>
    </row>
    <row r="5729" spans="1:4" x14ac:dyDescent="0.2">
      <c r="A5729" s="5">
        <v>5668</v>
      </c>
      <c r="B5729" s="138">
        <f>'Revenues 9-14'!G17</f>
        <v>0</v>
      </c>
      <c r="D5729" s="2" t="str">
        <f t="shared" si="88"/>
        <v>Error?</v>
      </c>
    </row>
    <row r="5730" spans="1:4" x14ac:dyDescent="0.2">
      <c r="A5730" s="5">
        <v>5669</v>
      </c>
      <c r="B5730" s="138">
        <f>'Revenues 9-14'!G18</f>
        <v>8105</v>
      </c>
      <c r="C5730" s="2" t="s">
        <v>573</v>
      </c>
      <c r="D5730" s="2" t="str">
        <f t="shared" si="88"/>
        <v>Error?</v>
      </c>
    </row>
    <row r="5731" spans="1:4" x14ac:dyDescent="0.2">
      <c r="A5731" s="5">
        <v>5670</v>
      </c>
      <c r="B5731" s="138">
        <f>'Revenues 9-14'!G65</f>
        <v>2054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2054</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100006</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28</v>
      </c>
      <c r="D5879" s="2" t="str">
        <f t="shared" si="90"/>
        <v>Error?</v>
      </c>
    </row>
    <row r="5880" spans="1:4" x14ac:dyDescent="0.2">
      <c r="A5880" s="5">
        <v>5819</v>
      </c>
      <c r="B5880" s="138">
        <f>'Revenues 9-14'!H66</f>
        <v>0</v>
      </c>
      <c r="D5880" s="2" t="str">
        <f t="shared" si="90"/>
        <v>Error?</v>
      </c>
    </row>
    <row r="5881" spans="1:4" x14ac:dyDescent="0.2">
      <c r="A5881" s="5">
        <v>5820</v>
      </c>
      <c r="B5881" s="138">
        <f>'Revenues 9-14'!H67</f>
        <v>28</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28</v>
      </c>
      <c r="C5915" s="2" t="s">
        <v>573</v>
      </c>
      <c r="D5915" s="2" t="str">
        <f t="shared" si="91"/>
        <v>Error?</v>
      </c>
    </row>
    <row r="5916" spans="1:4" x14ac:dyDescent="0.2">
      <c r="A5916" s="5">
        <v>5855</v>
      </c>
      <c r="B5916" s="138">
        <f>'Revenues 9-14'!I5</f>
        <v>39035</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39035</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6538</v>
      </c>
      <c r="D5924" s="2" t="str">
        <f t="shared" si="91"/>
        <v>Error?</v>
      </c>
    </row>
    <row r="5925" spans="1:4" x14ac:dyDescent="0.2">
      <c r="A5925" s="5">
        <v>5864</v>
      </c>
      <c r="B5925" s="138">
        <f>'Revenues 9-14'!I66</f>
        <v>0</v>
      </c>
      <c r="D5925" s="2" t="str">
        <f t="shared" si="91"/>
        <v>Error?</v>
      </c>
    </row>
    <row r="5926" spans="1:4" x14ac:dyDescent="0.2">
      <c r="A5926" s="5">
        <v>5865</v>
      </c>
      <c r="B5926" s="138">
        <f>'Revenues 9-14'!I67</f>
        <v>6538</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45573</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39035</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39035</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267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267</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39302</v>
      </c>
      <c r="C6023" s="2" t="s">
        <v>573</v>
      </c>
      <c r="D6023" s="2" t="str">
        <f t="shared" si="93"/>
        <v>Error?</v>
      </c>
    </row>
    <row r="6024" spans="1:5" x14ac:dyDescent="0.2">
      <c r="A6024" s="5">
        <v>5963</v>
      </c>
      <c r="B6024" s="138">
        <f>'Revenues 9-14'!G109</f>
        <v>100006</v>
      </c>
      <c r="C6024" s="2" t="s">
        <v>573</v>
      </c>
      <c r="D6024" s="2" t="str">
        <f t="shared" si="93"/>
        <v>Error?</v>
      </c>
    </row>
    <row r="6025" spans="1:5" x14ac:dyDescent="0.2">
      <c r="A6025" s="5">
        <v>5964</v>
      </c>
      <c r="B6025" s="138">
        <f>'Revenues 9-14'!H109</f>
        <v>28</v>
      </c>
      <c r="C6025" s="2" t="s">
        <v>573</v>
      </c>
      <c r="D6025" s="2" t="str">
        <f t="shared" si="93"/>
        <v>Error?</v>
      </c>
    </row>
    <row r="6026" spans="1:5" x14ac:dyDescent="0.2">
      <c r="A6026" s="5">
        <v>5965</v>
      </c>
      <c r="B6026" s="138">
        <f>'Revenues 9-14'!I109</f>
        <v>45573</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39302</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54409</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15542</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264.89999999999998</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108932</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108932</v>
      </c>
      <c r="D6215" s="2" t="str">
        <f t="shared" si="96"/>
        <v>Error?</v>
      </c>
      <c r="E6215" s="2" t="s">
        <v>190</v>
      </c>
    </row>
    <row r="6216" spans="1:5" x14ac:dyDescent="0.2">
      <c r="A6216">
        <v>6155</v>
      </c>
      <c r="B6216" s="138">
        <f>'Assets-Liab 5-6'!J41</f>
        <v>108932</v>
      </c>
      <c r="D6216" s="2" t="str">
        <f t="shared" si="96"/>
        <v>Error?</v>
      </c>
      <c r="E6216" s="2" t="s">
        <v>190</v>
      </c>
    </row>
    <row r="6217" spans="1:5" x14ac:dyDescent="0.2">
      <c r="A6217">
        <v>6156</v>
      </c>
      <c r="B6217" s="138">
        <f>'Assets-Liab 5-6'!J4</f>
        <v>108932</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103461</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103461</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103461</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73340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73340</v>
      </c>
      <c r="D6229" s="2" t="str">
        <f t="shared" si="96"/>
        <v>Error?</v>
      </c>
      <c r="E6229" s="2" t="s">
        <v>190</v>
      </c>
    </row>
    <row r="6230" spans="1:5" x14ac:dyDescent="0.2">
      <c r="A6230">
        <v>6169</v>
      </c>
      <c r="B6230" s="138">
        <f>'Acct Summary 7-8'!J20</f>
        <v>30121</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30121</v>
      </c>
      <c r="D6263" s="2" t="str">
        <f t="shared" si="96"/>
        <v>Error?</v>
      </c>
      <c r="E6263" s="2" t="s">
        <v>190</v>
      </c>
    </row>
    <row r="6264" spans="1:5" x14ac:dyDescent="0.2">
      <c r="A6264">
        <v>6203</v>
      </c>
      <c r="B6264" s="138">
        <f>'Acct Summary 7-8'!J79</f>
        <v>78811</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108932</v>
      </c>
      <c r="D6266" s="2" t="str">
        <f t="shared" si="96"/>
        <v>Error?</v>
      </c>
      <c r="E6266" s="2" t="s">
        <v>190</v>
      </c>
    </row>
    <row r="6267" spans="1:5" x14ac:dyDescent="0.2">
      <c r="A6267">
        <v>6206</v>
      </c>
      <c r="B6267" s="138">
        <f>'Acct Summary 7-8'!C82</f>
        <v>393504</v>
      </c>
      <c r="D6267" s="2" t="str">
        <f t="shared" si="96"/>
        <v>Error?</v>
      </c>
      <c r="E6267" s="2" t="s">
        <v>190</v>
      </c>
    </row>
    <row r="6268" spans="1:5" x14ac:dyDescent="0.2">
      <c r="A6268">
        <v>6207</v>
      </c>
      <c r="B6268" s="138">
        <f>'Acct Summary 7-8'!D82</f>
        <v>10944</v>
      </c>
      <c r="D6268" s="2" t="str">
        <f t="shared" si="96"/>
        <v>Error?</v>
      </c>
      <c r="E6268" s="2" t="s">
        <v>190</v>
      </c>
    </row>
    <row r="6269" spans="1:5" x14ac:dyDescent="0.2">
      <c r="A6269">
        <v>6208</v>
      </c>
      <c r="B6269" s="138">
        <f>'Acct Summary 7-8'!E82</f>
        <v>10841</v>
      </c>
      <c r="D6269" s="2" t="str">
        <f t="shared" si="96"/>
        <v>Error?</v>
      </c>
      <c r="E6269" s="2" t="s">
        <v>190</v>
      </c>
    </row>
    <row r="6270" spans="1:5" x14ac:dyDescent="0.2">
      <c r="A6270">
        <v>6209</v>
      </c>
      <c r="B6270" s="138">
        <f>'Acct Summary 7-8'!F82</f>
        <v>17762</v>
      </c>
      <c r="D6270" s="2" t="str">
        <f t="shared" si="96"/>
        <v>Error?</v>
      </c>
      <c r="E6270" s="2" t="s">
        <v>190</v>
      </c>
    </row>
    <row r="6271" spans="1:5" x14ac:dyDescent="0.2">
      <c r="A6271">
        <v>6210</v>
      </c>
      <c r="B6271" s="138">
        <f>'Acct Summary 7-8'!G82</f>
        <v>23646</v>
      </c>
      <c r="D6271" s="2" t="str">
        <f t="shared" ref="D6271:D6334" si="97">IF(ISBLANK(B6271),"OK",IF(A6271-B6271=0,"OK","Error?"))</f>
        <v>Error?</v>
      </c>
      <c r="E6271" s="2" t="s">
        <v>190</v>
      </c>
    </row>
    <row r="6272" spans="1:5" x14ac:dyDescent="0.2">
      <c r="A6272">
        <v>6211</v>
      </c>
      <c r="B6272" s="138">
        <f>'Acct Summary 7-8'!H82</f>
        <v>28</v>
      </c>
      <c r="D6272" s="2" t="str">
        <f t="shared" si="97"/>
        <v>Error?</v>
      </c>
      <c r="E6272" s="2" t="s">
        <v>190</v>
      </c>
    </row>
    <row r="6273" spans="1:5" x14ac:dyDescent="0.2">
      <c r="A6273">
        <v>6212</v>
      </c>
      <c r="B6273" s="138">
        <f>'Acct Summary 7-8'!I82</f>
        <v>45573</v>
      </c>
      <c r="D6273" s="2" t="str">
        <f t="shared" si="97"/>
        <v>Error?</v>
      </c>
      <c r="E6273" s="2" t="s">
        <v>190</v>
      </c>
    </row>
    <row r="6274" spans="1:5" x14ac:dyDescent="0.2">
      <c r="A6274">
        <v>6213</v>
      </c>
      <c r="B6274" s="138">
        <f>'Acct Summary 7-8'!J82</f>
        <v>30121</v>
      </c>
      <c r="D6274" s="2" t="str">
        <f t="shared" si="97"/>
        <v>Error?</v>
      </c>
      <c r="E6274" s="2" t="s">
        <v>190</v>
      </c>
    </row>
    <row r="6275" spans="1:5" x14ac:dyDescent="0.2">
      <c r="A6275">
        <v>6214</v>
      </c>
      <c r="B6275" s="138">
        <f>'Acct Summary 7-8'!K82</f>
        <v>19695</v>
      </c>
      <c r="D6275" s="2" t="str">
        <f t="shared" si="97"/>
        <v>Error?</v>
      </c>
      <c r="E6275" s="2" t="s">
        <v>190</v>
      </c>
    </row>
    <row r="6276" spans="1:5" x14ac:dyDescent="0.2">
      <c r="A6276">
        <v>6215</v>
      </c>
      <c r="B6276" s="138">
        <f>'Acct Summary 7-8'!C83</f>
        <v>0.22539199766304954</v>
      </c>
      <c r="D6276" s="2" t="str">
        <f t="shared" si="97"/>
        <v>Error?</v>
      </c>
      <c r="E6276" s="2" t="s">
        <v>190</v>
      </c>
    </row>
    <row r="6277" spans="1:5" x14ac:dyDescent="0.2">
      <c r="A6277">
        <v>6216</v>
      </c>
      <c r="B6277" s="138">
        <f>'Acct Summary 7-8'!D83</f>
        <v>4.6008517293131934E-2</v>
      </c>
      <c r="D6277" s="2" t="str">
        <f t="shared" si="97"/>
        <v>Error?</v>
      </c>
      <c r="E6277" s="2" t="s">
        <v>190</v>
      </c>
    </row>
    <row r="6278" spans="1:5" x14ac:dyDescent="0.2">
      <c r="A6278">
        <v>6217</v>
      </c>
      <c r="B6278" s="138">
        <f>'Acct Summary 7-8'!E83</f>
        <v>7.0209638039233468E-2</v>
      </c>
      <c r="D6278" s="2" t="str">
        <f t="shared" si="97"/>
        <v>Error?</v>
      </c>
      <c r="E6278" s="2" t="s">
        <v>190</v>
      </c>
    </row>
    <row r="6279" spans="1:5" x14ac:dyDescent="0.2">
      <c r="A6279">
        <v>6218</v>
      </c>
      <c r="B6279" s="138">
        <f>'Acct Summary 7-8'!F83</f>
        <v>4.0343792162011151E-2</v>
      </c>
      <c r="D6279" s="2" t="str">
        <f t="shared" si="97"/>
        <v>Error?</v>
      </c>
      <c r="E6279" s="2" t="s">
        <v>190</v>
      </c>
    </row>
    <row r="6280" spans="1:5" x14ac:dyDescent="0.2">
      <c r="A6280">
        <v>6219</v>
      </c>
      <c r="B6280" s="138">
        <f>'Acct Summary 7-8'!G83</f>
        <v>0.2242283438433455</v>
      </c>
      <c r="D6280" s="2" t="str">
        <f t="shared" si="97"/>
        <v>Error?</v>
      </c>
      <c r="E6280" s="2" t="s">
        <v>190</v>
      </c>
    </row>
    <row r="6281" spans="1:5" x14ac:dyDescent="0.2">
      <c r="A6281">
        <v>6220</v>
      </c>
      <c r="B6281" s="138">
        <f>'Acct Summary 7-8'!H83</f>
        <v>1.5215737419845669E-3</v>
      </c>
      <c r="D6281" s="2" t="str">
        <f t="shared" si="97"/>
        <v>Error?</v>
      </c>
      <c r="E6281" s="2" t="s">
        <v>190</v>
      </c>
    </row>
    <row r="6282" spans="1:5" x14ac:dyDescent="0.2">
      <c r="A6282">
        <v>6221</v>
      </c>
      <c r="B6282" s="138">
        <f>'Acct Summary 7-8'!I83</f>
        <v>0.11856945495984202</v>
      </c>
      <c r="D6282" s="2" t="str">
        <f t="shared" si="97"/>
        <v>Error?</v>
      </c>
      <c r="E6282" s="2" t="s">
        <v>190</v>
      </c>
    </row>
    <row r="6283" spans="1:5" x14ac:dyDescent="0.2">
      <c r="A6283">
        <v>6222</v>
      </c>
      <c r="B6283" s="138">
        <f>'Acct Summary 7-8'!J83</f>
        <v>0.27651195241067822</v>
      </c>
      <c r="D6283" s="2" t="str">
        <f t="shared" si="97"/>
        <v>Error?</v>
      </c>
      <c r="E6283" s="2" t="s">
        <v>190</v>
      </c>
    </row>
    <row r="6284" spans="1:5" x14ac:dyDescent="0.2">
      <c r="A6284">
        <v>6223</v>
      </c>
      <c r="B6284" s="138">
        <f>'Acct Summary 7-8'!K83</f>
        <v>0.39423904557919809</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102833</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102833</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510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510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118</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118</v>
      </c>
      <c r="D6351" s="2" t="str">
        <f t="shared" si="98"/>
        <v>Error?</v>
      </c>
      <c r="E6351" s="2" t="s">
        <v>190</v>
      </c>
    </row>
    <row r="6352" spans="1:5" x14ac:dyDescent="0.2">
      <c r="A6352">
        <v>6291</v>
      </c>
      <c r="B6352" s="138">
        <f>'Revenues 9-14'!J109</f>
        <v>103461</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17930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23442</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23066</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73340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103461</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257</v>
      </c>
      <c r="D7073" s="2" t="str">
        <f t="shared" si="109"/>
        <v>Error?</v>
      </c>
    </row>
    <row r="7074" spans="1:4" x14ac:dyDescent="0.2">
      <c r="A7074">
        <v>7013</v>
      </c>
      <c r="B7074" s="138">
        <f>'Expenditures 15-22'!K216</f>
        <v>257</v>
      </c>
      <c r="D7074" s="2" t="str">
        <f t="shared" si="109"/>
        <v>Error?</v>
      </c>
    </row>
    <row r="7075" spans="1:4" x14ac:dyDescent="0.2">
      <c r="A7075">
        <v>7014</v>
      </c>
      <c r="B7075" s="138">
        <f>'Expenditures 15-22'!D218</f>
        <v>254</v>
      </c>
      <c r="D7075" s="2" t="str">
        <f t="shared" si="109"/>
        <v>Error?</v>
      </c>
    </row>
    <row r="7076" spans="1:4" x14ac:dyDescent="0.2">
      <c r="A7076">
        <v>7015</v>
      </c>
      <c r="B7076" s="138">
        <f>'Expenditures 15-22'!K218</f>
        <v>254</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127</v>
      </c>
      <c r="D7093" s="2" t="str">
        <f t="shared" si="109"/>
        <v>Error?</v>
      </c>
    </row>
    <row r="7094" spans="1:4" x14ac:dyDescent="0.2">
      <c r="A7094">
        <v>7033</v>
      </c>
      <c r="B7094" s="138">
        <f>'Expenditures 15-22'!K254</f>
        <v>127</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20929</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20929</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3435</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3435</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34578</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34578</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9000</v>
      </c>
      <c r="D7172" s="2" t="str">
        <f t="shared" si="111"/>
        <v>Error?</v>
      </c>
    </row>
    <row r="7173" spans="1:4" x14ac:dyDescent="0.2">
      <c r="A7173">
        <v>7112</v>
      </c>
      <c r="B7173" s="138">
        <f>'Expenditures 15-22'!D325</f>
        <v>1995</v>
      </c>
      <c r="D7173" s="2" t="str">
        <f t="shared" si="111"/>
        <v>Error?</v>
      </c>
    </row>
    <row r="7174" spans="1:4" x14ac:dyDescent="0.2">
      <c r="A7174">
        <v>7113</v>
      </c>
      <c r="B7174" s="138">
        <f>'Expenditures 15-22'!E325</f>
        <v>282</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11277</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3121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3121</v>
      </c>
      <c r="D7198" s="2" t="str">
        <f t="shared" si="111"/>
        <v>Error?</v>
      </c>
    </row>
    <row r="7199" spans="1:4" x14ac:dyDescent="0.2">
      <c r="A7199">
        <v>7138</v>
      </c>
      <c r="B7199" s="138">
        <f>'Expenditures 15-22'!C330</f>
        <v>9000</v>
      </c>
      <c r="D7199" s="2" t="str">
        <f t="shared" si="111"/>
        <v>Error?</v>
      </c>
    </row>
    <row r="7200" spans="1:4" x14ac:dyDescent="0.2">
      <c r="A7200">
        <v>7139</v>
      </c>
      <c r="B7200" s="138">
        <f>'Expenditures 15-22'!D330</f>
        <v>1995</v>
      </c>
      <c r="D7200" s="2" t="str">
        <f t="shared" si="111"/>
        <v>Error?</v>
      </c>
    </row>
    <row r="7201" spans="1:4" x14ac:dyDescent="0.2">
      <c r="A7201">
        <v>7140</v>
      </c>
      <c r="B7201" s="138">
        <f>'Expenditures 15-22'!E330</f>
        <v>62345</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73340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9000</v>
      </c>
      <c r="D7216" s="2" t="str">
        <f t="shared" si="111"/>
        <v>Error?</v>
      </c>
    </row>
    <row r="7217" spans="1:4" x14ac:dyDescent="0.2">
      <c r="A7217">
        <v>7156</v>
      </c>
      <c r="B7217" s="138">
        <f>'Expenditures 15-22'!D342</f>
        <v>1995</v>
      </c>
      <c r="D7217" s="2" t="str">
        <f t="shared" si="111"/>
        <v>Error?</v>
      </c>
    </row>
    <row r="7218" spans="1:4" x14ac:dyDescent="0.2">
      <c r="A7218">
        <v>7157</v>
      </c>
      <c r="B7218" s="138">
        <f>'Expenditures 15-22'!E342</f>
        <v>62345</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73340</v>
      </c>
      <c r="D7224" s="2" t="str">
        <f t="shared" si="111"/>
        <v>Error?</v>
      </c>
    </row>
    <row r="7225" spans="1:4" x14ac:dyDescent="0.2">
      <c r="A7225">
        <v>7164</v>
      </c>
      <c r="B7225" s="138">
        <f>'Expenditures 15-22'!K343</f>
        <v>30121</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5367</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145</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17730</v>
      </c>
      <c r="D7251" s="2" t="str">
        <f t="shared" si="112"/>
        <v>Error?</v>
      </c>
    </row>
    <row r="7252" spans="1:4" x14ac:dyDescent="0.2">
      <c r="A7252">
        <f t="shared" si="113"/>
        <v>7191</v>
      </c>
      <c r="B7252" s="138">
        <f>'Expenditures 15-22'!D9</f>
        <v>5336</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151277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128230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128230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15614</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13230</v>
      </c>
      <c r="D7724" s="2" t="str">
        <f t="shared" si="126"/>
        <v>Error?</v>
      </c>
      <c r="E7724" s="2" t="s">
        <v>827</v>
      </c>
      <c r="F7724" s="2"/>
    </row>
    <row r="7725" spans="1:6" x14ac:dyDescent="0.2">
      <c r="A7725">
        <v>7664</v>
      </c>
      <c r="B7725" s="138">
        <f>'Rest Tax Levies-Tort Im 25'!J19</f>
        <v>115000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128230</v>
      </c>
      <c r="D7727" s="2" t="str">
        <f t="shared" si="126"/>
        <v>Error?</v>
      </c>
      <c r="E7727" s="2" t="s">
        <v>827</v>
      </c>
    </row>
    <row r="7728" spans="1:6" x14ac:dyDescent="0.2">
      <c r="A7728">
        <v>7667</v>
      </c>
      <c r="B7728" s="138">
        <f>'Revenues 9-14'!E103</f>
        <v>128230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128230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0</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0</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94281</v>
      </c>
      <c r="D7797" s="2" t="str">
        <f t="shared" si="127"/>
        <v>Error?</v>
      </c>
      <c r="E7797" s="4" t="s">
        <v>1903</v>
      </c>
    </row>
    <row r="7798" spans="1:5" x14ac:dyDescent="0.2">
      <c r="A7798">
        <v>7737</v>
      </c>
      <c r="B7798" s="138">
        <f>'Contracts Paid in CY 29'!F142</f>
        <v>50000</v>
      </c>
      <c r="D7798" s="2" t="str">
        <f t="shared" si="127"/>
        <v>Error?</v>
      </c>
      <c r="E7798" s="4" t="s">
        <v>1903</v>
      </c>
    </row>
    <row r="7799" spans="1:5" x14ac:dyDescent="0.2">
      <c r="A7799">
        <v>7738</v>
      </c>
      <c r="B7799" s="138">
        <f>'Contracts Paid in CY 29'!G142</f>
        <v>44281</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7" t="s">
        <v>1191</v>
      </c>
      <c r="B2" s="2387"/>
      <c r="C2" s="2387"/>
      <c r="D2" s="2387"/>
      <c r="E2" s="2387"/>
      <c r="F2" s="2387"/>
      <c r="G2" s="2387"/>
      <c r="H2" s="2387"/>
      <c r="I2" s="2387"/>
      <c r="J2" s="2387"/>
      <c r="K2" s="2387"/>
      <c r="L2" s="2387"/>
    </row>
    <row r="3" spans="1:29" ht="13.5" customHeight="1" x14ac:dyDescent="0.2">
      <c r="A3" s="2418" t="s">
        <v>1190</v>
      </c>
      <c r="B3" s="2418"/>
      <c r="C3" s="2418"/>
      <c r="D3" s="2418"/>
      <c r="E3" s="2418"/>
      <c r="F3" s="2418"/>
      <c r="G3" s="2418"/>
      <c r="H3" s="2418"/>
      <c r="I3" s="2418"/>
      <c r="J3" s="2418"/>
      <c r="K3" s="2418"/>
      <c r="L3" s="2418"/>
    </row>
    <row r="4" spans="1:29" ht="13.5" customHeight="1" x14ac:dyDescent="0.2">
      <c r="A4" s="2387" t="s">
        <v>1987</v>
      </c>
      <c r="B4" s="2408"/>
      <c r="C4" s="2408"/>
      <c r="D4" s="2408"/>
      <c r="E4" s="2408"/>
      <c r="F4" s="2408"/>
      <c r="G4" s="2408"/>
      <c r="H4" s="2408"/>
      <c r="I4" s="2408"/>
      <c r="J4" s="2408"/>
      <c r="K4" s="2408"/>
      <c r="L4" s="2408"/>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9" t="str">
        <f>COVER!A17</f>
        <v>Chester-East Lincoln Community CCSD 61</v>
      </c>
      <c r="B7" s="2410"/>
      <c r="C7" s="2410"/>
      <c r="D7" s="2411"/>
      <c r="E7" s="2412">
        <f>COVER!A13</f>
        <v>17054061004</v>
      </c>
      <c r="F7" s="2413"/>
      <c r="G7" s="2419">
        <f>COVER!T23</f>
        <v>65.027017999999998</v>
      </c>
      <c r="H7" s="2420"/>
      <c r="I7" s="2420"/>
      <c r="J7" s="2420"/>
      <c r="K7" s="2420"/>
      <c r="L7" s="2421"/>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22"/>
      <c r="B9" s="2423"/>
      <c r="C9" s="2423"/>
      <c r="D9" s="2423"/>
      <c r="E9" s="2423"/>
      <c r="F9" s="2424"/>
      <c r="G9" s="2393" t="str">
        <f>COVER!T13</f>
        <v>Koch Consultants, Ltd.</v>
      </c>
      <c r="H9" s="2425"/>
      <c r="I9" s="2425"/>
      <c r="J9" s="2425"/>
      <c r="K9" s="2425"/>
      <c r="L9" s="2426"/>
    </row>
    <row r="10" spans="1:29" ht="13.5" customHeight="1" x14ac:dyDescent="0.2">
      <c r="A10" s="2399" t="str">
        <f>COVER!A38</f>
        <v>Laura Irwin</v>
      </c>
      <c r="B10" s="2400"/>
      <c r="C10" s="2400"/>
      <c r="D10" s="2400"/>
      <c r="E10" s="2400"/>
      <c r="F10" s="2401"/>
      <c r="G10" s="2393" t="str">
        <f>COVER!T17</f>
        <v>PO Box 1400</v>
      </c>
      <c r="H10" s="2394"/>
      <c r="I10" s="2394"/>
      <c r="J10" s="2394"/>
      <c r="K10" s="2394"/>
      <c r="L10" s="2395"/>
    </row>
    <row r="11" spans="1:29" ht="13.5" customHeight="1" x14ac:dyDescent="0.2">
      <c r="A11" s="1184" t="s">
        <v>1519</v>
      </c>
      <c r="B11" s="1185"/>
      <c r="C11" s="1186"/>
      <c r="D11" s="1191"/>
      <c r="E11" s="1186"/>
      <c r="F11" s="1190"/>
      <c r="G11" s="2393" t="str">
        <f>COVER!T19</f>
        <v>Tremont</v>
      </c>
      <c r="H11" s="2394"/>
      <c r="I11" s="2394"/>
      <c r="J11" s="2394"/>
      <c r="K11" s="2394"/>
      <c r="L11" s="2395"/>
    </row>
    <row r="12" spans="1:29" ht="13.5" customHeight="1" x14ac:dyDescent="0.2">
      <c r="A12" s="2402" t="s">
        <v>1518</v>
      </c>
      <c r="B12" s="2403"/>
      <c r="C12" s="2403"/>
      <c r="D12" s="2403"/>
      <c r="E12" s="2403"/>
      <c r="F12" s="2404"/>
      <c r="G12" s="2396"/>
      <c r="H12" s="2397"/>
      <c r="I12" s="2397"/>
      <c r="J12" s="2397"/>
      <c r="K12" s="2397"/>
      <c r="L12" s="2398"/>
    </row>
    <row r="13" spans="1:29" ht="13.5" customHeight="1" x14ac:dyDescent="0.2">
      <c r="A13" s="2393"/>
      <c r="B13" s="2394"/>
      <c r="C13" s="2394"/>
      <c r="D13" s="2394"/>
      <c r="E13" s="2394"/>
      <c r="F13" s="2395"/>
      <c r="G13" s="2388" t="s">
        <v>1520</v>
      </c>
      <c r="H13" s="2389"/>
      <c r="I13" s="2405" t="str">
        <f>COVER!T25</f>
        <v>nate@kochconsultants.com</v>
      </c>
      <c r="J13" s="2406"/>
      <c r="K13" s="2406"/>
      <c r="L13" s="2407"/>
    </row>
    <row r="14" spans="1:29" ht="13.5" customHeight="1" x14ac:dyDescent="0.2">
      <c r="A14" s="2393" t="str">
        <f>COVER!A19</f>
        <v>1300 1500th Street</v>
      </c>
      <c r="B14" s="2394"/>
      <c r="C14" s="2394"/>
      <c r="D14" s="2394"/>
      <c r="E14" s="2394"/>
      <c r="F14" s="2395"/>
      <c r="G14" s="1195" t="s">
        <v>1185</v>
      </c>
      <c r="H14" s="1193"/>
      <c r="I14" s="1193"/>
      <c r="J14" s="1193"/>
      <c r="K14" s="1193"/>
      <c r="L14" s="1194"/>
    </row>
    <row r="15" spans="1:29" ht="13.5" customHeight="1" x14ac:dyDescent="0.2">
      <c r="A15" s="2393" t="str">
        <f>COVER!A21</f>
        <v>Lincoln</v>
      </c>
      <c r="B15" s="2394"/>
      <c r="C15" s="2394"/>
      <c r="D15" s="2394"/>
      <c r="E15" s="2394"/>
      <c r="F15" s="2395"/>
      <c r="G15" s="2390" t="str">
        <f>COVER!T15</f>
        <v>Nathan D. Koch</v>
      </c>
      <c r="H15" s="2391"/>
      <c r="I15" s="2391"/>
      <c r="J15" s="2391"/>
      <c r="K15" s="2391"/>
      <c r="L15" s="2392"/>
    </row>
    <row r="16" spans="1:29" ht="12.2" customHeight="1" x14ac:dyDescent="0.2">
      <c r="A16" s="2415">
        <f>COVER!A25</f>
        <v>62656</v>
      </c>
      <c r="B16" s="2416"/>
      <c r="C16" s="2416"/>
      <c r="D16" s="2416"/>
      <c r="E16" s="2416"/>
      <c r="F16" s="2417"/>
      <c r="G16" s="2427"/>
      <c r="H16" s="2428"/>
      <c r="I16" s="2428"/>
      <c r="J16" s="2428"/>
      <c r="K16" s="2428"/>
      <c r="L16" s="2429"/>
    </row>
    <row r="17" spans="1:13" ht="12.2" customHeight="1" x14ac:dyDescent="0.2">
      <c r="A17" s="2430"/>
      <c r="B17" s="2416"/>
      <c r="C17" s="2416"/>
      <c r="D17" s="2416"/>
      <c r="E17" s="2416"/>
      <c r="F17" s="2417"/>
      <c r="G17" s="1195" t="s">
        <v>1184</v>
      </c>
      <c r="H17" s="1193"/>
      <c r="I17" s="1193"/>
      <c r="J17" s="1193"/>
      <c r="K17" s="1197" t="s">
        <v>1183</v>
      </c>
      <c r="L17" s="1190"/>
      <c r="M17" s="1183"/>
    </row>
    <row r="18" spans="1:13" ht="12.2" customHeight="1" x14ac:dyDescent="0.2">
      <c r="A18" s="2399"/>
      <c r="B18" s="2400"/>
      <c r="C18" s="2400"/>
      <c r="D18" s="2400"/>
      <c r="E18" s="2400"/>
      <c r="F18" s="2401"/>
      <c r="G18" s="2409" t="str">
        <f>COVER!T21</f>
        <v>(309) 267-3796</v>
      </c>
      <c r="H18" s="2410"/>
      <c r="I18" s="2410"/>
      <c r="J18" s="2410"/>
      <c r="K18" s="2409" t="str">
        <f>COVER!X21</f>
        <v>(309) 216-3796</v>
      </c>
      <c r="L18" s="2414"/>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31" t="str">
        <f>'Single Audit Cover'!A7</f>
        <v>Chester-East Lincoln Community CCSD 61</v>
      </c>
      <c r="B1" s="2408"/>
      <c r="C1" s="2408"/>
      <c r="D1" s="2408"/>
    </row>
    <row r="2" spans="1:11" s="1212" customFormat="1" ht="12.75" x14ac:dyDescent="0.2">
      <c r="A2" s="2432">
        <f>'Single Audit Cover'!E7</f>
        <v>17054061004</v>
      </c>
      <c r="B2" s="2433"/>
      <c r="C2" s="2433"/>
      <c r="D2" s="2433"/>
    </row>
    <row r="3" spans="1:11" s="1212" customFormat="1" ht="12.75" x14ac:dyDescent="0.2">
      <c r="A3" s="2431" t="s">
        <v>1513</v>
      </c>
      <c r="B3" s="2408"/>
      <c r="C3" s="2408"/>
      <c r="D3" s="2408"/>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5" t="str">
        <f>'Single Audit Cover'!A7</f>
        <v>Chester-East Lincoln Community CCSD 61</v>
      </c>
      <c r="B1" s="2435"/>
      <c r="C1" s="2435"/>
      <c r="D1" s="2435"/>
      <c r="E1" s="2435"/>
    </row>
    <row r="2" spans="1:5" x14ac:dyDescent="0.2">
      <c r="A2" s="2436">
        <f>'Single Audit Cover'!E7</f>
        <v>17054061004</v>
      </c>
      <c r="B2" s="2436"/>
      <c r="C2" s="2436"/>
      <c r="D2" s="2436"/>
      <c r="E2" s="2436"/>
    </row>
    <row r="3" spans="1:5" ht="4.5" customHeight="1" x14ac:dyDescent="0.2"/>
    <row r="4" spans="1:5" x14ac:dyDescent="0.2">
      <c r="A4" s="2435" t="s">
        <v>1245</v>
      </c>
      <c r="B4" s="2435"/>
      <c r="C4" s="2435"/>
      <c r="D4" s="2435"/>
      <c r="E4" s="2435"/>
    </row>
    <row r="5" spans="1:5" x14ac:dyDescent="0.2">
      <c r="A5" s="2438" t="str">
        <f>'Single Audit Cover'!A4</f>
        <v>Year Ending June 30, 2019</v>
      </c>
      <c r="B5" s="2438"/>
      <c r="C5" s="2438"/>
      <c r="D5" s="2438"/>
      <c r="E5" s="2438"/>
    </row>
    <row r="6" spans="1:5" x14ac:dyDescent="0.2">
      <c r="A6" s="2435" t="s">
        <v>1244</v>
      </c>
      <c r="B6" s="2435"/>
      <c r="C6" s="2435"/>
      <c r="D6" s="2435"/>
      <c r="E6" s="2435"/>
    </row>
    <row r="8" spans="1:5" x14ac:dyDescent="0.2">
      <c r="A8" s="1257" t="s">
        <v>1243</v>
      </c>
    </row>
    <row r="10" spans="1:5" x14ac:dyDescent="0.2">
      <c r="A10" s="1258" t="s">
        <v>1242</v>
      </c>
      <c r="B10" s="1259" t="s">
        <v>1241</v>
      </c>
      <c r="C10" s="1259"/>
      <c r="D10" s="1260">
        <f>SUM('Acct Summary 7-8'!C7:K7)</f>
        <v>208845</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15542</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224387</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7"/>
      <c r="B24" s="2437"/>
      <c r="D24" s="1265"/>
    </row>
    <row r="25" spans="1:4" x14ac:dyDescent="0.2">
      <c r="A25" s="2434"/>
      <c r="B25" s="2434"/>
      <c r="D25" s="1265"/>
    </row>
    <row r="26" spans="1:4" x14ac:dyDescent="0.2">
      <c r="A26" s="2434"/>
      <c r="B26" s="2434"/>
      <c r="D26" s="1265"/>
    </row>
    <row r="27" spans="1:4" x14ac:dyDescent="0.2">
      <c r="A27" s="2434"/>
      <c r="B27" s="2434"/>
      <c r="D27" s="1265"/>
    </row>
    <row r="28" spans="1:4" x14ac:dyDescent="0.2">
      <c r="A28" s="2434"/>
      <c r="B28" s="2434"/>
      <c r="D28" s="1265"/>
    </row>
    <row r="29" spans="1:4" x14ac:dyDescent="0.2">
      <c r="A29" s="2434"/>
      <c r="B29" s="2434"/>
      <c r="D29" s="1265"/>
    </row>
    <row r="30" spans="1:4" x14ac:dyDescent="0.2">
      <c r="A30" s="2434"/>
      <c r="B30" s="2434"/>
      <c r="D30" s="1265"/>
    </row>
    <row r="32" spans="1:4" x14ac:dyDescent="0.2">
      <c r="A32" s="1257" t="s">
        <v>1233</v>
      </c>
      <c r="D32" s="1260">
        <f>SUM(D19:D30)</f>
        <v>224387</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4"/>
      <c r="B40" s="2434"/>
      <c r="D40" s="1265"/>
    </row>
    <row r="41" spans="1:4" x14ac:dyDescent="0.2">
      <c r="A41" s="2434"/>
      <c r="B41" s="2434"/>
      <c r="D41" s="1268"/>
    </row>
    <row r="42" spans="1:4" x14ac:dyDescent="0.2">
      <c r="A42" s="2434"/>
      <c r="B42" s="2434"/>
      <c r="D42" s="1268"/>
    </row>
    <row r="43" spans="1:4" x14ac:dyDescent="0.2">
      <c r="A43" s="2434"/>
      <c r="B43" s="2434"/>
      <c r="D43" s="1268"/>
    </row>
    <row r="44" spans="1:4" x14ac:dyDescent="0.2">
      <c r="A44" s="2434"/>
      <c r="B44" s="2434"/>
      <c r="D44" s="1268"/>
    </row>
    <row r="45" spans="1:4" x14ac:dyDescent="0.2">
      <c r="A45" s="2434"/>
      <c r="B45" s="2434"/>
      <c r="D45" s="1268"/>
    </row>
    <row r="47" spans="1:4" x14ac:dyDescent="0.2">
      <c r="B47" s="1269" t="s">
        <v>1227</v>
      </c>
      <c r="C47" s="1269"/>
      <c r="D47" s="1270">
        <f>SUM(D35:D45)</f>
        <v>0</v>
      </c>
    </row>
    <row r="49" spans="2:4" x14ac:dyDescent="0.2">
      <c r="B49" s="1269" t="s">
        <v>1226</v>
      </c>
      <c r="C49" s="1269"/>
      <c r="D49" s="1270">
        <f>D32-D47</f>
        <v>224387</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8" t="str">
        <f>'Single Audit Cover'!A7</f>
        <v>Chester-East Lincoln Community CCSD 61</v>
      </c>
      <c r="C1" s="2439"/>
      <c r="D1" s="2439"/>
      <c r="E1" s="2439"/>
      <c r="F1" s="2439"/>
      <c r="G1" s="2439"/>
      <c r="H1" s="2439"/>
      <c r="I1" s="2439"/>
      <c r="J1" s="2439"/>
      <c r="K1" s="2439"/>
      <c r="L1" s="2439"/>
      <c r="M1" s="2439"/>
    </row>
    <row r="2" spans="2:14" ht="15" x14ac:dyDescent="0.2">
      <c r="B2" s="2440">
        <f>'Single Audit Cover'!E7</f>
        <v>17054061004</v>
      </c>
      <c r="C2" s="2440"/>
      <c r="D2" s="2440"/>
      <c r="E2" s="2440"/>
      <c r="F2" s="2440"/>
      <c r="G2" s="2440"/>
      <c r="H2" s="2440"/>
      <c r="I2" s="2440"/>
      <c r="J2" s="2440"/>
      <c r="K2" s="2440"/>
      <c r="L2" s="2440"/>
      <c r="M2" s="2440"/>
      <c r="N2" s="1299"/>
    </row>
    <row r="3" spans="2:14" ht="15" x14ac:dyDescent="0.2">
      <c r="B3" s="2441" t="s">
        <v>1219</v>
      </c>
      <c r="C3" s="2441"/>
      <c r="D3" s="2441"/>
      <c r="E3" s="2441"/>
      <c r="F3" s="2441"/>
      <c r="G3" s="2441"/>
      <c r="H3" s="2441"/>
      <c r="I3" s="2441"/>
      <c r="J3" s="2441"/>
      <c r="K3" s="2441"/>
      <c r="L3" s="2441"/>
      <c r="M3" s="2441"/>
      <c r="N3" s="1299"/>
    </row>
    <row r="4" spans="2:14" ht="15" x14ac:dyDescent="0.2">
      <c r="B4" s="2442" t="str">
        <f>'Single Audit Cover'!A4</f>
        <v>Year Ending June 30, 2019</v>
      </c>
      <c r="C4" s="2442"/>
      <c r="D4" s="2442"/>
      <c r="E4" s="2442"/>
      <c r="F4" s="2442"/>
      <c r="G4" s="2442"/>
      <c r="H4" s="2442"/>
      <c r="I4" s="2442"/>
      <c r="J4" s="2442"/>
      <c r="K4" s="2442"/>
      <c r="L4" s="2442"/>
      <c r="M4" s="2442"/>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52" t="str">
        <f>'Single Audit Cover'!A7</f>
        <v>Chester-East Lincoln Community CCSD 61</v>
      </c>
      <c r="B1" s="2452"/>
      <c r="C1" s="2452"/>
      <c r="D1" s="2452"/>
      <c r="E1" s="2452"/>
      <c r="F1" s="2452"/>
    </row>
    <row r="2" spans="1:7" ht="13.5" customHeight="1" x14ac:dyDescent="0.2">
      <c r="A2" s="2440">
        <f>'Single Audit Cover'!E7</f>
        <v>17054061004</v>
      </c>
      <c r="B2" s="2440"/>
      <c r="C2" s="2440"/>
      <c r="D2" s="2440"/>
      <c r="E2" s="2440"/>
      <c r="F2" s="2440"/>
      <c r="G2" s="1272"/>
    </row>
    <row r="3" spans="1:7" ht="15.75" customHeight="1" x14ac:dyDescent="0.2">
      <c r="A3" s="2453" t="s">
        <v>1271</v>
      </c>
      <c r="B3" s="2453"/>
      <c r="C3" s="2453"/>
      <c r="D3" s="2453"/>
      <c r="E3" s="2453"/>
      <c r="F3" s="2453"/>
    </row>
    <row r="4" spans="1:7" ht="13.5" customHeight="1" x14ac:dyDescent="0.2">
      <c r="A4" s="2454" t="str">
        <f>'Single Audit Cover'!A4</f>
        <v>Year Ending June 30, 2019</v>
      </c>
      <c r="B4" s="2454"/>
      <c r="C4" s="2454"/>
      <c r="D4" s="2454"/>
      <c r="E4" s="2454"/>
      <c r="F4" s="2454"/>
    </row>
    <row r="5" spans="1:7" ht="8.25" customHeight="1" x14ac:dyDescent="0.2">
      <c r="C5" s="317"/>
      <c r="D5" s="317"/>
    </row>
    <row r="6" spans="1:7" ht="13.5" customHeight="1" x14ac:dyDescent="0.2">
      <c r="A6" s="1273" t="s">
        <v>1728</v>
      </c>
      <c r="C6" s="317"/>
      <c r="D6" s="317"/>
    </row>
    <row r="7" spans="1:7" ht="60.95" customHeight="1" x14ac:dyDescent="0.2">
      <c r="A7" s="2451" t="s">
        <v>1729</v>
      </c>
      <c r="B7" s="2451"/>
      <c r="C7" s="2451"/>
      <c r="D7" s="2451"/>
      <c r="E7" s="2451"/>
      <c r="F7" s="2451"/>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51" t="s">
        <v>1731</v>
      </c>
      <c r="B13" s="2451"/>
      <c r="C13" s="2451"/>
      <c r="D13" s="2451"/>
      <c r="E13" s="2451"/>
      <c r="F13" s="2451"/>
    </row>
    <row r="14" spans="1:7" ht="9.75" customHeight="1" x14ac:dyDescent="0.2">
      <c r="C14" s="1257"/>
      <c r="D14" s="1257"/>
    </row>
    <row r="15" spans="1:7" ht="13.5" customHeight="1" x14ac:dyDescent="0.2">
      <c r="C15" s="1846" t="s">
        <v>1270</v>
      </c>
      <c r="D15" s="2449" t="s">
        <v>1269</v>
      </c>
      <c r="E15" s="2449"/>
      <c r="F15" s="2449"/>
    </row>
    <row r="16" spans="1:7" ht="13.5" customHeight="1" x14ac:dyDescent="0.2">
      <c r="A16" s="1279"/>
      <c r="B16" s="1273" t="s">
        <v>1268</v>
      </c>
      <c r="C16" s="1846" t="s">
        <v>1267</v>
      </c>
      <c r="D16" s="2450" t="s">
        <v>1588</v>
      </c>
      <c r="E16" s="2450"/>
      <c r="F16" s="2450"/>
    </row>
    <row r="17" spans="1:6" ht="20.45" customHeight="1" x14ac:dyDescent="0.2">
      <c r="A17" s="1280"/>
      <c r="B17" s="1281"/>
      <c r="C17" s="1282"/>
      <c r="D17" s="2444"/>
      <c r="E17" s="2444"/>
      <c r="F17" s="2444"/>
    </row>
    <row r="18" spans="1:6" ht="20.65" customHeight="1" x14ac:dyDescent="0.2">
      <c r="A18" s="1280"/>
      <c r="B18" s="1281"/>
      <c r="C18" s="1282"/>
      <c r="D18" s="2444"/>
      <c r="E18" s="2444"/>
      <c r="F18" s="2444"/>
    </row>
    <row r="19" spans="1:6" ht="20.65" customHeight="1" x14ac:dyDescent="0.2">
      <c r="A19" s="1280"/>
      <c r="B19" s="1281"/>
      <c r="C19" s="1282"/>
      <c r="D19" s="2444"/>
      <c r="E19" s="2444"/>
      <c r="F19" s="2444"/>
    </row>
    <row r="20" spans="1:6" ht="20.65" customHeight="1" x14ac:dyDescent="0.2">
      <c r="A20" s="1280"/>
      <c r="B20" s="1281"/>
      <c r="C20" s="1282"/>
      <c r="D20" s="2444"/>
      <c r="E20" s="2444"/>
      <c r="F20" s="2444"/>
    </row>
    <row r="21" spans="1:6" ht="20.65" customHeight="1" x14ac:dyDescent="0.2">
      <c r="A21" s="1280"/>
      <c r="B21" s="1281"/>
      <c r="C21" s="1282"/>
      <c r="D21" s="2444"/>
      <c r="E21" s="2444"/>
      <c r="F21" s="2444"/>
    </row>
    <row r="22" spans="1:6" ht="20.65" customHeight="1" x14ac:dyDescent="0.2">
      <c r="A22" s="1280"/>
      <c r="B22" s="1281"/>
      <c r="C22" s="1282"/>
      <c r="D22" s="2444"/>
      <c r="E22" s="2444"/>
      <c r="F22" s="2444"/>
    </row>
    <row r="23" spans="1:6" ht="20.65" customHeight="1" x14ac:dyDescent="0.2">
      <c r="A23" s="1280"/>
      <c r="B23" s="1281"/>
      <c r="C23" s="1282"/>
      <c r="D23" s="2444"/>
      <c r="E23" s="2444"/>
      <c r="F23" s="2444"/>
    </row>
    <row r="24" spans="1:6" ht="20.65" customHeight="1" x14ac:dyDescent="0.2">
      <c r="A24" s="1280"/>
      <c r="B24" s="1281"/>
      <c r="C24" s="1282"/>
      <c r="D24" s="2444"/>
      <c r="E24" s="2444"/>
      <c r="F24" s="2444"/>
    </row>
    <row r="25" spans="1:6" ht="20.65" customHeight="1" x14ac:dyDescent="0.2">
      <c r="A25" s="1280"/>
      <c r="B25" s="1281"/>
      <c r="C25" s="1282"/>
      <c r="D25" s="2444"/>
      <c r="E25" s="2444"/>
      <c r="F25" s="2444"/>
    </row>
    <row r="26" spans="1:6" ht="20.65" customHeight="1" x14ac:dyDescent="0.2">
      <c r="A26" s="1280"/>
      <c r="B26" s="1281"/>
      <c r="C26" s="1282"/>
      <c r="D26" s="2444"/>
      <c r="E26" s="2444"/>
      <c r="F26" s="2444"/>
    </row>
    <row r="27" spans="1:6" ht="20.65" customHeight="1" x14ac:dyDescent="0.2">
      <c r="A27" s="1280"/>
      <c r="B27" s="1281"/>
      <c r="C27" s="1282"/>
      <c r="D27" s="2444"/>
      <c r="E27" s="2444"/>
      <c r="F27" s="2444"/>
    </row>
    <row r="28" spans="1:6" ht="20.65" customHeight="1" x14ac:dyDescent="0.2">
      <c r="A28" s="1280"/>
      <c r="B28" s="1281"/>
      <c r="C28" s="1282"/>
      <c r="D28" s="2444"/>
      <c r="E28" s="2444"/>
      <c r="F28" s="2444"/>
    </row>
    <row r="29" spans="1:6" ht="20.65" customHeight="1" x14ac:dyDescent="0.2">
      <c r="A29" s="1280"/>
      <c r="B29" s="1281"/>
      <c r="C29" s="1282"/>
      <c r="D29" s="2444"/>
      <c r="E29" s="2444"/>
      <c r="F29" s="2444"/>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5" t="s">
        <v>1732</v>
      </c>
      <c r="B32" s="2445"/>
      <c r="C32" s="2445"/>
      <c r="D32" s="2445"/>
      <c r="E32" s="2445"/>
      <c r="F32" s="2445"/>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6">
        <f>+C33+C34</f>
        <v>0</v>
      </c>
      <c r="F34" s="2447"/>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8" t="s">
        <v>1590</v>
      </c>
      <c r="C49" s="2448"/>
      <c r="D49" s="2448"/>
      <c r="E49" s="1396"/>
    </row>
    <row r="50" spans="1:5" s="1297" customFormat="1" ht="3.75" customHeight="1" x14ac:dyDescent="0.2">
      <c r="A50" s="1296"/>
      <c r="B50" s="1845"/>
      <c r="C50" s="1845"/>
      <c r="D50" s="1845"/>
      <c r="E50" s="1396"/>
    </row>
    <row r="51" spans="1:5" s="1297" customFormat="1" ht="20.25" customHeight="1" x14ac:dyDescent="0.2">
      <c r="A51" s="1298">
        <v>6</v>
      </c>
      <c r="B51" s="2443" t="s">
        <v>1551</v>
      </c>
      <c r="C51" s="2443"/>
      <c r="D51" s="2443"/>
    </row>
    <row r="52" spans="1:5" ht="14.25" customHeight="1" x14ac:dyDescent="0.2">
      <c r="A52" s="1298"/>
      <c r="B52" s="2443"/>
      <c r="C52" s="2443"/>
      <c r="D52" s="2443"/>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77" colorId="8" zoomScale="110" zoomScaleNormal="110" workbookViewId="0">
      <selection activeCell="F85" sqref="F85"/>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0" t="s">
        <v>1168</v>
      </c>
      <c r="B2" s="2060"/>
      <c r="C2" s="2060"/>
      <c r="D2" s="2060"/>
      <c r="E2" s="2060"/>
      <c r="F2" s="2060"/>
      <c r="G2" s="2060"/>
      <c r="H2" s="2060"/>
      <c r="I2" s="2060"/>
      <c r="J2" s="2060"/>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4" t="s">
        <v>1633</v>
      </c>
      <c r="B35" s="2075"/>
      <c r="C35" s="2075"/>
      <c r="D35" s="2075"/>
      <c r="E35" s="2076"/>
      <c r="F35" s="2076"/>
      <c r="G35" s="2076"/>
      <c r="H35" s="2076"/>
      <c r="I35" s="2076"/>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4" t="s">
        <v>313</v>
      </c>
      <c r="B47" s="2077"/>
      <c r="C47" s="2077"/>
      <c r="D47" s="2077"/>
      <c r="E47" s="2078"/>
      <c r="F47" s="2078"/>
      <c r="G47" s="2078"/>
      <c r="H47" s="2078"/>
      <c r="I47" s="2078"/>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t="s">
        <v>2065</v>
      </c>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1" t="s">
        <v>2082</v>
      </c>
      <c r="C57" s="2082"/>
      <c r="D57" s="2082"/>
      <c r="E57" s="2082"/>
      <c r="F57" s="2082"/>
      <c r="G57" s="2082"/>
      <c r="H57" s="2082"/>
      <c r="I57" s="2082"/>
      <c r="J57" s="2083"/>
    </row>
    <row r="58" spans="1:10" s="181" customFormat="1" x14ac:dyDescent="0.2">
      <c r="A58" s="253"/>
      <c r="B58" s="2084"/>
      <c r="C58" s="2085"/>
      <c r="D58" s="2085"/>
      <c r="E58" s="2085"/>
      <c r="F58" s="2085"/>
      <c r="G58" s="2085"/>
      <c r="H58" s="2085"/>
      <c r="I58" s="2085"/>
      <c r="J58" s="2086"/>
    </row>
    <row r="59" spans="1:10" s="181" customFormat="1" x14ac:dyDescent="0.2">
      <c r="A59" s="253"/>
      <c r="B59" s="2084"/>
      <c r="C59" s="2085"/>
      <c r="D59" s="2085"/>
      <c r="E59" s="2085"/>
      <c r="F59" s="2085"/>
      <c r="G59" s="2085"/>
      <c r="H59" s="2085"/>
      <c r="I59" s="2085"/>
      <c r="J59" s="2086"/>
    </row>
    <row r="60" spans="1:10" s="181" customFormat="1" x14ac:dyDescent="0.2">
      <c r="A60" s="253"/>
      <c r="B60" s="2084"/>
      <c r="C60" s="2085"/>
      <c r="D60" s="2085"/>
      <c r="E60" s="2085"/>
      <c r="F60" s="2085"/>
      <c r="G60" s="2085"/>
      <c r="H60" s="2085"/>
      <c r="I60" s="2085"/>
      <c r="J60" s="2086"/>
    </row>
    <row r="61" spans="1:10" s="181" customFormat="1" x14ac:dyDescent="0.2">
      <c r="A61" s="253"/>
      <c r="B61" s="2084"/>
      <c r="C61" s="2085"/>
      <c r="D61" s="2085"/>
      <c r="E61" s="2085"/>
      <c r="F61" s="2085"/>
      <c r="G61" s="2085"/>
      <c r="H61" s="2085"/>
      <c r="I61" s="2085"/>
      <c r="J61" s="2086"/>
    </row>
    <row r="62" spans="1:10" s="181" customFormat="1" x14ac:dyDescent="0.2">
      <c r="A62" s="253"/>
      <c r="B62" s="2084"/>
      <c r="C62" s="2085"/>
      <c r="D62" s="2085"/>
      <c r="E62" s="2085"/>
      <c r="F62" s="2085"/>
      <c r="G62" s="2085"/>
      <c r="H62" s="2085"/>
      <c r="I62" s="2085"/>
      <c r="J62" s="2086"/>
    </row>
    <row r="63" spans="1:10" s="181" customFormat="1" x14ac:dyDescent="0.2">
      <c r="A63" s="253"/>
      <c r="B63" s="2084"/>
      <c r="C63" s="2085"/>
      <c r="D63" s="2085"/>
      <c r="E63" s="2085"/>
      <c r="F63" s="2085"/>
      <c r="G63" s="2085"/>
      <c r="H63" s="2085"/>
      <c r="I63" s="2085"/>
      <c r="J63" s="2086"/>
    </row>
    <row r="64" spans="1:10" s="181" customFormat="1" x14ac:dyDescent="0.2">
      <c r="A64" s="253"/>
      <c r="B64" s="2084"/>
      <c r="C64" s="2085"/>
      <c r="D64" s="2085"/>
      <c r="E64" s="2085"/>
      <c r="F64" s="2085"/>
      <c r="G64" s="2085"/>
      <c r="H64" s="2085"/>
      <c r="I64" s="2085"/>
      <c r="J64" s="2086"/>
    </row>
    <row r="65" spans="1:10" s="181" customFormat="1" x14ac:dyDescent="0.2">
      <c r="A65" s="253"/>
      <c r="B65" s="2084"/>
      <c r="C65" s="2085"/>
      <c r="D65" s="2085"/>
      <c r="E65" s="2085"/>
      <c r="F65" s="2085"/>
      <c r="G65" s="2085"/>
      <c r="H65" s="2085"/>
      <c r="I65" s="2085"/>
      <c r="J65" s="2086"/>
    </row>
    <row r="66" spans="1:10" s="181" customFormat="1" x14ac:dyDescent="0.2">
      <c r="A66" s="253"/>
      <c r="B66" s="2084"/>
      <c r="C66" s="2085"/>
      <c r="D66" s="2085"/>
      <c r="E66" s="2085"/>
      <c r="F66" s="2085"/>
      <c r="G66" s="2085"/>
      <c r="H66" s="2085"/>
      <c r="I66" s="2085"/>
      <c r="J66" s="2086"/>
    </row>
    <row r="67" spans="1:10" s="181" customFormat="1" ht="9" customHeight="1" x14ac:dyDescent="0.2">
      <c r="A67" s="254"/>
      <c r="B67" s="2087"/>
      <c r="C67" s="2088"/>
      <c r="D67" s="2088"/>
      <c r="E67" s="2088"/>
      <c r="F67" s="2088"/>
      <c r="G67" s="2088"/>
      <c r="H67" s="2088"/>
      <c r="I67" s="2088"/>
      <c r="J67" s="208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4" t="s">
        <v>1323</v>
      </c>
      <c r="B70" s="2077"/>
      <c r="C70" s="2077"/>
      <c r="D70" s="2077"/>
      <c r="E70" s="2078"/>
      <c r="F70" s="2078"/>
      <c r="G70" s="2078"/>
      <c r="H70" s="2078"/>
      <c r="I70" s="2078"/>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9" t="s">
        <v>1320</v>
      </c>
      <c r="B83" s="2079"/>
      <c r="C83" s="2079"/>
      <c r="D83" s="2080"/>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61"/>
      <c r="C102" s="2062"/>
      <c r="D102" s="2062"/>
      <c r="E102" s="2062"/>
      <c r="F102" s="2062"/>
      <c r="G102" s="2062"/>
      <c r="H102" s="2062"/>
      <c r="I102" s="2063"/>
    </row>
    <row r="103" spans="1:9" s="181" customFormat="1" ht="11.25" customHeight="1" x14ac:dyDescent="0.2">
      <c r="A103" s="316"/>
      <c r="B103" s="2064"/>
      <c r="C103" s="2065"/>
      <c r="D103" s="2065"/>
      <c r="E103" s="2065"/>
      <c r="F103" s="2065"/>
      <c r="G103" s="2065"/>
      <c r="H103" s="2065"/>
      <c r="I103" s="2066"/>
    </row>
    <row r="104" spans="1:9" s="181" customFormat="1" ht="11.25" customHeight="1" x14ac:dyDescent="0.2">
      <c r="A104" s="316"/>
      <c r="B104" s="2064"/>
      <c r="C104" s="2065"/>
      <c r="D104" s="2065"/>
      <c r="E104" s="2065"/>
      <c r="F104" s="2065"/>
      <c r="G104" s="2065"/>
      <c r="H104" s="2065"/>
      <c r="I104" s="2066"/>
    </row>
    <row r="105" spans="1:9" s="181" customFormat="1" x14ac:dyDescent="0.2">
      <c r="A105" s="316"/>
      <c r="B105" s="2064"/>
      <c r="C105" s="2065"/>
      <c r="D105" s="2065"/>
      <c r="E105" s="2065"/>
      <c r="F105" s="2065"/>
      <c r="G105" s="2065"/>
      <c r="H105" s="2065"/>
      <c r="I105" s="2066"/>
    </row>
    <row r="106" spans="1:9" s="181" customFormat="1" ht="11.25" customHeight="1" x14ac:dyDescent="0.2">
      <c r="A106" s="316"/>
      <c r="B106" s="2064"/>
      <c r="C106" s="2065"/>
      <c r="D106" s="2065"/>
      <c r="E106" s="2065"/>
      <c r="F106" s="2065"/>
      <c r="G106" s="2065"/>
      <c r="H106" s="2065"/>
      <c r="I106" s="2066"/>
    </row>
    <row r="107" spans="1:9" s="181" customFormat="1" ht="11.25" customHeight="1" x14ac:dyDescent="0.2">
      <c r="A107" s="316"/>
      <c r="B107" s="2064"/>
      <c r="C107" s="2065"/>
      <c r="D107" s="2065"/>
      <c r="E107" s="2065"/>
      <c r="F107" s="2065"/>
      <c r="G107" s="2065"/>
      <c r="H107" s="2065"/>
      <c r="I107" s="2066"/>
    </row>
    <row r="108" spans="1:9" s="181" customFormat="1" ht="11.25" customHeight="1" x14ac:dyDescent="0.2">
      <c r="A108" s="316"/>
      <c r="B108" s="2064"/>
      <c r="C108" s="2065"/>
      <c r="D108" s="2065"/>
      <c r="E108" s="2065"/>
      <c r="F108" s="2065"/>
      <c r="G108" s="2065"/>
      <c r="H108" s="2065"/>
      <c r="I108" s="2066"/>
    </row>
    <row r="109" spans="1:9" s="181" customFormat="1" ht="11.25" customHeight="1" x14ac:dyDescent="0.2">
      <c r="A109" s="316"/>
      <c r="B109" s="2064"/>
      <c r="C109" s="2065"/>
      <c r="D109" s="2065"/>
      <c r="E109" s="2065"/>
      <c r="F109" s="2065"/>
      <c r="G109" s="2065"/>
      <c r="H109" s="2065"/>
      <c r="I109" s="2066"/>
    </row>
    <row r="110" spans="1:9" s="181" customFormat="1" ht="11.25" customHeight="1" x14ac:dyDescent="0.2">
      <c r="A110" s="316"/>
      <c r="B110" s="2064"/>
      <c r="C110" s="2065"/>
      <c r="D110" s="2065"/>
      <c r="E110" s="2065"/>
      <c r="F110" s="2065"/>
      <c r="G110" s="2065"/>
      <c r="H110" s="2065"/>
      <c r="I110" s="2066"/>
    </row>
    <row r="111" spans="1:9" s="181" customFormat="1" ht="11.25" customHeight="1" x14ac:dyDescent="0.2">
      <c r="A111" s="316"/>
      <c r="B111" s="2064"/>
      <c r="C111" s="2065"/>
      <c r="D111" s="2065"/>
      <c r="E111" s="2065"/>
      <c r="F111" s="2065"/>
      <c r="G111" s="2065"/>
      <c r="H111" s="2065"/>
      <c r="I111" s="2066"/>
    </row>
    <row r="112" spans="1:9" s="181" customFormat="1" ht="11.25" customHeight="1" x14ac:dyDescent="0.2">
      <c r="A112" s="316"/>
      <c r="B112" s="2067"/>
      <c r="C112" s="2068"/>
      <c r="D112" s="2068"/>
      <c r="E112" s="2068"/>
      <c r="F112" s="2068"/>
      <c r="G112" s="2068"/>
      <c r="H112" s="2068"/>
      <c r="I112" s="206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0" t="s">
        <v>2074</v>
      </c>
      <c r="D114" s="2070"/>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1" t="s">
        <v>1330</v>
      </c>
      <c r="D117" s="2072"/>
      <c r="E117" s="2073"/>
      <c r="F117" s="2073"/>
      <c r="G117" s="2073"/>
      <c r="H117" s="2073"/>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6" t="str">
        <f>'Single Audit Cover'!A7</f>
        <v>Chester-East Lincoln Community CCSD 61</v>
      </c>
      <c r="C1" s="2467"/>
      <c r="D1" s="2467"/>
      <c r="E1" s="2467"/>
      <c r="F1" s="2467"/>
      <c r="G1" s="2467"/>
      <c r="H1" s="2467"/>
      <c r="I1" s="2467"/>
      <c r="J1" s="1406"/>
    </row>
    <row r="2" spans="2:10" s="317" customFormat="1" ht="12.75" customHeight="1" x14ac:dyDescent="0.2">
      <c r="B2" s="2468">
        <f>'Single Audit Cover'!E7</f>
        <v>17054061004</v>
      </c>
      <c r="C2" s="2469"/>
      <c r="D2" s="2469"/>
      <c r="E2" s="2469"/>
      <c r="F2" s="2469"/>
      <c r="G2" s="2469"/>
      <c r="H2" s="2469"/>
      <c r="I2" s="2469"/>
      <c r="J2" s="1406"/>
    </row>
    <row r="3" spans="2:10" s="317" customFormat="1" ht="12.75" customHeight="1" x14ac:dyDescent="0.2">
      <c r="B3" s="2470" t="s">
        <v>1285</v>
      </c>
      <c r="C3" s="2471"/>
      <c r="D3" s="2471"/>
      <c r="E3" s="2471"/>
      <c r="F3" s="2471"/>
      <c r="G3" s="2471"/>
      <c r="H3" s="2471"/>
      <c r="I3" s="2471"/>
      <c r="J3" s="1407"/>
    </row>
    <row r="4" spans="2:10" s="317" customFormat="1" ht="12.75" customHeight="1" x14ac:dyDescent="0.2">
      <c r="B4" s="2470" t="str">
        <f>'Single Audit Cover'!A4</f>
        <v>Year Ending June 30, 2019</v>
      </c>
      <c r="C4" s="2471"/>
      <c r="D4" s="2471"/>
      <c r="E4" s="2471"/>
      <c r="F4" s="2471"/>
      <c r="G4" s="2471"/>
      <c r="H4" s="2471"/>
      <c r="I4" s="2471"/>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70" t="s">
        <v>1284</v>
      </c>
      <c r="C7" s="2471"/>
      <c r="D7" s="2471"/>
      <c r="E7" s="2471"/>
      <c r="F7" s="2471"/>
      <c r="G7" s="2471"/>
      <c r="H7" s="2471"/>
      <c r="I7" s="2471"/>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72"/>
      <c r="D11" s="2472"/>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73"/>
      <c r="E29" s="2473"/>
      <c r="F29" s="2473"/>
      <c r="G29" s="2473"/>
      <c r="H29" s="2473"/>
      <c r="I29" s="2473"/>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74" t="s">
        <v>1751</v>
      </c>
      <c r="D37" s="2475"/>
      <c r="E37" s="2475"/>
      <c r="F37" s="2476"/>
      <c r="G37" s="2474" t="s">
        <v>1592</v>
      </c>
      <c r="H37" s="2475"/>
      <c r="I37" s="2476"/>
    </row>
    <row r="38" spans="2:9" ht="16.5" customHeight="1" x14ac:dyDescent="0.2">
      <c r="B38" s="1428"/>
      <c r="C38" s="2462"/>
      <c r="D38" s="2463"/>
      <c r="E38" s="2463"/>
      <c r="F38" s="2464"/>
      <c r="G38" s="2477"/>
      <c r="H38" s="2478"/>
      <c r="I38" s="2479"/>
    </row>
    <row r="39" spans="2:9" ht="16.5" customHeight="1" x14ac:dyDescent="0.2">
      <c r="B39" s="1428"/>
      <c r="C39" s="2462"/>
      <c r="D39" s="2463"/>
      <c r="E39" s="2463"/>
      <c r="F39" s="2464"/>
      <c r="G39" s="2465"/>
      <c r="H39" s="2465"/>
      <c r="I39" s="2465"/>
    </row>
    <row r="40" spans="2:9" ht="16.5" customHeight="1" x14ac:dyDescent="0.2">
      <c r="B40" s="1428"/>
      <c r="C40" s="2462"/>
      <c r="D40" s="2463"/>
      <c r="E40" s="2463"/>
      <c r="F40" s="2464"/>
      <c r="G40" s="2465"/>
      <c r="H40" s="2465"/>
      <c r="I40" s="2465"/>
    </row>
    <row r="41" spans="2:9" ht="16.5" customHeight="1" x14ac:dyDescent="0.2">
      <c r="B41" s="1428"/>
      <c r="C41" s="2462"/>
      <c r="D41" s="2463"/>
      <c r="E41" s="2463"/>
      <c r="F41" s="2464"/>
      <c r="G41" s="2465"/>
      <c r="H41" s="2465"/>
      <c r="I41" s="2465"/>
    </row>
    <row r="42" spans="2:9" ht="16.5" customHeight="1" x14ac:dyDescent="0.2">
      <c r="B42" s="1428"/>
      <c r="C42" s="2462"/>
      <c r="D42" s="2463"/>
      <c r="E42" s="2463"/>
      <c r="F42" s="2464"/>
      <c r="G42" s="2465"/>
      <c r="H42" s="2465"/>
      <c r="I42" s="2465"/>
    </row>
    <row r="43" spans="2:9" ht="16.5" customHeight="1" x14ac:dyDescent="0.2">
      <c r="B43" s="1428"/>
      <c r="C43" s="2455" t="s">
        <v>1593</v>
      </c>
      <c r="D43" s="2456"/>
      <c r="E43" s="2456"/>
      <c r="F43" s="2457"/>
      <c r="G43" s="2458">
        <f>SUM(G38:I42)</f>
        <v>0</v>
      </c>
      <c r="H43" s="2458"/>
      <c r="I43" s="2458"/>
    </row>
    <row r="44" spans="2:9" ht="12.75" customHeight="1" x14ac:dyDescent="0.2"/>
    <row r="45" spans="2:9" ht="12.75" customHeight="1" x14ac:dyDescent="0.2">
      <c r="B45" s="1419" t="s">
        <v>2062</v>
      </c>
      <c r="D45" s="2459">
        <v>0</v>
      </c>
      <c r="E45" s="2460"/>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61"/>
      <c r="F49" s="2461"/>
      <c r="G49" s="2461"/>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24" zoomScale="110" zoomScaleNormal="110" workbookViewId="0">
      <selection activeCell="H33" sqref="H33"/>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6" t="str">
        <f>'Single Audit Cover'!A7</f>
        <v>Chester-East Lincoln Community CCSD 61</v>
      </c>
      <c r="C1" s="2466"/>
      <c r="D1" s="2466"/>
      <c r="E1" s="2466"/>
      <c r="F1" s="2466"/>
      <c r="G1" s="2466"/>
      <c r="H1" s="2466"/>
      <c r="I1" s="2466"/>
      <c r="J1" s="2466"/>
      <c r="K1" s="2466"/>
      <c r="L1" s="1371"/>
      <c r="M1" s="1371"/>
    </row>
    <row r="2" spans="1:13" ht="12" customHeight="1" x14ac:dyDescent="0.2">
      <c r="B2" s="2468">
        <f>'Single Audit Cover'!E7</f>
        <v>17054061004</v>
      </c>
      <c r="C2" s="2468"/>
      <c r="D2" s="2468"/>
      <c r="E2" s="2468"/>
      <c r="F2" s="2468"/>
      <c r="G2" s="2468"/>
      <c r="H2" s="2468"/>
      <c r="I2" s="2468"/>
      <c r="J2" s="2468"/>
      <c r="K2" s="2468"/>
      <c r="L2" s="1372"/>
      <c r="M2" s="1373"/>
    </row>
    <row r="3" spans="1:13" ht="10.35" customHeight="1" x14ac:dyDescent="0.2">
      <c r="B3" s="2482" t="s">
        <v>1285</v>
      </c>
      <c r="C3" s="2482"/>
      <c r="D3" s="2482"/>
      <c r="E3" s="2482"/>
      <c r="F3" s="2482"/>
      <c r="G3" s="2482"/>
      <c r="H3" s="2482"/>
      <c r="I3" s="2482"/>
      <c r="J3" s="2482"/>
      <c r="K3" s="2482"/>
      <c r="L3" s="1374"/>
      <c r="M3" s="1374"/>
    </row>
    <row r="4" spans="1:13" ht="14.25" customHeight="1" x14ac:dyDescent="0.2">
      <c r="B4" s="2483" t="str">
        <f>'Single Audit Cover'!A4</f>
        <v>Year Ending June 30, 2019</v>
      </c>
      <c r="C4" s="2483"/>
      <c r="D4" s="2483"/>
      <c r="E4" s="2483"/>
      <c r="F4" s="2483"/>
      <c r="G4" s="2483"/>
      <c r="H4" s="2483"/>
      <c r="I4" s="2483"/>
      <c r="J4" s="2483"/>
      <c r="K4" s="2483"/>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3" t="s">
        <v>1296</v>
      </c>
      <c r="C7" s="2483"/>
      <c r="D7" s="2484"/>
      <c r="E7" s="2484"/>
      <c r="F7" s="2484"/>
      <c r="G7" s="2484"/>
      <c r="H7" s="2484"/>
      <c r="I7" s="2484"/>
      <c r="J7" s="2484"/>
      <c r="K7" s="2484"/>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v>1</v>
      </c>
      <c r="E10" s="322"/>
      <c r="F10" s="1384" t="s">
        <v>1295</v>
      </c>
      <c r="G10" s="1385"/>
      <c r="H10" s="1386" t="s">
        <v>1294</v>
      </c>
      <c r="I10" s="1385" t="s">
        <v>2065</v>
      </c>
      <c r="J10" s="1387" t="s">
        <v>1293</v>
      </c>
      <c r="K10" s="322"/>
      <c r="L10" s="1378"/>
    </row>
    <row r="11" spans="1:13" ht="13.5" customHeight="1" x14ac:dyDescent="0.2">
      <c r="B11" s="322"/>
      <c r="C11" s="322"/>
      <c r="D11" s="322"/>
      <c r="E11" s="322"/>
      <c r="F11" s="322"/>
      <c r="G11" s="1380"/>
      <c r="H11" s="322"/>
      <c r="I11" s="1388" t="s">
        <v>1292</v>
      </c>
      <c r="J11" s="322"/>
      <c r="K11" s="1389">
        <v>2012</v>
      </c>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81" t="s">
        <v>2104</v>
      </c>
      <c r="C14" s="2481"/>
      <c r="D14" s="2481"/>
      <c r="E14" s="2481"/>
      <c r="F14" s="2481"/>
      <c r="G14" s="2481"/>
      <c r="H14" s="2481"/>
      <c r="I14" s="2481"/>
      <c r="J14" s="2481"/>
      <c r="K14" s="2481"/>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101.25" customHeight="1" x14ac:dyDescent="0.2">
      <c r="B17" s="2481" t="s">
        <v>2105</v>
      </c>
      <c r="C17" s="2481"/>
      <c r="D17" s="2481"/>
      <c r="E17" s="2481"/>
      <c r="F17" s="2481"/>
      <c r="G17" s="2481"/>
      <c r="H17" s="2481"/>
      <c r="I17" s="2481"/>
      <c r="J17" s="2481"/>
      <c r="K17" s="2481"/>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22.5" customHeight="1" x14ac:dyDescent="0.2">
      <c r="B20" s="2485" t="s">
        <v>2106</v>
      </c>
      <c r="C20" s="2485"/>
      <c r="D20" s="2481"/>
      <c r="E20" s="2481"/>
      <c r="F20" s="2481"/>
      <c r="G20" s="2481"/>
      <c r="H20" s="2481"/>
      <c r="I20" s="2481"/>
      <c r="J20" s="2481"/>
      <c r="K20" s="2481"/>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81" t="s">
        <v>2107</v>
      </c>
      <c r="C23" s="2481"/>
      <c r="D23" s="2481"/>
      <c r="E23" s="2481"/>
      <c r="F23" s="2481"/>
      <c r="G23" s="2481"/>
      <c r="H23" s="2481"/>
      <c r="I23" s="2481"/>
      <c r="J23" s="2481"/>
      <c r="K23" s="2481"/>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81" t="s">
        <v>2108</v>
      </c>
      <c r="C26" s="2481"/>
      <c r="D26" s="2481"/>
      <c r="E26" s="2481"/>
      <c r="F26" s="2481"/>
      <c r="G26" s="2481"/>
      <c r="H26" s="2481"/>
      <c r="I26" s="2481"/>
      <c r="J26" s="2481"/>
      <c r="K26" s="2481"/>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57" customHeight="1" x14ac:dyDescent="0.2">
      <c r="B29" s="2480" t="s">
        <v>2109</v>
      </c>
      <c r="C29" s="2480"/>
      <c r="D29" s="2481"/>
      <c r="E29" s="2481"/>
      <c r="F29" s="2481"/>
      <c r="G29" s="2481"/>
      <c r="H29" s="2481"/>
      <c r="I29" s="2481"/>
      <c r="J29" s="2481"/>
      <c r="K29" s="2481"/>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52.5" customHeight="1" x14ac:dyDescent="0.2">
      <c r="B32" s="2480" t="s">
        <v>2110</v>
      </c>
      <c r="C32" s="2480"/>
      <c r="D32" s="2481"/>
      <c r="E32" s="2481"/>
      <c r="F32" s="2481"/>
      <c r="G32" s="2481"/>
      <c r="H32" s="2481"/>
      <c r="I32" s="2481"/>
      <c r="J32" s="2481"/>
      <c r="K32" s="2481"/>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9" t="str">
        <f>'Single Audit Cover'!A7</f>
        <v>Chester-East Lincoln Community CCSD 61</v>
      </c>
      <c r="C1" s="2489"/>
      <c r="D1" s="2489"/>
      <c r="E1" s="2489"/>
      <c r="F1" s="2489"/>
      <c r="G1" s="2489"/>
      <c r="H1" s="2489"/>
      <c r="I1" s="2489"/>
      <c r="J1" s="2489"/>
      <c r="K1" s="2489"/>
      <c r="L1" s="1449"/>
    </row>
    <row r="2" spans="1:12" ht="12.75" customHeight="1" x14ac:dyDescent="0.2">
      <c r="B2" s="2490">
        <f>'Single Audit Cover'!E7</f>
        <v>17054061004</v>
      </c>
      <c r="C2" s="2490"/>
      <c r="D2" s="2490"/>
      <c r="E2" s="2490"/>
      <c r="F2" s="2490"/>
      <c r="G2" s="2490"/>
      <c r="H2" s="2490"/>
      <c r="I2" s="2490"/>
      <c r="J2" s="2490"/>
      <c r="K2" s="2490"/>
      <c r="L2" s="1450"/>
    </row>
    <row r="3" spans="1:12" ht="12.75" customHeight="1" x14ac:dyDescent="0.2">
      <c r="B3" s="2482" t="s">
        <v>1285</v>
      </c>
      <c r="C3" s="2482"/>
      <c r="D3" s="2482"/>
      <c r="E3" s="2482"/>
      <c r="F3" s="2482"/>
      <c r="G3" s="2482"/>
      <c r="H3" s="2482"/>
      <c r="I3" s="2482"/>
      <c r="J3" s="2482"/>
      <c r="K3" s="2482"/>
      <c r="L3" s="1374"/>
    </row>
    <row r="4" spans="1:12" ht="12.75" customHeight="1" x14ac:dyDescent="0.2">
      <c r="B4" s="2482" t="str">
        <f>'Single Audit Cover'!A4</f>
        <v>Year Ending June 30, 2019</v>
      </c>
      <c r="C4" s="2482"/>
      <c r="D4" s="2482"/>
      <c r="E4" s="2482"/>
      <c r="F4" s="2482"/>
      <c r="G4" s="2482"/>
      <c r="H4" s="2482"/>
      <c r="I4" s="2482"/>
      <c r="J4" s="2482"/>
      <c r="K4" s="2482"/>
      <c r="L4" s="1374"/>
    </row>
    <row r="5" spans="1:12" ht="5.25" customHeight="1" x14ac:dyDescent="0.2">
      <c r="B5" s="1257" t="s">
        <v>1169</v>
      </c>
      <c r="C5" s="1257"/>
      <c r="L5" s="322"/>
    </row>
    <row r="6" spans="1:12" ht="30.75" customHeight="1" x14ac:dyDescent="0.2">
      <c r="A6" s="322"/>
      <c r="B6" s="2491" t="s">
        <v>1308</v>
      </c>
      <c r="C6" s="2491"/>
      <c r="D6" s="2491"/>
      <c r="E6" s="2491"/>
      <c r="F6" s="2491"/>
      <c r="G6" s="2491"/>
      <c r="H6" s="2491"/>
      <c r="I6" s="2491"/>
      <c r="J6" s="2491"/>
      <c r="K6" s="2491"/>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73"/>
      <c r="G12" s="2473"/>
      <c r="H12" s="2473"/>
      <c r="I12" s="2473"/>
      <c r="J12" s="2473"/>
      <c r="K12" s="2473"/>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6"/>
      <c r="E14" s="2486"/>
      <c r="F14" s="2486"/>
      <c r="H14" s="1459" t="s">
        <v>1303</v>
      </c>
      <c r="I14" s="2487"/>
      <c r="J14" s="2487"/>
      <c r="K14" s="2487"/>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7"/>
      <c r="E16" s="2487"/>
      <c r="F16" s="2487"/>
      <c r="G16" s="2487"/>
      <c r="H16" s="2487"/>
      <c r="I16" s="2487"/>
      <c r="J16" s="2487"/>
      <c r="K16" s="2487"/>
      <c r="L16" s="322"/>
    </row>
    <row r="17" spans="2:12" ht="13.5" customHeight="1" x14ac:dyDescent="0.2">
      <c r="B17" s="1384" t="s">
        <v>1301</v>
      </c>
      <c r="C17" s="1384"/>
      <c r="D17" s="2488"/>
      <c r="E17" s="2488"/>
      <c r="F17" s="2488"/>
      <c r="G17" s="2488"/>
      <c r="H17" s="2488"/>
      <c r="I17" s="2488"/>
      <c r="J17" s="2488"/>
      <c r="K17" s="2488"/>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81"/>
      <c r="C20" s="2481"/>
      <c r="D20" s="2481"/>
      <c r="E20" s="2481"/>
      <c r="F20" s="2481"/>
      <c r="G20" s="2481"/>
      <c r="H20" s="2481"/>
      <c r="I20" s="2481"/>
      <c r="J20" s="2481"/>
      <c r="K20" s="2481"/>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81"/>
      <c r="C23" s="2481"/>
      <c r="D23" s="2481"/>
      <c r="E23" s="2481"/>
      <c r="F23" s="2481"/>
      <c r="G23" s="2481"/>
      <c r="H23" s="2481"/>
      <c r="I23" s="2481"/>
      <c r="J23" s="2481"/>
      <c r="K23" s="2481"/>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81"/>
      <c r="C26" s="2481"/>
      <c r="D26" s="2481"/>
      <c r="E26" s="2481"/>
      <c r="F26" s="2481"/>
      <c r="G26" s="2481"/>
      <c r="H26" s="2481"/>
      <c r="I26" s="2481"/>
      <c r="J26" s="2481"/>
      <c r="K26" s="2481"/>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81"/>
      <c r="C29" s="2481"/>
      <c r="D29" s="2481"/>
      <c r="E29" s="2481"/>
      <c r="F29" s="2481"/>
      <c r="G29" s="2481"/>
      <c r="H29" s="2481"/>
      <c r="I29" s="2481"/>
      <c r="J29" s="2481"/>
      <c r="K29" s="2481"/>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81"/>
      <c r="C32" s="2481"/>
      <c r="D32" s="2481"/>
      <c r="E32" s="2481"/>
      <c r="F32" s="2481"/>
      <c r="G32" s="2481"/>
      <c r="H32" s="2481"/>
      <c r="I32" s="2481"/>
      <c r="J32" s="2481"/>
      <c r="K32" s="2481"/>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81"/>
      <c r="C35" s="2481"/>
      <c r="D35" s="2481"/>
      <c r="E35" s="2481"/>
      <c r="F35" s="2481"/>
      <c r="G35" s="2481"/>
      <c r="H35" s="2481"/>
      <c r="I35" s="2481"/>
      <c r="J35" s="2481"/>
      <c r="K35" s="2481"/>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81"/>
      <c r="C38" s="2481"/>
      <c r="D38" s="2481"/>
      <c r="E38" s="2481"/>
      <c r="F38" s="2481"/>
      <c r="G38" s="2481"/>
      <c r="H38" s="2481"/>
      <c r="I38" s="2481"/>
      <c r="J38" s="2481"/>
      <c r="K38" s="2481"/>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81"/>
      <c r="C41" s="2481"/>
      <c r="D41" s="2481"/>
      <c r="E41" s="2481"/>
      <c r="F41" s="2481"/>
      <c r="G41" s="2481"/>
      <c r="H41" s="2481"/>
      <c r="I41" s="2481"/>
      <c r="J41" s="2481"/>
      <c r="K41" s="2481"/>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C11" sqref="C11"/>
    </sheetView>
  </sheetViews>
  <sheetFormatPr defaultColWidth="9.140625" defaultRowHeight="12.75" x14ac:dyDescent="0.2"/>
  <cols>
    <col min="1" max="1" width="1.5703125" style="317" customWidth="1"/>
    <col min="2" max="2" width="13.28515625" style="317" customWidth="1"/>
    <col min="3" max="3" width="42.570312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6" t="str">
        <f>'Single Audit Cover'!A7</f>
        <v>Chester-East Lincoln Community CCSD 61</v>
      </c>
      <c r="C1" s="2466"/>
      <c r="D1" s="2466"/>
      <c r="E1" s="1469"/>
    </row>
    <row r="2" spans="2:5" s="1279" customFormat="1" ht="12.75" customHeight="1" x14ac:dyDescent="0.2">
      <c r="B2" s="2468">
        <f>'Single Audit Cover'!E7</f>
        <v>17054061004</v>
      </c>
      <c r="C2" s="2468"/>
      <c r="D2" s="2468"/>
      <c r="E2" s="1470"/>
    </row>
    <row r="3" spans="2:5" ht="12.75" customHeight="1" x14ac:dyDescent="0.2">
      <c r="B3" s="2482" t="s">
        <v>1766</v>
      </c>
      <c r="C3" s="2482"/>
      <c r="D3" s="2482"/>
      <c r="E3" s="1271"/>
    </row>
    <row r="4" spans="2:5" s="1279" customFormat="1" ht="12.75" customHeight="1" x14ac:dyDescent="0.2">
      <c r="B4" s="2492" t="str">
        <f>'Single Audit Cover'!A4</f>
        <v>Year Ending June 30, 2019</v>
      </c>
      <c r="C4" s="2492"/>
      <c r="D4" s="2492"/>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t="s">
        <v>2111</v>
      </c>
      <c r="C7" s="324" t="s">
        <v>2112</v>
      </c>
      <c r="D7" s="324" t="s">
        <v>2113</v>
      </c>
      <c r="E7" s="324"/>
    </row>
    <row r="8" spans="2:5" ht="13.5" customHeight="1" x14ac:dyDescent="0.2">
      <c r="B8" s="1474" t="s">
        <v>2114</v>
      </c>
      <c r="C8" s="324" t="s">
        <v>2115</v>
      </c>
      <c r="D8" s="324" t="s">
        <v>2116</v>
      </c>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0" t="s">
        <v>386</v>
      </c>
      <c r="B1" s="2090"/>
      <c r="C1" s="2090"/>
      <c r="D1" s="2090"/>
      <c r="E1" s="2090"/>
      <c r="F1" s="2090"/>
      <c r="G1" s="2090"/>
      <c r="H1" s="2090"/>
      <c r="I1" s="2090"/>
      <c r="J1" s="2090"/>
      <c r="K1" s="2090"/>
      <c r="L1" s="2090"/>
      <c r="M1" s="2090"/>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80580904</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1.86149E-2</v>
      </c>
      <c r="E10" s="356" t="s">
        <v>1005</v>
      </c>
      <c r="F10" s="355">
        <v>2.4819999999999998E-3</v>
      </c>
      <c r="G10" s="356" t="s">
        <v>1005</v>
      </c>
      <c r="H10" s="355">
        <v>1.1772799999999999E-3</v>
      </c>
      <c r="I10" s="356" t="s">
        <v>1006</v>
      </c>
      <c r="J10" s="1732">
        <f>ROUND(D10+F10+H10,5)</f>
        <v>2.2270000000000002E-2</v>
      </c>
      <c r="K10" s="222"/>
      <c r="L10" s="355">
        <v>4.9640000000000003E-4</v>
      </c>
      <c r="M10" s="222"/>
    </row>
    <row r="11" spans="1:14" ht="7.5" customHeight="1" x14ac:dyDescent="0.2">
      <c r="B11" s="222"/>
      <c r="C11" s="222"/>
      <c r="D11" s="2100" t="str">
        <f>IF(SUM(J10)&lt;=0.0999999,"","Enter the Tax Rates by moving the decimal two places to the left.")</f>
        <v/>
      </c>
      <c r="E11" s="2101"/>
      <c r="F11" s="2101"/>
      <c r="G11" s="2101"/>
      <c r="H11" s="2101"/>
      <c r="I11" s="2101"/>
      <c r="J11" s="210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2789904</v>
      </c>
      <c r="E16" s="356"/>
      <c r="F16" s="1733">
        <f>SUM('Acct Summary 7-8'!C17,'Acct Summary 7-8'!D17,'Acct Summary 7-8'!F17)</f>
        <v>2322721</v>
      </c>
      <c r="G16" s="356"/>
      <c r="H16" s="1733">
        <f>SUM(D16-F16)</f>
        <v>467183</v>
      </c>
      <c r="I16" s="222"/>
      <c r="J16" s="1733">
        <f>SUM('Acct Summary 7-8'!C81,'Acct Summary 7-8'!D81,'Acct Summary 7-8'!F81,'Acct Summary 7-8'!I81)</f>
        <v>2808357</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2065</v>
      </c>
      <c r="C31" s="367" t="s">
        <v>586</v>
      </c>
      <c r="D31" s="237" t="s">
        <v>1072</v>
      </c>
      <c r="E31" s="222"/>
      <c r="F31" s="222"/>
      <c r="G31" s="363"/>
      <c r="H31" s="1735">
        <f>IF(B31="X",(J7*0.069),IF(B32="X",(J7*0.138),"Enter x in a.or b."))</f>
        <v>5560082.3760000002</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2175000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91"/>
      <c r="C54" s="2092"/>
      <c r="D54" s="2092"/>
      <c r="E54" s="2092"/>
      <c r="F54" s="2092"/>
      <c r="G54" s="2092"/>
      <c r="H54" s="2092"/>
      <c r="I54" s="2092"/>
      <c r="J54" s="2092"/>
      <c r="K54" s="2092"/>
      <c r="L54" s="2093"/>
      <c r="M54" s="380"/>
    </row>
    <row r="55" spans="1:13" ht="12.75" customHeight="1" x14ac:dyDescent="0.2">
      <c r="B55" s="2094"/>
      <c r="C55" s="2095"/>
      <c r="D55" s="2095"/>
      <c r="E55" s="2095"/>
      <c r="F55" s="2095"/>
      <c r="G55" s="2095"/>
      <c r="H55" s="2095"/>
      <c r="I55" s="2095"/>
      <c r="J55" s="2095"/>
      <c r="K55" s="2095"/>
      <c r="L55" s="2096"/>
      <c r="M55" s="380"/>
    </row>
    <row r="56" spans="1:13" ht="12.75" customHeight="1" x14ac:dyDescent="0.2">
      <c r="B56" s="2094"/>
      <c r="C56" s="2095"/>
      <c r="D56" s="2095"/>
      <c r="E56" s="2095"/>
      <c r="F56" s="2095"/>
      <c r="G56" s="2095"/>
      <c r="H56" s="2095"/>
      <c r="I56" s="2095"/>
      <c r="J56" s="2095"/>
      <c r="K56" s="2095"/>
      <c r="L56" s="2096"/>
      <c r="M56" s="222"/>
    </row>
    <row r="57" spans="1:13" ht="12.75" customHeight="1" x14ac:dyDescent="0.2">
      <c r="B57" s="2094"/>
      <c r="C57" s="2095"/>
      <c r="D57" s="2095"/>
      <c r="E57" s="2095"/>
      <c r="F57" s="2095"/>
      <c r="G57" s="2095"/>
      <c r="H57" s="2095"/>
      <c r="I57" s="2095"/>
      <c r="J57" s="2095"/>
      <c r="K57" s="2095"/>
      <c r="L57" s="2096"/>
      <c r="M57" s="222"/>
    </row>
    <row r="58" spans="1:13" x14ac:dyDescent="0.2">
      <c r="B58" s="2097"/>
      <c r="C58" s="2098"/>
      <c r="D58" s="2098"/>
      <c r="E58" s="2098"/>
      <c r="F58" s="2098"/>
      <c r="G58" s="2098"/>
      <c r="H58" s="2098"/>
      <c r="I58" s="2098"/>
      <c r="J58" s="2098"/>
      <c r="K58" s="2098"/>
      <c r="L58" s="209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2"/>
      <c r="D61" s="210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topLeftCell="A15" zoomScale="110" zoomScaleNormal="110" workbookViewId="0">
      <selection activeCell="M1" sqref="M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5"/>
      <c r="B1" s="2106"/>
      <c r="C1" s="2106"/>
      <c r="D1" s="384"/>
      <c r="E1" s="384"/>
      <c r="F1" s="384"/>
      <c r="G1" s="384"/>
      <c r="H1" s="384"/>
      <c r="I1" s="384"/>
      <c r="J1" s="384"/>
      <c r="K1" s="384"/>
      <c r="L1" s="384"/>
      <c r="M1" s="384"/>
      <c r="N1" s="384"/>
      <c r="O1" s="2105"/>
      <c r="P1" s="2106"/>
      <c r="Q1" s="2106"/>
    </row>
    <row r="2" spans="1:18" ht="15" x14ac:dyDescent="0.2">
      <c r="A2" s="2109" t="s">
        <v>556</v>
      </c>
      <c r="B2" s="2109"/>
      <c r="C2" s="2109"/>
      <c r="D2" s="2109"/>
      <c r="E2" s="2109"/>
      <c r="F2" s="2109"/>
      <c r="G2" s="2109"/>
      <c r="H2" s="2109"/>
      <c r="I2" s="2109"/>
      <c r="J2" s="2109"/>
      <c r="K2" s="2109"/>
      <c r="L2" s="2109"/>
      <c r="M2" s="2109"/>
      <c r="N2" s="2109"/>
      <c r="O2" s="2109"/>
      <c r="P2" s="2109"/>
      <c r="Q2" s="2109"/>
      <c r="R2" s="2109"/>
    </row>
    <row r="3" spans="1:18" ht="12.75" x14ac:dyDescent="0.2">
      <c r="A3" s="2110" t="s">
        <v>1413</v>
      </c>
      <c r="B3" s="2110"/>
      <c r="C3" s="2110"/>
      <c r="D3" s="2110"/>
      <c r="E3" s="2110"/>
      <c r="F3" s="2110"/>
      <c r="G3" s="2110"/>
      <c r="H3" s="2110"/>
      <c r="I3" s="2110"/>
      <c r="J3" s="2110"/>
      <c r="K3" s="2110"/>
      <c r="L3" s="2110"/>
      <c r="M3" s="2110"/>
      <c r="N3" s="2110"/>
      <c r="O3" s="2110"/>
      <c r="P3" s="2110"/>
      <c r="Q3" s="2110"/>
      <c r="R3" s="2110"/>
    </row>
    <row r="4" spans="1:18" x14ac:dyDescent="0.2">
      <c r="A4" s="2111" t="s">
        <v>1554</v>
      </c>
      <c r="B4" s="2111"/>
      <c r="C4" s="2111"/>
      <c r="D4" s="2111"/>
      <c r="E4" s="2111"/>
      <c r="F4" s="2111"/>
      <c r="G4" s="2111"/>
      <c r="H4" s="2111"/>
      <c r="I4" s="2111"/>
      <c r="J4" s="2111"/>
      <c r="K4" s="2111"/>
      <c r="L4" s="2111"/>
      <c r="M4" s="2111"/>
      <c r="N4" s="2111"/>
      <c r="O4" s="2111"/>
      <c r="P4" s="2111"/>
      <c r="Q4" s="2111"/>
      <c r="R4" s="211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Chester-East Lincoln Community CCSD 61</v>
      </c>
      <c r="E7" s="391"/>
      <c r="G7" s="252"/>
      <c r="H7" s="387"/>
      <c r="I7" s="387"/>
      <c r="J7" s="387"/>
      <c r="K7" s="387"/>
      <c r="L7" s="329"/>
      <c r="M7" s="329"/>
      <c r="N7" s="329"/>
      <c r="O7" s="329"/>
      <c r="P7" s="329"/>
    </row>
    <row r="8" spans="1:18" ht="12.75" x14ac:dyDescent="0.2">
      <c r="A8" s="329"/>
      <c r="B8" s="329"/>
      <c r="C8" s="389" t="s">
        <v>1125</v>
      </c>
      <c r="D8" s="392">
        <f>COVER!A13</f>
        <v>17054061004</v>
      </c>
      <c r="E8" s="393"/>
      <c r="G8" s="329"/>
      <c r="H8" s="329"/>
      <c r="I8" s="329"/>
      <c r="J8" s="329"/>
      <c r="K8" s="329"/>
      <c r="L8" s="329"/>
      <c r="M8" s="329"/>
      <c r="N8" s="329"/>
      <c r="O8" s="329"/>
      <c r="P8" s="329"/>
    </row>
    <row r="9" spans="1:18" ht="12.75" x14ac:dyDescent="0.2">
      <c r="A9" s="329"/>
      <c r="B9" s="329"/>
      <c r="C9" s="389" t="s">
        <v>713</v>
      </c>
      <c r="D9" s="394" t="str">
        <f>COVER!A15</f>
        <v>Logan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2808357</v>
      </c>
      <c r="I12" s="404"/>
      <c r="J12" s="404"/>
      <c r="K12" s="405">
        <f>TRUNC((H12/H13*100000),5)/100000</f>
        <v>1.0066142060000001</v>
      </c>
      <c r="L12" s="406"/>
      <c r="M12" s="360" t="s">
        <v>1144</v>
      </c>
      <c r="N12" s="360"/>
      <c r="O12" s="407">
        <v>0.35</v>
      </c>
      <c r="P12" s="218"/>
      <c r="Q12" s="218"/>
    </row>
    <row r="13" spans="1:18" s="408" customFormat="1" ht="12.75" x14ac:dyDescent="0.2">
      <c r="A13" s="218"/>
      <c r="B13" s="401"/>
      <c r="C13" s="2107" t="s">
        <v>1324</v>
      </c>
      <c r="D13" s="2108"/>
      <c r="E13" s="218"/>
      <c r="F13" s="409" t="s">
        <v>793</v>
      </c>
      <c r="G13" s="402"/>
      <c r="H13" s="403">
        <f>SUM('Acct Summary 7-8'!C8+'Acct Summary 7-8'!D8+'Acct Summary 7-8'!F8+'Acct Summary 7-8'!I8)+H14</f>
        <v>2789904</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2322721</v>
      </c>
      <c r="I17" s="404"/>
      <c r="J17" s="416"/>
      <c r="K17" s="405">
        <f>TRUNC((H17/H18*100000),5)/100000</f>
        <v>0.83254513409999997</v>
      </c>
      <c r="L17" s="406"/>
      <c r="M17" s="417" t="s">
        <v>1171</v>
      </c>
      <c r="O17" s="418" t="str">
        <f>IF(AND(O16="2", J20 &gt; 2),"1",IF(AND(O16 = "1", J20 &gt; 2),"2",IF(AND(O16="1", J20 &gt;1),"1","0")))</f>
        <v>0</v>
      </c>
      <c r="P17" s="218"/>
    </row>
    <row r="18" spans="1:18" s="408" customFormat="1" ht="11.25" x14ac:dyDescent="0.2">
      <c r="A18" s="218"/>
      <c r="B18" s="401"/>
      <c r="C18" s="2107" t="s">
        <v>1317</v>
      </c>
      <c r="D18" s="2108"/>
      <c r="E18" s="218"/>
      <c r="F18" s="419" t="s">
        <v>794</v>
      </c>
      <c r="G18" s="402"/>
      <c r="H18" s="403">
        <f>SUM('Acct Summary 7-8'!C8+'Acct Summary 7-8'!D8+'Acct Summary 7-8'!F8+'Acct Summary 7-8'!I8)+H19</f>
        <v>2789904</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4" t="s">
        <v>1412</v>
      </c>
      <c r="D24" s="2104"/>
      <c r="E24" s="218"/>
      <c r="F24" s="218" t="s">
        <v>445</v>
      </c>
      <c r="G24" s="402"/>
      <c r="H24" s="403">
        <f>SUM('Assets-Liab 5-6'!C4+'Assets-Liab 5-6'!D4+'Assets-Liab 5-6'!F4+'Assets-Liab 5-6'!I4+'Assets-Liab 5-6'!C5+'Assets-Liab 5-6'!D5+'Assets-Liab 5-6'!F5+'Assets-Liab 5-6'!I5)</f>
        <v>2808357</v>
      </c>
      <c r="I24" s="422"/>
      <c r="J24" s="422"/>
      <c r="K24" s="423">
        <f>TRUNC(((H24/H25*100000)/100000),2)</f>
        <v>435.26</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6452.0027799999998</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1525356.22227</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3</v>
      </c>
      <c r="P31" s="216"/>
    </row>
    <row r="32" spans="1:18" s="408" customFormat="1" ht="11.25" x14ac:dyDescent="0.2">
      <c r="A32" s="218"/>
      <c r="B32" s="401"/>
      <c r="C32" s="218" t="s">
        <v>847</v>
      </c>
      <c r="D32" s="218"/>
      <c r="E32" s="218"/>
      <c r="F32" s="218"/>
      <c r="G32" s="402"/>
      <c r="H32" s="403">
        <f>'FP Info 3'!H37</f>
        <v>2175000</v>
      </c>
      <c r="I32" s="420"/>
      <c r="J32" s="420"/>
      <c r="K32" s="423">
        <f>TRUNC(100-((((H32/H33*100))*100)/100),2)</f>
        <v>60.88</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5560082.3760000002</v>
      </c>
      <c r="I33" s="420"/>
      <c r="J33" s="420"/>
      <c r="K33" s="403"/>
      <c r="L33" s="218"/>
      <c r="M33" s="435" t="s">
        <v>1145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3.8999999999999995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25" activePane="bottomLeft" state="frozen"/>
      <selection pane="bottomLeft" activeCell="C42" sqref="C4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2"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3"/>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4" t="s">
        <v>973</v>
      </c>
      <c r="B3" s="2115"/>
      <c r="C3" s="1559"/>
      <c r="D3" s="1560"/>
      <c r="E3" s="1560"/>
      <c r="F3" s="1560"/>
      <c r="G3" s="1560"/>
      <c r="H3" s="1560"/>
      <c r="I3" s="1560"/>
      <c r="J3" s="1560"/>
      <c r="K3" s="1560"/>
      <c r="L3" s="1560"/>
      <c r="M3" s="1561"/>
      <c r="N3" s="1562"/>
    </row>
    <row r="4" spans="1:14" ht="13.5" customHeight="1" x14ac:dyDescent="0.2">
      <c r="A4" s="463" t="s">
        <v>1651</v>
      </c>
      <c r="B4" s="464"/>
      <c r="C4" s="465">
        <v>1234291</v>
      </c>
      <c r="D4" s="466">
        <v>237869</v>
      </c>
      <c r="E4" s="466">
        <v>154409</v>
      </c>
      <c r="F4" s="466">
        <v>440266</v>
      </c>
      <c r="G4" s="466">
        <v>105455</v>
      </c>
      <c r="H4" s="466">
        <v>18402</v>
      </c>
      <c r="I4" s="466">
        <v>384357</v>
      </c>
      <c r="J4" s="467">
        <v>108932</v>
      </c>
      <c r="K4" s="466">
        <v>49957</v>
      </c>
      <c r="L4" s="466">
        <v>42133</v>
      </c>
      <c r="M4" s="468"/>
      <c r="N4" s="469"/>
    </row>
    <row r="5" spans="1:14" x14ac:dyDescent="0.2">
      <c r="A5" s="463" t="s">
        <v>992</v>
      </c>
      <c r="B5" s="470">
        <v>120</v>
      </c>
      <c r="C5" s="465">
        <v>511574</v>
      </c>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1745865</v>
      </c>
      <c r="D13" s="1737">
        <f t="shared" ref="D13:L13" si="0">SUM(D4:D12)</f>
        <v>237869</v>
      </c>
      <c r="E13" s="1737">
        <f t="shared" si="0"/>
        <v>154409</v>
      </c>
      <c r="F13" s="1737">
        <f t="shared" si="0"/>
        <v>440266</v>
      </c>
      <c r="G13" s="1737">
        <f t="shared" si="0"/>
        <v>105455</v>
      </c>
      <c r="H13" s="1737">
        <f t="shared" si="0"/>
        <v>18402</v>
      </c>
      <c r="I13" s="1737">
        <f t="shared" si="0"/>
        <v>384357</v>
      </c>
      <c r="J13" s="1737">
        <f t="shared" si="0"/>
        <v>108932</v>
      </c>
      <c r="K13" s="1737">
        <f t="shared" si="0"/>
        <v>49957</v>
      </c>
      <c r="L13" s="1737">
        <f t="shared" si="0"/>
        <v>42133</v>
      </c>
      <c r="M13" s="468"/>
      <c r="N13" s="469"/>
    </row>
    <row r="14" spans="1:14" ht="18" customHeight="1" thickTop="1" x14ac:dyDescent="0.2">
      <c r="A14" s="2116" t="s">
        <v>147</v>
      </c>
      <c r="B14" s="2117"/>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19100</v>
      </c>
      <c r="N16" s="484"/>
    </row>
    <row r="17" spans="1:14" s="485" customFormat="1" ht="12.75" customHeight="1" x14ac:dyDescent="0.2">
      <c r="A17" s="482" t="s">
        <v>1403</v>
      </c>
      <c r="B17" s="483">
        <v>230</v>
      </c>
      <c r="C17" s="477"/>
      <c r="D17" s="477"/>
      <c r="E17" s="477"/>
      <c r="F17" s="477"/>
      <c r="G17" s="477"/>
      <c r="H17" s="477"/>
      <c r="I17" s="477"/>
      <c r="J17" s="477"/>
      <c r="K17" s="477"/>
      <c r="L17" s="477"/>
      <c r="M17" s="467">
        <v>5875639</v>
      </c>
      <c r="N17" s="484"/>
    </row>
    <row r="18" spans="1:14" s="485" customFormat="1" ht="12.75" customHeight="1" x14ac:dyDescent="0.2">
      <c r="A18" s="482" t="s">
        <v>1404</v>
      </c>
      <c r="B18" s="483">
        <v>240</v>
      </c>
      <c r="C18" s="477"/>
      <c r="D18" s="477"/>
      <c r="E18" s="477"/>
      <c r="F18" s="477"/>
      <c r="G18" s="477"/>
      <c r="H18" s="477"/>
      <c r="I18" s="477"/>
      <c r="J18" s="477"/>
      <c r="K18" s="477"/>
      <c r="L18" s="477"/>
      <c r="M18" s="467">
        <v>87755</v>
      </c>
      <c r="N18" s="484"/>
    </row>
    <row r="19" spans="1:14" s="485" customFormat="1" ht="12.75" customHeight="1" x14ac:dyDescent="0.2">
      <c r="A19" s="482" t="s">
        <v>1405</v>
      </c>
      <c r="B19" s="483">
        <v>250</v>
      </c>
      <c r="C19" s="477"/>
      <c r="D19" s="477"/>
      <c r="E19" s="477"/>
      <c r="F19" s="477"/>
      <c r="G19" s="477"/>
      <c r="H19" s="477"/>
      <c r="I19" s="477"/>
      <c r="J19" s="477"/>
      <c r="K19" s="477"/>
      <c r="L19" s="477"/>
      <c r="M19" s="467">
        <v>303024</v>
      </c>
      <c r="N19" s="484"/>
    </row>
    <row r="20" spans="1:14" s="485" customFormat="1" ht="12.75" customHeight="1" x14ac:dyDescent="0.2">
      <c r="A20" s="482" t="s">
        <v>1406</v>
      </c>
      <c r="B20" s="483">
        <v>260</v>
      </c>
      <c r="C20" s="477"/>
      <c r="D20" s="477"/>
      <c r="E20" s="477"/>
      <c r="F20" s="477"/>
      <c r="G20" s="477"/>
      <c r="H20" s="477"/>
      <c r="I20" s="477"/>
      <c r="J20" s="477"/>
      <c r="K20" s="477"/>
      <c r="L20" s="477"/>
      <c r="M20" s="467">
        <v>10000</v>
      </c>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154409</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2020591</v>
      </c>
    </row>
    <row r="23" spans="1:14" ht="13.5" customHeight="1" thickBot="1" x14ac:dyDescent="0.25">
      <c r="A23" s="1736" t="s">
        <v>643</v>
      </c>
      <c r="B23" s="1741"/>
      <c r="C23" s="468"/>
      <c r="D23" s="468"/>
      <c r="E23" s="468"/>
      <c r="F23" s="468"/>
      <c r="G23" s="468"/>
      <c r="H23" s="468"/>
      <c r="I23" s="468"/>
      <c r="J23" s="468"/>
      <c r="K23" s="468"/>
      <c r="L23" s="468"/>
      <c r="M23" s="1688">
        <f>SUM(M15:M22)</f>
        <v>6295518</v>
      </c>
      <c r="N23" s="1688">
        <f>SUM(N21:N22)</f>
        <v>2175000</v>
      </c>
    </row>
    <row r="24" spans="1:14" ht="18" customHeight="1" thickTop="1" x14ac:dyDescent="0.2">
      <c r="A24" s="2118" t="s">
        <v>598</v>
      </c>
      <c r="B24" s="2119"/>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42133</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42133</v>
      </c>
      <c r="M34" s="468"/>
      <c r="N34" s="480"/>
    </row>
    <row r="35" spans="1:14" ht="18" customHeight="1" thickTop="1" x14ac:dyDescent="0.2">
      <c r="A35" s="2120" t="s">
        <v>529</v>
      </c>
      <c r="B35" s="2121"/>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2175000</v>
      </c>
    </row>
    <row r="37" spans="1:14" ht="13.5" thickBot="1" x14ac:dyDescent="0.25">
      <c r="A37" s="1736" t="s">
        <v>653</v>
      </c>
      <c r="B37" s="1741"/>
      <c r="C37" s="477"/>
      <c r="D37" s="477"/>
      <c r="E37" s="477"/>
      <c r="F37" s="477"/>
      <c r="G37" s="477"/>
      <c r="H37" s="477"/>
      <c r="I37" s="477"/>
      <c r="J37" s="477"/>
      <c r="K37" s="477"/>
      <c r="L37" s="480"/>
      <c r="M37" s="468"/>
      <c r="N37" s="1688">
        <f>SUM(N36:N36)</f>
        <v>2175000</v>
      </c>
    </row>
    <row r="38" spans="1:14" s="329" customFormat="1" ht="13.5" customHeight="1" thickTop="1" x14ac:dyDescent="0.2">
      <c r="A38" s="496" t="s">
        <v>420</v>
      </c>
      <c r="B38" s="483">
        <v>714</v>
      </c>
      <c r="C38" s="466">
        <v>69374</v>
      </c>
      <c r="D38" s="466"/>
      <c r="E38" s="466"/>
      <c r="F38" s="466"/>
      <c r="G38" s="466"/>
      <c r="H38" s="466"/>
      <c r="I38" s="466"/>
      <c r="J38" s="467"/>
      <c r="K38" s="466"/>
      <c r="L38" s="481"/>
      <c r="M38" s="497"/>
      <c r="N38" s="497"/>
    </row>
    <row r="39" spans="1:14" s="329" customFormat="1" ht="13.5" customHeight="1" x14ac:dyDescent="0.2">
      <c r="A39" s="496" t="s">
        <v>342</v>
      </c>
      <c r="B39" s="483">
        <v>730</v>
      </c>
      <c r="C39" s="466">
        <v>1676491</v>
      </c>
      <c r="D39" s="466">
        <v>237869</v>
      </c>
      <c r="E39" s="466">
        <v>154409</v>
      </c>
      <c r="F39" s="466">
        <v>440266</v>
      </c>
      <c r="G39" s="466">
        <v>105455</v>
      </c>
      <c r="H39" s="466">
        <v>18402</v>
      </c>
      <c r="I39" s="466">
        <v>384357</v>
      </c>
      <c r="J39" s="467">
        <v>108932</v>
      </c>
      <c r="K39" s="466">
        <v>49957</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6295518</v>
      </c>
      <c r="N40" s="497"/>
    </row>
    <row r="41" spans="1:14" ht="13.5" customHeight="1" thickBot="1" x14ac:dyDescent="0.25">
      <c r="A41" s="1736" t="s">
        <v>655</v>
      </c>
      <c r="B41" s="1706"/>
      <c r="C41" s="1688">
        <f>(SUM(C34,C37,C38,C39))</f>
        <v>1745865</v>
      </c>
      <c r="D41" s="1688">
        <f t="shared" ref="D41:L41" si="2">SUM(D34,D37,D38:D39)</f>
        <v>237869</v>
      </c>
      <c r="E41" s="1688">
        <f t="shared" si="2"/>
        <v>154409</v>
      </c>
      <c r="F41" s="1688">
        <f t="shared" si="2"/>
        <v>440266</v>
      </c>
      <c r="G41" s="1688">
        <f t="shared" si="2"/>
        <v>105455</v>
      </c>
      <c r="H41" s="1688">
        <f t="shared" si="2"/>
        <v>18402</v>
      </c>
      <c r="I41" s="1688">
        <f t="shared" si="2"/>
        <v>384357</v>
      </c>
      <c r="J41" s="1688">
        <f t="shared" si="2"/>
        <v>108932</v>
      </c>
      <c r="K41" s="1688">
        <f t="shared" si="2"/>
        <v>49957</v>
      </c>
      <c r="L41" s="1688">
        <f t="shared" si="2"/>
        <v>42133</v>
      </c>
      <c r="M41" s="1688">
        <f>SUM(M40)</f>
        <v>6295518</v>
      </c>
      <c r="N41" s="1688">
        <f>SUM(N37)</f>
        <v>2175000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69" activePane="bottomLeft" state="frozen"/>
      <selection pane="bottomLeft" activeCell="D87" sqref="D87"/>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0"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31"/>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2" t="s">
        <v>1175</v>
      </c>
      <c r="B3" s="2143"/>
      <c r="C3" s="1573"/>
      <c r="D3" s="1574"/>
      <c r="E3" s="1574"/>
      <c r="F3" s="1574"/>
      <c r="G3" s="1574"/>
      <c r="H3" s="1574"/>
      <c r="I3" s="1574"/>
      <c r="J3" s="1574"/>
      <c r="K3" s="1575"/>
      <c r="L3" s="506"/>
    </row>
    <row r="4" spans="1:13" ht="15.75" customHeight="1" x14ac:dyDescent="0.2">
      <c r="A4" s="1928" t="s">
        <v>1499</v>
      </c>
      <c r="B4" s="1929">
        <v>1000</v>
      </c>
      <c r="C4" s="1742">
        <f>'Revenues 9-14'!C109</f>
        <v>1813433</v>
      </c>
      <c r="D4" s="1742">
        <f>'Revenues 9-14'!D109</f>
        <v>198109</v>
      </c>
      <c r="E4" s="1742">
        <f>'Revenues 9-14'!E109</f>
        <v>199696</v>
      </c>
      <c r="F4" s="1742">
        <f>'Revenues 9-14'!F109</f>
        <v>97518</v>
      </c>
      <c r="G4" s="1742">
        <f>'Revenues 9-14'!G109</f>
        <v>100006</v>
      </c>
      <c r="H4" s="1742">
        <f>'Revenues 9-14'!H109</f>
        <v>28</v>
      </c>
      <c r="I4" s="1742">
        <f>'Revenues 9-14'!I109</f>
        <v>45573</v>
      </c>
      <c r="J4" s="1742">
        <f>'Revenues 9-14'!J109</f>
        <v>103461</v>
      </c>
      <c r="K4" s="1742">
        <f>'Revenues 9-14'!K109</f>
        <v>39302</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325533</v>
      </c>
      <c r="D6" s="1743">
        <f>'Revenues 9-14'!D170</f>
        <v>0</v>
      </c>
      <c r="E6" s="1743">
        <f>'Revenues 9-14'!E170</f>
        <v>0</v>
      </c>
      <c r="F6" s="1743">
        <f>'Revenues 9-14'!F170</f>
        <v>100893</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208845</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2347811</v>
      </c>
      <c r="D8" s="1688">
        <f t="shared" ref="D8:K8" si="0">SUM(D4:D7)</f>
        <v>198109</v>
      </c>
      <c r="E8" s="1688">
        <f t="shared" si="0"/>
        <v>199696</v>
      </c>
      <c r="F8" s="1688">
        <f t="shared" si="0"/>
        <v>198411</v>
      </c>
      <c r="G8" s="1688">
        <f t="shared" si="0"/>
        <v>100006</v>
      </c>
      <c r="H8" s="1688">
        <f t="shared" si="0"/>
        <v>28</v>
      </c>
      <c r="I8" s="1688">
        <f t="shared" si="0"/>
        <v>45573</v>
      </c>
      <c r="J8" s="1688">
        <f t="shared" si="0"/>
        <v>103461</v>
      </c>
      <c r="K8" s="1688">
        <f t="shared" si="0"/>
        <v>39302</v>
      </c>
      <c r="L8" s="347"/>
    </row>
    <row r="9" spans="1:13" ht="15.75" thickTop="1" x14ac:dyDescent="0.2">
      <c r="A9" s="514" t="s">
        <v>1653</v>
      </c>
      <c r="B9" s="515">
        <v>3998</v>
      </c>
      <c r="C9" s="481">
        <v>961988</v>
      </c>
      <c r="D9" s="516"/>
      <c r="E9" s="481"/>
      <c r="F9" s="481"/>
      <c r="G9" s="517"/>
      <c r="H9" s="481"/>
      <c r="I9" s="509" t="s">
        <v>1169</v>
      </c>
      <c r="J9" s="478"/>
      <c r="K9" s="481"/>
      <c r="L9" s="347"/>
    </row>
    <row r="10" spans="1:13" s="519" customFormat="1" ht="13.5" thickBot="1" x14ac:dyDescent="0.25">
      <c r="A10" s="1736" t="s">
        <v>1173</v>
      </c>
      <c r="B10" s="1709"/>
      <c r="C10" s="1688">
        <f>SUM(C8:C9)</f>
        <v>3309799</v>
      </c>
      <c r="D10" s="1688">
        <f t="shared" ref="D10:K10" si="1">SUM(D8:D9)</f>
        <v>198109</v>
      </c>
      <c r="E10" s="1688">
        <f t="shared" si="1"/>
        <v>199696</v>
      </c>
      <c r="F10" s="1688">
        <f t="shared" si="1"/>
        <v>198411</v>
      </c>
      <c r="G10" s="1688">
        <f t="shared" si="1"/>
        <v>100006</v>
      </c>
      <c r="H10" s="1688">
        <f t="shared" si="1"/>
        <v>28</v>
      </c>
      <c r="I10" s="1688">
        <f t="shared" si="1"/>
        <v>45573</v>
      </c>
      <c r="J10" s="1688">
        <f t="shared" si="1"/>
        <v>103461</v>
      </c>
      <c r="K10" s="1688">
        <f t="shared" si="1"/>
        <v>39302</v>
      </c>
      <c r="L10" s="518"/>
    </row>
    <row r="11" spans="1:13" s="519" customFormat="1" ht="16.7" customHeight="1" thickTop="1" x14ac:dyDescent="0.2">
      <c r="A11" s="2116" t="s">
        <v>1176</v>
      </c>
      <c r="B11" s="2117"/>
      <c r="C11" s="1570"/>
      <c r="D11" s="1571"/>
      <c r="E11" s="1571"/>
      <c r="F11" s="1571"/>
      <c r="G11" s="1571"/>
      <c r="H11" s="1571"/>
      <c r="I11" s="1571"/>
      <c r="J11" s="1571"/>
      <c r="K11" s="1572"/>
      <c r="L11" s="518"/>
    </row>
    <row r="12" spans="1:13" ht="15.75" customHeight="1" x14ac:dyDescent="0.2">
      <c r="A12" s="1576" t="s">
        <v>456</v>
      </c>
      <c r="B12" s="1578">
        <v>1000</v>
      </c>
      <c r="C12" s="1742">
        <f>'Expenditures 15-22'!K33</f>
        <v>1415885</v>
      </c>
      <c r="D12" s="520" t="s">
        <v>1169</v>
      </c>
      <c r="E12" s="468" t="s">
        <v>1169</v>
      </c>
      <c r="F12" s="468" t="s">
        <v>1169</v>
      </c>
      <c r="G12" s="1742">
        <f>'Expenditures 15-22'!K229</f>
        <v>30729</v>
      </c>
      <c r="H12" s="521"/>
      <c r="I12" s="468" t="s">
        <v>1169</v>
      </c>
      <c r="J12" s="468" t="s">
        <v>1169</v>
      </c>
      <c r="K12" s="521" t="s">
        <v>1169</v>
      </c>
      <c r="L12" s="347"/>
    </row>
    <row r="13" spans="1:13" ht="15.75" customHeight="1" x14ac:dyDescent="0.2">
      <c r="A13" s="1576" t="s">
        <v>457</v>
      </c>
      <c r="B13" s="1578">
        <v>2000</v>
      </c>
      <c r="C13" s="1743">
        <f>'Expenditures 15-22'!K74</f>
        <v>486609</v>
      </c>
      <c r="D13" s="1743">
        <f>'Expenditures 15-22'!K129</f>
        <v>187165</v>
      </c>
      <c r="E13" s="469" t="s">
        <v>1169</v>
      </c>
      <c r="F13" s="1743">
        <f>'Expenditures 15-22'!K184</f>
        <v>180649</v>
      </c>
      <c r="G13" s="1743">
        <f>'Expenditures 15-22'!K279</f>
        <v>45631</v>
      </c>
      <c r="H13" s="1743">
        <f>'Expenditures 15-22'!K303</f>
        <v>0</v>
      </c>
      <c r="I13" s="468" t="s">
        <v>1169</v>
      </c>
      <c r="J13" s="1743">
        <f>'Expenditures 15-22'!K330</f>
        <v>73340</v>
      </c>
      <c r="K13" s="1747">
        <f>'Expenditures 15-22'!K352</f>
        <v>19607</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52413</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188855</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1954907</v>
      </c>
      <c r="D17" s="1688">
        <f t="shared" si="2"/>
        <v>187165</v>
      </c>
      <c r="E17" s="1688">
        <f t="shared" si="2"/>
        <v>188855</v>
      </c>
      <c r="F17" s="1688">
        <f t="shared" si="2"/>
        <v>180649</v>
      </c>
      <c r="G17" s="1688">
        <f t="shared" si="2"/>
        <v>76360</v>
      </c>
      <c r="H17" s="1688">
        <f t="shared" si="2"/>
        <v>0</v>
      </c>
      <c r="I17" s="468"/>
      <c r="J17" s="1688">
        <f>SUM(J12:J16)</f>
        <v>73340</v>
      </c>
      <c r="K17" s="1688">
        <f>SUM(K12:K16)</f>
        <v>19607</v>
      </c>
      <c r="L17" s="347"/>
    </row>
    <row r="18" spans="1:12" ht="15" customHeight="1" thickTop="1" x14ac:dyDescent="0.2">
      <c r="A18" s="1744" t="s">
        <v>1654</v>
      </c>
      <c r="B18" s="1745">
        <v>4180</v>
      </c>
      <c r="C18" s="1742">
        <f t="shared" ref="C18:H18" si="3">C9</f>
        <v>961988</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2916895</v>
      </c>
      <c r="D19" s="1688">
        <f t="shared" si="4"/>
        <v>187165</v>
      </c>
      <c r="E19" s="1688">
        <f t="shared" si="4"/>
        <v>188855</v>
      </c>
      <c r="F19" s="1688">
        <f t="shared" si="4"/>
        <v>180649</v>
      </c>
      <c r="G19" s="1688">
        <f t="shared" si="4"/>
        <v>76360</v>
      </c>
      <c r="H19" s="1688">
        <f t="shared" si="4"/>
        <v>0</v>
      </c>
      <c r="I19" s="468"/>
      <c r="J19" s="1688">
        <f>SUM(J17:J18)</f>
        <v>73340</v>
      </c>
      <c r="K19" s="1688">
        <f>SUM(K17:K18)</f>
        <v>19607</v>
      </c>
      <c r="L19" s="347"/>
    </row>
    <row r="20" spans="1:12" ht="16.5" thickTop="1" thickBot="1" x14ac:dyDescent="0.25">
      <c r="A20" s="2132" t="s">
        <v>1655</v>
      </c>
      <c r="B20" s="2133"/>
      <c r="C20" s="1746">
        <f>C8-C17</f>
        <v>392904</v>
      </c>
      <c r="D20" s="1746">
        <f t="shared" ref="D20:K20" si="5">D8-D17</f>
        <v>10944</v>
      </c>
      <c r="E20" s="1746">
        <f t="shared" si="5"/>
        <v>10841</v>
      </c>
      <c r="F20" s="1746">
        <f t="shared" si="5"/>
        <v>17762</v>
      </c>
      <c r="G20" s="1746">
        <f t="shared" si="5"/>
        <v>23646</v>
      </c>
      <c r="H20" s="1746">
        <f t="shared" si="5"/>
        <v>28</v>
      </c>
      <c r="I20" s="1746">
        <f t="shared" si="5"/>
        <v>45573</v>
      </c>
      <c r="J20" s="1746">
        <f t="shared" si="5"/>
        <v>30121</v>
      </c>
      <c r="K20" s="1746">
        <f t="shared" si="5"/>
        <v>19695</v>
      </c>
      <c r="L20" s="347"/>
    </row>
    <row r="21" spans="1:12" ht="16.7" customHeight="1" thickTop="1" x14ac:dyDescent="0.2">
      <c r="A21" s="2144" t="s">
        <v>595</v>
      </c>
      <c r="B21" s="2145"/>
      <c r="C21" s="1570"/>
      <c r="D21" s="1571"/>
      <c r="E21" s="1571"/>
      <c r="F21" s="1571"/>
      <c r="G21" s="1571"/>
      <c r="H21" s="1571"/>
      <c r="I21" s="1571"/>
      <c r="J21" s="1571"/>
      <c r="K21" s="1572"/>
      <c r="L21" s="524"/>
    </row>
    <row r="22" spans="1:12" ht="15.75" customHeight="1" collapsed="1" x14ac:dyDescent="0.2">
      <c r="A22" s="2140" t="s">
        <v>596</v>
      </c>
      <c r="B22" s="2141"/>
      <c r="C22" s="477"/>
      <c r="D22" s="477"/>
      <c r="E22" s="477"/>
      <c r="F22" s="477"/>
      <c r="G22" s="477"/>
      <c r="H22" s="477"/>
      <c r="I22" s="477"/>
      <c r="J22" s="477"/>
      <c r="K22" s="477"/>
      <c r="L22" s="347"/>
    </row>
    <row r="23" spans="1:12" s="485" customFormat="1" ht="15.75" customHeight="1" x14ac:dyDescent="0.2">
      <c r="A23" s="2136" t="s">
        <v>293</v>
      </c>
      <c r="B23" s="2137"/>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8" t="s">
        <v>981</v>
      </c>
      <c r="B32" s="2139"/>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v>600</v>
      </c>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6" t="s">
        <v>374</v>
      </c>
      <c r="B44" s="2147"/>
      <c r="C44" s="1703">
        <f>SUM(C24:C43)</f>
        <v>600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40" t="s">
        <v>108</v>
      </c>
      <c r="B45" s="2141"/>
      <c r="C45" s="528"/>
      <c r="D45" s="528"/>
      <c r="E45" s="528"/>
      <c r="F45" s="528"/>
      <c r="G45" s="528"/>
      <c r="H45" s="528"/>
      <c r="I45" s="528"/>
      <c r="J45" s="528"/>
      <c r="K45" s="528"/>
      <c r="L45" s="347"/>
    </row>
    <row r="46" spans="1:12" s="485" customFormat="1" ht="15.75" customHeight="1" x14ac:dyDescent="0.2">
      <c r="A46" s="2148" t="s">
        <v>109</v>
      </c>
      <c r="B46" s="2149"/>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22" t="s">
        <v>440</v>
      </c>
      <c r="B76" s="2123"/>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4" t="s">
        <v>1177</v>
      </c>
      <c r="B77" s="2125"/>
      <c r="C77" s="1703">
        <f t="shared" ref="C77:K77" si="8">C44-C76</f>
        <v>600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8" t="s">
        <v>597</v>
      </c>
      <c r="B78" s="2129"/>
      <c r="C78" s="1702">
        <f t="shared" ref="C78:K78" si="9">C20+C77</f>
        <v>393504</v>
      </c>
      <c r="D78" s="1702">
        <f t="shared" si="9"/>
        <v>10944</v>
      </c>
      <c r="E78" s="1702">
        <f t="shared" si="9"/>
        <v>10841</v>
      </c>
      <c r="F78" s="1702">
        <f t="shared" si="9"/>
        <v>17762</v>
      </c>
      <c r="G78" s="1702">
        <f t="shared" si="9"/>
        <v>23646</v>
      </c>
      <c r="H78" s="1702">
        <f t="shared" si="9"/>
        <v>28</v>
      </c>
      <c r="I78" s="1702">
        <f t="shared" si="9"/>
        <v>45573</v>
      </c>
      <c r="J78" s="1702">
        <f t="shared" si="9"/>
        <v>30121</v>
      </c>
      <c r="K78" s="1702">
        <f t="shared" si="9"/>
        <v>19695</v>
      </c>
      <c r="L78" s="533"/>
    </row>
    <row r="79" spans="1:12" ht="13.5" thickTop="1" x14ac:dyDescent="0.2">
      <c r="A79" s="1494" t="s">
        <v>1947</v>
      </c>
      <c r="B79" s="534"/>
      <c r="C79" s="478">
        <v>1352361</v>
      </c>
      <c r="D79" s="535">
        <v>226925</v>
      </c>
      <c r="E79" s="535">
        <v>143568</v>
      </c>
      <c r="F79" s="535">
        <v>422504</v>
      </c>
      <c r="G79" s="535">
        <v>81809</v>
      </c>
      <c r="H79" s="535">
        <v>18374</v>
      </c>
      <c r="I79" s="535">
        <v>338784</v>
      </c>
      <c r="J79" s="535">
        <v>78811</v>
      </c>
      <c r="K79" s="535">
        <v>30262</v>
      </c>
      <c r="L79" s="347"/>
    </row>
    <row r="80" spans="1:12" x14ac:dyDescent="0.2">
      <c r="A80" s="2134" t="s">
        <v>1795</v>
      </c>
      <c r="B80" s="2135"/>
      <c r="C80" s="467"/>
      <c r="D80" s="467"/>
      <c r="E80" s="467"/>
      <c r="F80" s="467"/>
      <c r="G80" s="467"/>
      <c r="H80" s="467"/>
      <c r="I80" s="467"/>
      <c r="J80" s="467"/>
      <c r="K80" s="467"/>
      <c r="L80" s="347"/>
    </row>
    <row r="81" spans="1:12" ht="13.5" thickBot="1" x14ac:dyDescent="0.25">
      <c r="A81" s="2126" t="s">
        <v>1948</v>
      </c>
      <c r="B81" s="2127"/>
      <c r="C81" s="1688">
        <f>(SUM(C78:C80))</f>
        <v>1745865</v>
      </c>
      <c r="D81" s="1688">
        <f>SUM(D78:D80)</f>
        <v>237869</v>
      </c>
      <c r="E81" s="1688">
        <f t="shared" ref="E81:K81" si="10">SUM(E78:E80)</f>
        <v>154409</v>
      </c>
      <c r="F81" s="1688">
        <f t="shared" si="10"/>
        <v>440266</v>
      </c>
      <c r="G81" s="1688">
        <f t="shared" si="10"/>
        <v>105455</v>
      </c>
      <c r="H81" s="1688">
        <f t="shared" si="10"/>
        <v>18402</v>
      </c>
      <c r="I81" s="1688">
        <f t="shared" si="10"/>
        <v>384357</v>
      </c>
      <c r="J81" s="1688">
        <f t="shared" si="10"/>
        <v>108932</v>
      </c>
      <c r="K81" s="1688">
        <f t="shared" si="10"/>
        <v>49957</v>
      </c>
      <c r="L81" s="347"/>
    </row>
    <row r="82" spans="1:12" ht="0.75" customHeight="1" thickTop="1" thickBot="1" x14ac:dyDescent="0.25">
      <c r="A82" s="536" t="s">
        <v>343</v>
      </c>
      <c r="B82" s="537"/>
      <c r="C82" s="538">
        <f>(C81-C79)</f>
        <v>393504</v>
      </c>
      <c r="D82" s="538">
        <f t="shared" ref="D82:K82" si="11">(D81-D79)</f>
        <v>10944</v>
      </c>
      <c r="E82" s="538">
        <f t="shared" si="11"/>
        <v>10841</v>
      </c>
      <c r="F82" s="538">
        <f t="shared" si="11"/>
        <v>17762</v>
      </c>
      <c r="G82" s="538">
        <f t="shared" si="11"/>
        <v>23646</v>
      </c>
      <c r="H82" s="538">
        <f t="shared" si="11"/>
        <v>28</v>
      </c>
      <c r="I82" s="538">
        <f t="shared" si="11"/>
        <v>45573</v>
      </c>
      <c r="J82" s="538">
        <f t="shared" si="11"/>
        <v>30121</v>
      </c>
      <c r="K82" s="538">
        <f t="shared" si="11"/>
        <v>19695</v>
      </c>
    </row>
    <row r="83" spans="1:12" ht="14.25" hidden="1" thickTop="1" thickBot="1" x14ac:dyDescent="0.25">
      <c r="A83" s="539" t="s">
        <v>344</v>
      </c>
      <c r="B83" s="464"/>
      <c r="C83" s="540">
        <f>C82/C81</f>
        <v>0.22539199766304954</v>
      </c>
      <c r="D83" s="540">
        <f t="shared" ref="D83:K83" si="12">D82/D81</f>
        <v>4.6008517293131934E-2</v>
      </c>
      <c r="E83" s="540">
        <f t="shared" si="12"/>
        <v>7.0209638039233468E-2</v>
      </c>
      <c r="F83" s="540">
        <f t="shared" si="12"/>
        <v>4.0343792162011151E-2</v>
      </c>
      <c r="G83" s="540">
        <f t="shared" si="12"/>
        <v>0.2242283438433455</v>
      </c>
      <c r="H83" s="540">
        <f t="shared" si="12"/>
        <v>1.5215737419845669E-3</v>
      </c>
      <c r="I83" s="540">
        <f t="shared" si="12"/>
        <v>0.11856945495984202</v>
      </c>
      <c r="J83" s="540">
        <f t="shared" si="12"/>
        <v>0.27651195241067822</v>
      </c>
      <c r="K83" s="540">
        <f t="shared" si="12"/>
        <v>0.39423904557919809</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181" activePane="bottomLeft" state="frozen"/>
      <selection pane="bottomLeft" activeCell="C193" sqref="C193"/>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30" t="s">
        <v>1802</v>
      </c>
      <c r="B1" s="452"/>
      <c r="C1" s="453" t="s">
        <v>425</v>
      </c>
      <c r="D1" s="453" t="s">
        <v>426</v>
      </c>
      <c r="E1" s="453" t="s">
        <v>427</v>
      </c>
      <c r="F1" s="453" t="s">
        <v>428</v>
      </c>
      <c r="G1" s="453" t="s">
        <v>429</v>
      </c>
      <c r="H1" s="453" t="s">
        <v>430</v>
      </c>
      <c r="I1" s="453" t="s">
        <v>431</v>
      </c>
      <c r="J1" s="453" t="s">
        <v>432</v>
      </c>
      <c r="K1" s="453" t="s">
        <v>756</v>
      </c>
    </row>
    <row r="2" spans="1:12" ht="36" x14ac:dyDescent="0.2">
      <c r="A2" s="2131"/>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1483309</v>
      </c>
      <c r="D5" s="481">
        <v>195171</v>
      </c>
      <c r="E5" s="466">
        <v>70646</v>
      </c>
      <c r="F5" s="548">
        <v>93682</v>
      </c>
      <c r="G5" s="466">
        <v>39931</v>
      </c>
      <c r="H5" s="466"/>
      <c r="I5" s="466">
        <v>39035</v>
      </c>
      <c r="J5" s="467">
        <v>102833</v>
      </c>
      <c r="K5" s="466">
        <v>39035</v>
      </c>
    </row>
    <row r="6" spans="1:12" ht="15" x14ac:dyDescent="0.2">
      <c r="A6" s="463" t="s">
        <v>1662</v>
      </c>
      <c r="B6" s="470">
        <v>1130</v>
      </c>
      <c r="C6" s="466">
        <v>19970</v>
      </c>
      <c r="D6" s="466"/>
      <c r="E6" s="475"/>
      <c r="F6" s="475"/>
      <c r="G6" s="468"/>
      <c r="H6" s="468"/>
      <c r="I6" s="468"/>
      <c r="J6" s="468"/>
      <c r="K6" s="468"/>
    </row>
    <row r="7" spans="1:12" x14ac:dyDescent="0.2">
      <c r="A7" s="463" t="s">
        <v>110</v>
      </c>
      <c r="B7" s="549">
        <v>1140</v>
      </c>
      <c r="C7" s="466">
        <v>15614</v>
      </c>
      <c r="D7" s="466"/>
      <c r="E7" s="468"/>
      <c r="F7" s="467"/>
      <c r="G7" s="467"/>
      <c r="H7" s="467"/>
      <c r="I7" s="468"/>
      <c r="J7" s="468"/>
      <c r="K7" s="468"/>
    </row>
    <row r="8" spans="1:12" x14ac:dyDescent="0.2">
      <c r="A8" s="463" t="s">
        <v>413</v>
      </c>
      <c r="B8" s="470">
        <v>1150</v>
      </c>
      <c r="C8" s="475"/>
      <c r="D8" s="475"/>
      <c r="E8" s="477"/>
      <c r="F8" s="477"/>
      <c r="G8" s="481">
        <v>49916</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1518893</v>
      </c>
      <c r="D12" s="1707">
        <f t="shared" si="0"/>
        <v>195171</v>
      </c>
      <c r="E12" s="1707">
        <f t="shared" si="0"/>
        <v>70646</v>
      </c>
      <c r="F12" s="1707">
        <f t="shared" si="0"/>
        <v>93682</v>
      </c>
      <c r="G12" s="1707">
        <f t="shared" si="0"/>
        <v>89847</v>
      </c>
      <c r="H12" s="1707">
        <f t="shared" si="0"/>
        <v>0</v>
      </c>
      <c r="I12" s="1707">
        <f t="shared" si="0"/>
        <v>39035</v>
      </c>
      <c r="J12" s="1707">
        <f t="shared" si="0"/>
        <v>102833</v>
      </c>
      <c r="K12" s="1688">
        <f t="shared" si="0"/>
        <v>39035</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123117</v>
      </c>
      <c r="D16" s="466"/>
      <c r="E16" s="466"/>
      <c r="F16" s="466"/>
      <c r="G16" s="466">
        <v>8105</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123117</v>
      </c>
      <c r="D18" s="1710">
        <f t="shared" ref="D18:K18" si="1">SUM(D14:D17)</f>
        <v>0</v>
      </c>
      <c r="E18" s="1710">
        <f t="shared" si="1"/>
        <v>0</v>
      </c>
      <c r="F18" s="1710">
        <f t="shared" si="1"/>
        <v>0</v>
      </c>
      <c r="G18" s="1710">
        <f t="shared" si="1"/>
        <v>8105</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v>34705</v>
      </c>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v>1545</v>
      </c>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36250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19804</v>
      </c>
      <c r="D65" s="466">
        <v>2028</v>
      </c>
      <c r="E65" s="466">
        <v>820</v>
      </c>
      <c r="F65" s="467">
        <v>3476</v>
      </c>
      <c r="G65" s="466">
        <v>2054</v>
      </c>
      <c r="H65" s="466">
        <v>28</v>
      </c>
      <c r="I65" s="466">
        <v>6538</v>
      </c>
      <c r="J65" s="467">
        <v>510</v>
      </c>
      <c r="K65" s="466">
        <v>267</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19804</v>
      </c>
      <c r="D67" s="1688">
        <f t="shared" ref="D67:K67" si="2">SUM(D65:D66)</f>
        <v>2028</v>
      </c>
      <c r="E67" s="1688">
        <f t="shared" si="2"/>
        <v>820</v>
      </c>
      <c r="F67" s="1688">
        <f t="shared" si="2"/>
        <v>3476</v>
      </c>
      <c r="G67" s="1688">
        <f t="shared" si="2"/>
        <v>2054</v>
      </c>
      <c r="H67" s="1688">
        <f t="shared" si="2"/>
        <v>28</v>
      </c>
      <c r="I67" s="1688">
        <f t="shared" si="2"/>
        <v>6538</v>
      </c>
      <c r="J67" s="1688">
        <f t="shared" si="2"/>
        <v>510</v>
      </c>
      <c r="K67" s="1688">
        <f t="shared" si="2"/>
        <v>267</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54409</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1964</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56373</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5741</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4540</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v>35</v>
      </c>
      <c r="D81" s="466"/>
      <c r="E81" s="468"/>
      <c r="F81" s="468"/>
      <c r="G81" s="468"/>
      <c r="H81" s="468"/>
      <c r="I81" s="468"/>
      <c r="J81" s="468"/>
      <c r="K81" s="468"/>
    </row>
    <row r="82" spans="1:11" ht="12.75" customHeight="1" thickBot="1" x14ac:dyDescent="0.25">
      <c r="A82" s="1708" t="s">
        <v>241</v>
      </c>
      <c r="B82" s="1709"/>
      <c r="C82" s="1707">
        <f>SUM(C77:C81)</f>
        <v>10316</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13825</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13825</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910</v>
      </c>
      <c r="E95" s="521"/>
      <c r="F95" s="521"/>
      <c r="G95" s="521"/>
      <c r="H95" s="521"/>
      <c r="I95" s="521"/>
      <c r="J95" s="521"/>
      <c r="K95" s="521"/>
    </row>
    <row r="96" spans="1:11" ht="12.75" customHeight="1" x14ac:dyDescent="0.2">
      <c r="A96" s="463" t="s">
        <v>391</v>
      </c>
      <c r="B96" s="470">
        <v>1920</v>
      </c>
      <c r="C96" s="551">
        <v>7840</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v>14132</v>
      </c>
      <c r="D98" s="466"/>
      <c r="E98" s="512"/>
      <c r="F98" s="466"/>
      <c r="G98" s="512"/>
      <c r="H98" s="512"/>
      <c r="I98" s="510"/>
      <c r="J98" s="512"/>
      <c r="K98" s="512"/>
    </row>
    <row r="99" spans="1:12" ht="12.75" customHeight="1" x14ac:dyDescent="0.2">
      <c r="A99" s="463" t="s">
        <v>821</v>
      </c>
      <c r="B99" s="470">
        <v>1950</v>
      </c>
      <c r="C99" s="489">
        <v>1225</v>
      </c>
      <c r="D99" s="466"/>
      <c r="E99" s="466"/>
      <c r="F99" s="466"/>
      <c r="G99" s="466"/>
      <c r="H99" s="466"/>
      <c r="I99" s="468"/>
      <c r="J99" s="467">
        <v>118</v>
      </c>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v>128230</v>
      </c>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11658</v>
      </c>
      <c r="D107" s="466"/>
      <c r="E107" s="466"/>
      <c r="F107" s="466">
        <v>360</v>
      </c>
      <c r="G107" s="466"/>
      <c r="H107" s="466"/>
      <c r="I107" s="466"/>
      <c r="J107" s="467"/>
      <c r="K107" s="466"/>
    </row>
    <row r="108" spans="1:12" ht="12.75" customHeight="1" thickBot="1" x14ac:dyDescent="0.25">
      <c r="A108" s="1708" t="s">
        <v>487</v>
      </c>
      <c r="B108" s="1712"/>
      <c r="C108" s="1707">
        <f>SUM(C95:C107)</f>
        <v>34855</v>
      </c>
      <c r="D108" s="1707">
        <f t="shared" ref="D108:K108" si="3">SUM(D95:D107)</f>
        <v>910</v>
      </c>
      <c r="E108" s="1707">
        <f t="shared" si="3"/>
        <v>128230</v>
      </c>
      <c r="F108" s="1707">
        <f t="shared" si="3"/>
        <v>360</v>
      </c>
      <c r="G108" s="1707">
        <f t="shared" si="3"/>
        <v>0</v>
      </c>
      <c r="H108" s="1707">
        <f t="shared" si="3"/>
        <v>0</v>
      </c>
      <c r="I108" s="1707">
        <f t="shared" si="3"/>
        <v>0</v>
      </c>
      <c r="J108" s="1707">
        <f t="shared" si="3"/>
        <v>118</v>
      </c>
      <c r="K108" s="1688">
        <f t="shared" si="3"/>
        <v>0</v>
      </c>
    </row>
    <row r="109" spans="1:12" ht="14.25" thickTop="1" thickBot="1" x14ac:dyDescent="0.25">
      <c r="A109" s="1713" t="s">
        <v>248</v>
      </c>
      <c r="B109" s="1714" t="s">
        <v>570</v>
      </c>
      <c r="C109" s="1715">
        <f t="shared" ref="C109:K109" si="4">SUM(C12,C18,C40,C63,C67,C75,C82,C93,C108,)</f>
        <v>1813433</v>
      </c>
      <c r="D109" s="1715">
        <f t="shared" si="4"/>
        <v>198109</v>
      </c>
      <c r="E109" s="1715">
        <f t="shared" si="4"/>
        <v>199696</v>
      </c>
      <c r="F109" s="1715">
        <f t="shared" si="4"/>
        <v>97518</v>
      </c>
      <c r="G109" s="1715">
        <f t="shared" si="4"/>
        <v>100006</v>
      </c>
      <c r="H109" s="1715">
        <f t="shared" si="4"/>
        <v>28</v>
      </c>
      <c r="I109" s="1715">
        <f t="shared" si="4"/>
        <v>45573</v>
      </c>
      <c r="J109" s="1715">
        <f t="shared" si="4"/>
        <v>103461</v>
      </c>
      <c r="K109" s="1702">
        <f t="shared" si="4"/>
        <v>39302</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297290</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297290</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26837</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26837</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1406</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85739</v>
      </c>
      <c r="G152" s="467"/>
      <c r="H152" s="468"/>
      <c r="I152" s="468"/>
      <c r="J152" s="468"/>
      <c r="K152" s="468"/>
    </row>
    <row r="153" spans="1:11" ht="12.75" customHeight="1" x14ac:dyDescent="0.2">
      <c r="A153" s="463" t="s">
        <v>1057</v>
      </c>
      <c r="B153" s="562">
        <v>3510</v>
      </c>
      <c r="C153" s="551"/>
      <c r="D153" s="466"/>
      <c r="E153" s="561"/>
      <c r="F153" s="466">
        <v>15154</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100893</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50" t="s">
        <v>398</v>
      </c>
      <c r="B169" s="2151"/>
      <c r="C169" s="1722">
        <f t="shared" ref="C169:K169" si="6">SUM(C132,C141,C145,C146:C150,C155,C156:C167,C168)</f>
        <v>28243</v>
      </c>
      <c r="D169" s="1722">
        <f t="shared" si="6"/>
        <v>0</v>
      </c>
      <c r="E169" s="1722">
        <f t="shared" si="6"/>
        <v>0</v>
      </c>
      <c r="F169" s="1722">
        <f t="shared" si="6"/>
        <v>100893</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325533</v>
      </c>
      <c r="D170" s="1715">
        <f t="shared" si="7"/>
        <v>0</v>
      </c>
      <c r="E170" s="1715">
        <f t="shared" si="7"/>
        <v>0</v>
      </c>
      <c r="F170" s="1715">
        <f t="shared" si="7"/>
        <v>100893</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2" t="s">
        <v>1492</v>
      </c>
      <c r="B172" s="2153"/>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6" t="s">
        <v>1665</v>
      </c>
      <c r="B175" s="2157"/>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60" t="s">
        <v>1664</v>
      </c>
      <c r="B176" s="2161"/>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8" t="s">
        <v>785</v>
      </c>
      <c r="B181" s="2159"/>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4" t="s">
        <v>1803</v>
      </c>
      <c r="B182" s="2155"/>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62910</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17864</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80774</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33800</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33800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5719</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5719</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v>6405</v>
      </c>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72870</v>
      </c>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79275</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9277</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208845</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208845</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2347811</v>
      </c>
      <c r="D268" s="1715">
        <f t="shared" si="12"/>
        <v>198109</v>
      </c>
      <c r="E268" s="1715">
        <f t="shared" si="12"/>
        <v>199696</v>
      </c>
      <c r="F268" s="1715">
        <f t="shared" si="12"/>
        <v>198411</v>
      </c>
      <c r="G268" s="1715">
        <f t="shared" si="12"/>
        <v>100006</v>
      </c>
      <c r="H268" s="1715">
        <f t="shared" si="12"/>
        <v>28</v>
      </c>
      <c r="I268" s="1715">
        <f t="shared" si="12"/>
        <v>45573</v>
      </c>
      <c r="J268" s="1715">
        <f t="shared" si="12"/>
        <v>103461</v>
      </c>
      <c r="K268" s="1702">
        <f t="shared" si="12"/>
        <v>39302</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Normal="100" workbookViewId="0">
      <pane ySplit="2" topLeftCell="A44" activePane="bottomLeft" state="frozen"/>
      <selection pane="bottomLeft" activeCell="F62" sqref="F6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30"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2"/>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8" t="s">
        <v>297</v>
      </c>
      <c r="B3" s="2169"/>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820504</v>
      </c>
      <c r="D5" s="466">
        <v>200512</v>
      </c>
      <c r="E5" s="466">
        <v>9688</v>
      </c>
      <c r="F5" s="466">
        <v>18337</v>
      </c>
      <c r="G5" s="466"/>
      <c r="H5" s="466"/>
      <c r="I5" s="467"/>
      <c r="J5" s="467"/>
      <c r="K5" s="1671">
        <f>SUM(C5:J5)</f>
        <v>1049041</v>
      </c>
      <c r="L5" s="466">
        <v>1131500</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17930</v>
      </c>
      <c r="D7" s="467">
        <v>5367</v>
      </c>
      <c r="E7" s="467"/>
      <c r="F7" s="467">
        <v>145</v>
      </c>
      <c r="G7" s="467"/>
      <c r="H7" s="467"/>
      <c r="I7" s="467"/>
      <c r="J7" s="467"/>
      <c r="K7" s="1671">
        <f t="shared" ref="K7:K32" si="0">SUM(C7:J7)</f>
        <v>23442</v>
      </c>
      <c r="L7" s="466">
        <v>37750</v>
      </c>
    </row>
    <row r="8" spans="1:14" x14ac:dyDescent="0.2">
      <c r="A8" s="1504" t="s">
        <v>164</v>
      </c>
      <c r="B8" s="614">
        <v>1200</v>
      </c>
      <c r="C8" s="466">
        <v>211971</v>
      </c>
      <c r="D8" s="466">
        <v>54102</v>
      </c>
      <c r="E8" s="466">
        <v>1586</v>
      </c>
      <c r="F8" s="466">
        <v>1140</v>
      </c>
      <c r="G8" s="466"/>
      <c r="H8" s="466"/>
      <c r="I8" s="467"/>
      <c r="J8" s="467"/>
      <c r="K8" s="1671">
        <f t="shared" si="0"/>
        <v>268799</v>
      </c>
      <c r="L8" s="466">
        <v>294000</v>
      </c>
    </row>
    <row r="9" spans="1:14" x14ac:dyDescent="0.2">
      <c r="A9" s="1504" t="s">
        <v>721</v>
      </c>
      <c r="B9" s="614" t="s">
        <v>968</v>
      </c>
      <c r="C9" s="467">
        <v>17730</v>
      </c>
      <c r="D9" s="467">
        <v>5336</v>
      </c>
      <c r="E9" s="467"/>
      <c r="F9" s="467"/>
      <c r="G9" s="467"/>
      <c r="H9" s="467"/>
      <c r="I9" s="467"/>
      <c r="J9" s="467"/>
      <c r="K9" s="1671">
        <f t="shared" si="0"/>
        <v>23066</v>
      </c>
      <c r="L9" s="466">
        <v>46000</v>
      </c>
    </row>
    <row r="10" spans="1:14" x14ac:dyDescent="0.2">
      <c r="A10" s="1504" t="s">
        <v>722</v>
      </c>
      <c r="B10" s="614">
        <v>1250</v>
      </c>
      <c r="C10" s="466">
        <v>13933</v>
      </c>
      <c r="D10" s="466">
        <v>2203</v>
      </c>
      <c r="E10" s="466">
        <v>5128</v>
      </c>
      <c r="F10" s="466">
        <v>3590</v>
      </c>
      <c r="G10" s="466"/>
      <c r="H10" s="466"/>
      <c r="I10" s="467"/>
      <c r="J10" s="467"/>
      <c r="K10" s="1671">
        <f t="shared" si="0"/>
        <v>24854</v>
      </c>
      <c r="L10" s="466">
        <v>59000</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v>17500</v>
      </c>
      <c r="D14" s="466">
        <v>1126</v>
      </c>
      <c r="E14" s="466">
        <v>3670</v>
      </c>
      <c r="F14" s="466">
        <v>2538</v>
      </c>
      <c r="G14" s="466"/>
      <c r="H14" s="466">
        <v>1823</v>
      </c>
      <c r="I14" s="467"/>
      <c r="J14" s="467"/>
      <c r="K14" s="1671">
        <f t="shared" si="0"/>
        <v>26657</v>
      </c>
      <c r="L14" s="466">
        <v>42500</v>
      </c>
    </row>
    <row r="15" spans="1:14" x14ac:dyDescent="0.2">
      <c r="A15" s="1504" t="s">
        <v>964</v>
      </c>
      <c r="B15" s="614">
        <v>1600</v>
      </c>
      <c r="C15" s="466"/>
      <c r="D15" s="466"/>
      <c r="E15" s="466"/>
      <c r="F15" s="466">
        <v>26</v>
      </c>
      <c r="G15" s="466"/>
      <c r="H15" s="466"/>
      <c r="I15" s="467"/>
      <c r="J15" s="467"/>
      <c r="K15" s="1671">
        <f t="shared" si="0"/>
        <v>26</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1099568</v>
      </c>
      <c r="D33" s="1670">
        <f t="shared" ref="D33:L33" si="1">SUM(D5:D32)</f>
        <v>268646</v>
      </c>
      <c r="E33" s="1670">
        <f t="shared" si="1"/>
        <v>20072</v>
      </c>
      <c r="F33" s="1670">
        <f t="shared" si="1"/>
        <v>25776</v>
      </c>
      <c r="G33" s="1670">
        <f t="shared" si="1"/>
        <v>0</v>
      </c>
      <c r="H33" s="1670">
        <f t="shared" si="1"/>
        <v>1823</v>
      </c>
      <c r="I33" s="1670">
        <f t="shared" si="1"/>
        <v>0</v>
      </c>
      <c r="J33" s="1670">
        <f t="shared" si="1"/>
        <v>0</v>
      </c>
      <c r="K33" s="1670">
        <f t="shared" si="1"/>
        <v>1415885</v>
      </c>
      <c r="L33" s="1670">
        <f t="shared" si="1"/>
        <v>1610750</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v>1370</v>
      </c>
      <c r="D38" s="466"/>
      <c r="E38" s="466">
        <v>50</v>
      </c>
      <c r="F38" s="466">
        <v>12</v>
      </c>
      <c r="G38" s="466"/>
      <c r="H38" s="466"/>
      <c r="I38" s="467"/>
      <c r="J38" s="467"/>
      <c r="K38" s="1671">
        <f t="shared" si="2"/>
        <v>1432</v>
      </c>
      <c r="L38" s="466">
        <v>1100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v>54</v>
      </c>
      <c r="G40" s="466"/>
      <c r="H40" s="466"/>
      <c r="I40" s="467"/>
      <c r="J40" s="467"/>
      <c r="K40" s="1671">
        <f t="shared" si="2"/>
        <v>54</v>
      </c>
      <c r="L40" s="466"/>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1370</v>
      </c>
      <c r="D42" s="1670">
        <f t="shared" ref="D42:L42" si="3">SUM(D36:D41)</f>
        <v>0</v>
      </c>
      <c r="E42" s="1670">
        <f t="shared" si="3"/>
        <v>50</v>
      </c>
      <c r="F42" s="1670">
        <f t="shared" si="3"/>
        <v>66</v>
      </c>
      <c r="G42" s="1670">
        <f t="shared" si="3"/>
        <v>0</v>
      </c>
      <c r="H42" s="1670">
        <f t="shared" si="3"/>
        <v>0</v>
      </c>
      <c r="I42" s="1670">
        <f t="shared" si="3"/>
        <v>0</v>
      </c>
      <c r="J42" s="1670">
        <f t="shared" si="3"/>
        <v>0</v>
      </c>
      <c r="K42" s="1670">
        <f t="shared" si="3"/>
        <v>1486</v>
      </c>
      <c r="L42" s="1670">
        <f t="shared" si="3"/>
        <v>1100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10163</v>
      </c>
      <c r="D44" s="481">
        <v>2049</v>
      </c>
      <c r="E44" s="481">
        <v>23346</v>
      </c>
      <c r="F44" s="481">
        <v>3362</v>
      </c>
      <c r="G44" s="481"/>
      <c r="H44" s="481"/>
      <c r="I44" s="467"/>
      <c r="J44" s="467"/>
      <c r="K44" s="1672">
        <f>SUM(C44:J44)</f>
        <v>38920</v>
      </c>
      <c r="L44" s="481">
        <v>18750</v>
      </c>
    </row>
    <row r="45" spans="1:14" x14ac:dyDescent="0.2">
      <c r="A45" s="1504" t="s">
        <v>815</v>
      </c>
      <c r="B45" s="614">
        <v>2220</v>
      </c>
      <c r="C45" s="466">
        <v>50427</v>
      </c>
      <c r="D45" s="466">
        <v>4883</v>
      </c>
      <c r="E45" s="466">
        <v>5663</v>
      </c>
      <c r="F45" s="466">
        <v>1955</v>
      </c>
      <c r="G45" s="466">
        <v>3073</v>
      </c>
      <c r="H45" s="466"/>
      <c r="I45" s="467"/>
      <c r="J45" s="467"/>
      <c r="K45" s="1672">
        <f>SUM(C45:J45)</f>
        <v>66001</v>
      </c>
      <c r="L45" s="466">
        <v>90000</v>
      </c>
    </row>
    <row r="46" spans="1:14" x14ac:dyDescent="0.2">
      <c r="A46" s="1504" t="s">
        <v>816</v>
      </c>
      <c r="B46" s="614">
        <v>2230</v>
      </c>
      <c r="C46" s="466"/>
      <c r="D46" s="466"/>
      <c r="E46" s="466">
        <v>2038</v>
      </c>
      <c r="F46" s="466"/>
      <c r="G46" s="466"/>
      <c r="H46" s="466"/>
      <c r="I46" s="467"/>
      <c r="J46" s="467"/>
      <c r="K46" s="1672">
        <f>SUM(C46:J46)</f>
        <v>2038</v>
      </c>
      <c r="L46" s="466">
        <v>10000</v>
      </c>
    </row>
    <row r="47" spans="1:14" ht="12.75" customHeight="1" thickBot="1" x14ac:dyDescent="0.25">
      <c r="A47" s="1668" t="s">
        <v>561</v>
      </c>
      <c r="B47" s="1669" t="s">
        <v>32</v>
      </c>
      <c r="C47" s="1670">
        <f>SUM(C44:C46)</f>
        <v>60590</v>
      </c>
      <c r="D47" s="1670">
        <f t="shared" ref="D47:K47" si="4">SUM(D44:D46)</f>
        <v>6932</v>
      </c>
      <c r="E47" s="1670">
        <f t="shared" si="4"/>
        <v>31047</v>
      </c>
      <c r="F47" s="1670">
        <f t="shared" si="4"/>
        <v>5317</v>
      </c>
      <c r="G47" s="1670">
        <f t="shared" si="4"/>
        <v>3073</v>
      </c>
      <c r="H47" s="1670">
        <f t="shared" si="4"/>
        <v>0</v>
      </c>
      <c r="I47" s="1670">
        <f t="shared" si="4"/>
        <v>0</v>
      </c>
      <c r="J47" s="1670">
        <f t="shared" si="4"/>
        <v>0</v>
      </c>
      <c r="K47" s="1670">
        <f t="shared" si="4"/>
        <v>106959</v>
      </c>
      <c r="L47" s="1670">
        <f>SUM(L44:L46)</f>
        <v>118750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1200</v>
      </c>
      <c r="D49" s="481"/>
      <c r="E49" s="481">
        <v>13001</v>
      </c>
      <c r="F49" s="481">
        <v>51</v>
      </c>
      <c r="G49" s="481"/>
      <c r="H49" s="481">
        <v>12105</v>
      </c>
      <c r="I49" s="467"/>
      <c r="J49" s="467"/>
      <c r="K49" s="1672">
        <f>SUM(C49:J49)</f>
        <v>26357</v>
      </c>
      <c r="L49" s="481">
        <v>27200</v>
      </c>
    </row>
    <row r="50" spans="1:14" x14ac:dyDescent="0.2">
      <c r="A50" s="1504" t="s">
        <v>818</v>
      </c>
      <c r="B50" s="614">
        <v>2320</v>
      </c>
      <c r="C50" s="466">
        <v>50529</v>
      </c>
      <c r="D50" s="466">
        <v>7193</v>
      </c>
      <c r="E50" s="466">
        <v>16479</v>
      </c>
      <c r="F50" s="466">
        <v>793</v>
      </c>
      <c r="G50" s="466"/>
      <c r="H50" s="466"/>
      <c r="I50" s="467"/>
      <c r="J50" s="467"/>
      <c r="K50" s="1672">
        <f>SUM(C50:J50)</f>
        <v>74994</v>
      </c>
      <c r="L50" s="466">
        <v>82340</v>
      </c>
    </row>
    <row r="51" spans="1:14" x14ac:dyDescent="0.2">
      <c r="A51" s="1504" t="s">
        <v>42</v>
      </c>
      <c r="B51" s="614">
        <v>2330</v>
      </c>
      <c r="C51" s="466">
        <v>29597</v>
      </c>
      <c r="D51" s="466">
        <v>6669</v>
      </c>
      <c r="E51" s="466"/>
      <c r="F51" s="466"/>
      <c r="G51" s="466"/>
      <c r="H51" s="466"/>
      <c r="I51" s="467"/>
      <c r="J51" s="467"/>
      <c r="K51" s="1672">
        <f>SUM(C51:J51)</f>
        <v>36266</v>
      </c>
      <c r="L51" s="466">
        <v>33000</v>
      </c>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81326</v>
      </c>
      <c r="D53" s="1670">
        <f t="shared" ref="D53:L53" si="5">SUM(D49:D52)</f>
        <v>13862</v>
      </c>
      <c r="E53" s="1670">
        <f t="shared" si="5"/>
        <v>29480</v>
      </c>
      <c r="F53" s="1670">
        <f t="shared" si="5"/>
        <v>844</v>
      </c>
      <c r="G53" s="1670">
        <f t="shared" si="5"/>
        <v>0</v>
      </c>
      <c r="H53" s="1670">
        <f t="shared" si="5"/>
        <v>12105</v>
      </c>
      <c r="I53" s="1670">
        <f t="shared" si="5"/>
        <v>0</v>
      </c>
      <c r="J53" s="1670">
        <f t="shared" si="5"/>
        <v>0</v>
      </c>
      <c r="K53" s="1670">
        <f t="shared" si="5"/>
        <v>137617</v>
      </c>
      <c r="L53" s="1670">
        <f t="shared" si="5"/>
        <v>142540</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66597</v>
      </c>
      <c r="D55" s="481">
        <v>14449</v>
      </c>
      <c r="E55" s="481"/>
      <c r="F55" s="481"/>
      <c r="G55" s="481"/>
      <c r="H55" s="481">
        <v>290</v>
      </c>
      <c r="I55" s="467"/>
      <c r="J55" s="467"/>
      <c r="K55" s="1672">
        <f>SUM(C55:J55)</f>
        <v>81336</v>
      </c>
      <c r="L55" s="481">
        <v>47000</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66597</v>
      </c>
      <c r="D57" s="1674">
        <f t="shared" ref="D57:K57" si="6">SUM(D55:D56)</f>
        <v>14449</v>
      </c>
      <c r="E57" s="1674">
        <f t="shared" si="6"/>
        <v>0</v>
      </c>
      <c r="F57" s="1674">
        <f t="shared" si="6"/>
        <v>0</v>
      </c>
      <c r="G57" s="1674">
        <f t="shared" si="6"/>
        <v>0</v>
      </c>
      <c r="H57" s="1674">
        <f t="shared" si="6"/>
        <v>290</v>
      </c>
      <c r="I57" s="1674">
        <f t="shared" si="6"/>
        <v>0</v>
      </c>
      <c r="J57" s="1674">
        <f t="shared" si="6"/>
        <v>0</v>
      </c>
      <c r="K57" s="1674">
        <f t="shared" si="6"/>
        <v>81336</v>
      </c>
      <c r="L57" s="1670">
        <f>SUM(L55:L56)</f>
        <v>47000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18115</v>
      </c>
      <c r="D60" s="466">
        <v>1461</v>
      </c>
      <c r="E60" s="466">
        <v>1214</v>
      </c>
      <c r="F60" s="466">
        <v>147</v>
      </c>
      <c r="G60" s="466">
        <v>643</v>
      </c>
      <c r="H60" s="466"/>
      <c r="I60" s="467"/>
      <c r="J60" s="467"/>
      <c r="K60" s="1672">
        <f t="shared" si="7"/>
        <v>21580</v>
      </c>
      <c r="L60" s="466">
        <v>21700</v>
      </c>
      <c r="M60" s="609"/>
      <c r="N60" s="609"/>
    </row>
    <row r="61" spans="1:14" s="343" customFormat="1" x14ac:dyDescent="0.2">
      <c r="A61" s="1504" t="s">
        <v>197</v>
      </c>
      <c r="B61" s="614">
        <v>2540</v>
      </c>
      <c r="C61" s="466"/>
      <c r="D61" s="466"/>
      <c r="E61" s="466">
        <v>12654</v>
      </c>
      <c r="F61" s="466">
        <v>5971</v>
      </c>
      <c r="G61" s="466">
        <v>2026</v>
      </c>
      <c r="H61" s="466"/>
      <c r="I61" s="467"/>
      <c r="J61" s="467"/>
      <c r="K61" s="1672">
        <f t="shared" si="7"/>
        <v>20651</v>
      </c>
      <c r="L61" s="466">
        <v>53000</v>
      </c>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32211</v>
      </c>
      <c r="D63" s="466">
        <v>9330</v>
      </c>
      <c r="E63" s="466">
        <v>4798</v>
      </c>
      <c r="F63" s="466">
        <v>64778</v>
      </c>
      <c r="G63" s="466">
        <v>4980</v>
      </c>
      <c r="H63" s="466">
        <v>825</v>
      </c>
      <c r="I63" s="467"/>
      <c r="J63" s="467"/>
      <c r="K63" s="1672">
        <f t="shared" si="7"/>
        <v>116922</v>
      </c>
      <c r="L63" s="466">
        <v>109000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50326</v>
      </c>
      <c r="D65" s="1670">
        <f t="shared" ref="D65:L65" si="8">SUM(D59:D64)</f>
        <v>10791</v>
      </c>
      <c r="E65" s="1670">
        <f t="shared" si="8"/>
        <v>18666</v>
      </c>
      <c r="F65" s="1670">
        <f t="shared" si="8"/>
        <v>70896</v>
      </c>
      <c r="G65" s="1670">
        <f t="shared" si="8"/>
        <v>7649</v>
      </c>
      <c r="H65" s="1670">
        <f t="shared" si="8"/>
        <v>825</v>
      </c>
      <c r="I65" s="1670">
        <f t="shared" si="8"/>
        <v>0</v>
      </c>
      <c r="J65" s="1670">
        <f t="shared" si="8"/>
        <v>0</v>
      </c>
      <c r="K65" s="1670">
        <f t="shared" si="8"/>
        <v>159153</v>
      </c>
      <c r="L65" s="1670">
        <f t="shared" si="8"/>
        <v>183700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v>58</v>
      </c>
      <c r="G73" s="573"/>
      <c r="H73" s="573"/>
      <c r="I73" s="531"/>
      <c r="J73" s="531"/>
      <c r="K73" s="1670">
        <f>SUM(C73:J73)</f>
        <v>58</v>
      </c>
      <c r="L73" s="576"/>
      <c r="M73" s="609"/>
      <c r="N73" s="609"/>
    </row>
    <row r="74" spans="1:14" ht="12.75" customHeight="1" thickTop="1" thickBot="1" x14ac:dyDescent="0.25">
      <c r="A74" s="1668" t="s">
        <v>811</v>
      </c>
      <c r="B74" s="1676">
        <v>2000</v>
      </c>
      <c r="C74" s="1677">
        <f>SUM(C42,C47,C53,C57,C65,C72,C73)</f>
        <v>260209</v>
      </c>
      <c r="D74" s="1677">
        <f t="shared" ref="D74:K74" si="10">SUM(D42,D47,D53,D57,D65,D72,D73)</f>
        <v>46034</v>
      </c>
      <c r="E74" s="1677">
        <f t="shared" si="10"/>
        <v>79243</v>
      </c>
      <c r="F74" s="1677">
        <f t="shared" si="10"/>
        <v>77181</v>
      </c>
      <c r="G74" s="1677">
        <f t="shared" si="10"/>
        <v>10722</v>
      </c>
      <c r="H74" s="1677">
        <f t="shared" si="10"/>
        <v>13220</v>
      </c>
      <c r="I74" s="1677">
        <f t="shared" si="10"/>
        <v>0</v>
      </c>
      <c r="J74" s="1677">
        <f t="shared" si="10"/>
        <v>0</v>
      </c>
      <c r="K74" s="1677">
        <f t="shared" si="10"/>
        <v>486609</v>
      </c>
      <c r="L74" s="1677">
        <f>SUM(L42,L47,L53,L57,L65,L72,L73)</f>
        <v>493090</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v>46638</v>
      </c>
      <c r="F79" s="616"/>
      <c r="G79" s="616"/>
      <c r="H79" s="466">
        <v>5228</v>
      </c>
      <c r="I79" s="477"/>
      <c r="J79" s="477"/>
      <c r="K79" s="1671">
        <f t="shared" si="11"/>
        <v>51866</v>
      </c>
      <c r="L79" s="466">
        <v>90000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v>547</v>
      </c>
      <c r="F83" s="616"/>
      <c r="G83" s="616"/>
      <c r="H83" s="466"/>
      <c r="I83" s="477"/>
      <c r="J83" s="477"/>
      <c r="K83" s="1671">
        <f t="shared" si="11"/>
        <v>547</v>
      </c>
      <c r="L83" s="466">
        <v>10000</v>
      </c>
    </row>
    <row r="84" spans="1:12" ht="13.5" thickBot="1" x14ac:dyDescent="0.25">
      <c r="A84" s="1668" t="s">
        <v>1485</v>
      </c>
      <c r="B84" s="1678">
        <v>4100</v>
      </c>
      <c r="C84" s="616"/>
      <c r="D84" s="616"/>
      <c r="E84" s="1670">
        <f>SUM(E78:E83)</f>
        <v>47185</v>
      </c>
      <c r="F84" s="616"/>
      <c r="G84" s="616"/>
      <c r="H84" s="1670">
        <f>SUM(H78:H83)</f>
        <v>5228</v>
      </c>
      <c r="I84" s="477"/>
      <c r="J84" s="477"/>
      <c r="K84" s="1670">
        <f>SUM(K78:K83)</f>
        <v>52413</v>
      </c>
      <c r="L84" s="1670">
        <f>SUM(L78:L83)</f>
        <v>100000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v>1200</v>
      </c>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1200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47185</v>
      </c>
      <c r="F102" s="616"/>
      <c r="G102" s="616"/>
      <c r="H102" s="1677">
        <f>SUM(H84,H92,H100,H101)</f>
        <v>5228</v>
      </c>
      <c r="I102" s="477"/>
      <c r="J102" s="477"/>
      <c r="K102" s="1677">
        <f>SUM(K84,K92,K100,K101)</f>
        <v>52413</v>
      </c>
      <c r="L102" s="1677">
        <f>SUM(L84,L92,L100,L101)</f>
        <v>101200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1359777</v>
      </c>
      <c r="D114" s="1670">
        <f t="shared" ref="D114:K114" si="13">SUM(D33,D74,D75,D102,D112,D113)</f>
        <v>314680</v>
      </c>
      <c r="E114" s="1670">
        <f t="shared" si="13"/>
        <v>146500</v>
      </c>
      <c r="F114" s="1670">
        <f t="shared" si="13"/>
        <v>102957</v>
      </c>
      <c r="G114" s="1670">
        <f t="shared" si="13"/>
        <v>10722</v>
      </c>
      <c r="H114" s="1670">
        <f>SUM(H33,H74,H75,H102,H112,H113)</f>
        <v>20271</v>
      </c>
      <c r="I114" s="1670">
        <f t="shared" si="13"/>
        <v>0</v>
      </c>
      <c r="J114" s="1670">
        <f t="shared" si="13"/>
        <v>0</v>
      </c>
      <c r="K114" s="1670">
        <f t="shared" si="13"/>
        <v>1954907</v>
      </c>
      <c r="L114" s="1670">
        <f>SUM(L33,L74,L75,L102,L112,L113)</f>
        <v>2205040</v>
      </c>
    </row>
    <row r="115" spans="1:14" ht="13.5" thickTop="1" x14ac:dyDescent="0.2">
      <c r="A115" s="2187" t="s">
        <v>996</v>
      </c>
      <c r="B115" s="2188"/>
      <c r="C115" s="618"/>
      <c r="D115" s="618"/>
      <c r="E115" s="618"/>
      <c r="F115" s="618"/>
      <c r="G115" s="618"/>
      <c r="H115" s="618"/>
      <c r="I115" s="618"/>
      <c r="J115" s="618"/>
      <c r="K115" s="1684">
        <f>'Revenues 9-14'!C268-'Expenditures 15-22'!K114</f>
        <v>392904</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5" t="s">
        <v>296</v>
      </c>
      <c r="B117" s="2166"/>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v>12600</v>
      </c>
      <c r="D122" s="466">
        <v>2792</v>
      </c>
      <c r="E122" s="466"/>
      <c r="F122" s="466"/>
      <c r="G122" s="466"/>
      <c r="H122" s="466"/>
      <c r="I122" s="467"/>
      <c r="J122" s="467"/>
      <c r="K122" s="1670">
        <f>SUM(C122:J122)</f>
        <v>15392</v>
      </c>
      <c r="L122" s="466">
        <v>16000</v>
      </c>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60732</v>
      </c>
      <c r="D124" s="466">
        <v>3434</v>
      </c>
      <c r="E124" s="466">
        <v>37535</v>
      </c>
      <c r="F124" s="466">
        <v>48747</v>
      </c>
      <c r="G124" s="466">
        <v>21325</v>
      </c>
      <c r="H124" s="466"/>
      <c r="I124" s="467"/>
      <c r="J124" s="467"/>
      <c r="K124" s="1670">
        <f>SUM(C124:J124)</f>
        <v>171773</v>
      </c>
      <c r="L124" s="466">
        <v>188850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73332</v>
      </c>
      <c r="D127" s="1670">
        <f t="shared" ref="D127:L127" si="14">SUM(D122:D126)</f>
        <v>6226</v>
      </c>
      <c r="E127" s="1670">
        <f t="shared" si="14"/>
        <v>37535</v>
      </c>
      <c r="F127" s="1670">
        <f t="shared" si="14"/>
        <v>48747</v>
      </c>
      <c r="G127" s="1670">
        <f t="shared" si="14"/>
        <v>21325</v>
      </c>
      <c r="H127" s="1670">
        <f t="shared" si="14"/>
        <v>0</v>
      </c>
      <c r="I127" s="1670">
        <f t="shared" si="14"/>
        <v>0</v>
      </c>
      <c r="J127" s="1670">
        <f t="shared" si="14"/>
        <v>0</v>
      </c>
      <c r="K127" s="1670">
        <f t="shared" si="14"/>
        <v>187165</v>
      </c>
      <c r="L127" s="1670">
        <f t="shared" si="14"/>
        <v>204850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73332</v>
      </c>
      <c r="D129" s="1677">
        <f t="shared" ref="D129:L129" si="15">SUM(D120,D127,D128)</f>
        <v>6226</v>
      </c>
      <c r="E129" s="1677">
        <f t="shared" si="15"/>
        <v>37535</v>
      </c>
      <c r="F129" s="1677">
        <f t="shared" si="15"/>
        <v>48747</v>
      </c>
      <c r="G129" s="1677">
        <f t="shared" si="15"/>
        <v>21325</v>
      </c>
      <c r="H129" s="1677">
        <f t="shared" si="15"/>
        <v>0</v>
      </c>
      <c r="I129" s="1677">
        <f t="shared" si="15"/>
        <v>0</v>
      </c>
      <c r="J129" s="1677">
        <f t="shared" si="15"/>
        <v>0</v>
      </c>
      <c r="K129" s="1677">
        <f t="shared" si="15"/>
        <v>187165</v>
      </c>
      <c r="L129" s="1677">
        <f t="shared" si="15"/>
        <v>204850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7" t="s">
        <v>620</v>
      </c>
      <c r="B151" s="2159"/>
      <c r="C151" s="1670">
        <f>SUM(C129,C130,C139,C149,C150)</f>
        <v>73332</v>
      </c>
      <c r="D151" s="1670">
        <f t="shared" ref="D151:K151" si="16">SUM(D129,D130,D139,D149,D150)</f>
        <v>6226</v>
      </c>
      <c r="E151" s="1670">
        <f t="shared" si="16"/>
        <v>37535</v>
      </c>
      <c r="F151" s="1670">
        <f t="shared" si="16"/>
        <v>48747</v>
      </c>
      <c r="G151" s="1670">
        <f t="shared" si="16"/>
        <v>21325</v>
      </c>
      <c r="H151" s="1670">
        <f t="shared" si="16"/>
        <v>0</v>
      </c>
      <c r="I151" s="1670">
        <f t="shared" si="16"/>
        <v>0</v>
      </c>
      <c r="J151" s="1670">
        <f t="shared" si="16"/>
        <v>0</v>
      </c>
      <c r="K151" s="1670">
        <f t="shared" si="16"/>
        <v>187165</v>
      </c>
      <c r="L151" s="1670">
        <f>SUM(L129,L130,L139,L149,L150)</f>
        <v>204850</v>
      </c>
    </row>
    <row r="152" spans="1:14" ht="12.75" customHeight="1" thickTop="1" x14ac:dyDescent="0.2">
      <c r="A152" s="2180" t="s">
        <v>1178</v>
      </c>
      <c r="B152" s="2181"/>
      <c r="C152" s="618"/>
      <c r="D152" s="618"/>
      <c r="E152" s="618"/>
      <c r="F152" s="618"/>
      <c r="G152" s="618"/>
      <c r="H152" s="618"/>
      <c r="I152" s="618"/>
      <c r="J152" s="616"/>
      <c r="K152" s="1684">
        <f>'Revenues 9-14'!D268-'Expenditures 15-22'!K151</f>
        <v>10944</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5" t="s">
        <v>621</v>
      </c>
      <c r="B154" s="2167"/>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73855</v>
      </c>
      <c r="I169" s="616"/>
      <c r="J169" s="616"/>
      <c r="K169" s="1671">
        <f>SUM(C169:H169)</f>
        <v>73855</v>
      </c>
      <c r="L169" s="656">
        <v>73250</v>
      </c>
    </row>
    <row r="170" spans="1:14" ht="33.75" customHeight="1" x14ac:dyDescent="0.2">
      <c r="A170" s="669" t="s">
        <v>1670</v>
      </c>
      <c r="B170" s="671" t="s">
        <v>31</v>
      </c>
      <c r="C170" s="616"/>
      <c r="D170" s="616"/>
      <c r="E170" s="616"/>
      <c r="F170" s="616"/>
      <c r="G170" s="616"/>
      <c r="H170" s="569">
        <v>115000</v>
      </c>
      <c r="I170" s="616"/>
      <c r="J170" s="616"/>
      <c r="K170" s="1671">
        <f>SUM(C170:J170)</f>
        <v>115000</v>
      </c>
      <c r="L170" s="569">
        <v>115000</v>
      </c>
    </row>
    <row r="171" spans="1:14" ht="15.75" customHeight="1" x14ac:dyDescent="0.2">
      <c r="A171" s="621" t="s">
        <v>766</v>
      </c>
      <c r="B171" s="672" t="s">
        <v>84</v>
      </c>
      <c r="C171" s="616"/>
      <c r="D171" s="616"/>
      <c r="E171" s="466"/>
      <c r="F171" s="616"/>
      <c r="G171" s="616"/>
      <c r="H171" s="569"/>
      <c r="I171" s="477"/>
      <c r="J171" s="616"/>
      <c r="K171" s="1671">
        <f>SUM(C171:J171)</f>
        <v>0</v>
      </c>
      <c r="L171" s="569">
        <v>750</v>
      </c>
    </row>
    <row r="172" spans="1:14" ht="12.75" customHeight="1" thickBot="1" x14ac:dyDescent="0.25">
      <c r="A172" s="1668" t="s">
        <v>638</v>
      </c>
      <c r="B172" s="1669" t="s">
        <v>492</v>
      </c>
      <c r="C172" s="616"/>
      <c r="D172" s="616"/>
      <c r="E172" s="1677">
        <f>SUM(E168,E169,E170,E171)</f>
        <v>0</v>
      </c>
      <c r="F172" s="616"/>
      <c r="G172" s="616"/>
      <c r="H172" s="1677">
        <f>SUM(H168,H169,H170,H171)</f>
        <v>188855</v>
      </c>
      <c r="I172" s="638"/>
      <c r="J172" s="616"/>
      <c r="K172" s="1677">
        <f>SUM(K168,K169,K170,K171)</f>
        <v>188855</v>
      </c>
      <c r="L172" s="1677">
        <f>SUM(L168,L169,L170,L171)</f>
        <v>189000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188855</v>
      </c>
      <c r="I174" s="638"/>
      <c r="J174" s="616"/>
      <c r="K174" s="1677">
        <f>SUM(K160,K172,K173)</f>
        <v>188855</v>
      </c>
      <c r="L174" s="1677">
        <f>SUM(L160,L172,L173)</f>
        <v>189000</v>
      </c>
    </row>
    <row r="175" spans="1:14" ht="13.5" thickTop="1" x14ac:dyDescent="0.2">
      <c r="A175" s="2187" t="s">
        <v>996</v>
      </c>
      <c r="B175" s="2188"/>
      <c r="C175" s="616"/>
      <c r="D175" s="616"/>
      <c r="E175" s="616"/>
      <c r="F175" s="616"/>
      <c r="G175" s="616"/>
      <c r="H175" s="618"/>
      <c r="I175" s="616"/>
      <c r="J175" s="616"/>
      <c r="K175" s="1684">
        <f>'Revenues 9-14'!E268-'Expenditures 15-22'!K174</f>
        <v>10841</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94409</v>
      </c>
      <c r="D182" s="466">
        <v>4936</v>
      </c>
      <c r="E182" s="466">
        <v>56022</v>
      </c>
      <c r="F182" s="466">
        <v>23404</v>
      </c>
      <c r="G182" s="466">
        <v>1846</v>
      </c>
      <c r="H182" s="466">
        <v>32</v>
      </c>
      <c r="I182" s="467"/>
      <c r="J182" s="467"/>
      <c r="K182" s="1671">
        <f>SUM(C182:J182)</f>
        <v>180649</v>
      </c>
      <c r="L182" s="466">
        <v>199300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94409</v>
      </c>
      <c r="D184" s="1677">
        <f t="shared" ref="D184:J184" si="17">SUM(D180,D182,D183)</f>
        <v>4936</v>
      </c>
      <c r="E184" s="1677">
        <f t="shared" si="17"/>
        <v>56022</v>
      </c>
      <c r="F184" s="1677">
        <f t="shared" si="17"/>
        <v>23404</v>
      </c>
      <c r="G184" s="1677">
        <f t="shared" si="17"/>
        <v>1846</v>
      </c>
      <c r="H184" s="1677">
        <f t="shared" si="17"/>
        <v>32</v>
      </c>
      <c r="I184" s="1677">
        <f t="shared" si="17"/>
        <v>0</v>
      </c>
      <c r="J184" s="1677">
        <f t="shared" si="17"/>
        <v>0</v>
      </c>
      <c r="K184" s="1677">
        <f>SUM(K180,K182,K183)</f>
        <v>180649</v>
      </c>
      <c r="L184" s="1677">
        <f>SUM(L180, L182:L183)</f>
        <v>199300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94409</v>
      </c>
      <c r="D210" s="1670">
        <f>SUM(D184,D185)</f>
        <v>4936</v>
      </c>
      <c r="E210" s="1670">
        <f>SUM(E184,E185,E196)</f>
        <v>56022</v>
      </c>
      <c r="F210" s="1670">
        <f>SUM(F184,F185)</f>
        <v>23404</v>
      </c>
      <c r="G210" s="1670">
        <f>SUM(G184,G185)</f>
        <v>1846</v>
      </c>
      <c r="H210" s="1670">
        <f>SUM(H184,H185,H196,H208,H209)</f>
        <v>32</v>
      </c>
      <c r="I210" s="1670">
        <f>SUM(I184,I185)</f>
        <v>0</v>
      </c>
      <c r="J210" s="1670">
        <f>SUM(J184,J185)</f>
        <v>0</v>
      </c>
      <c r="K210" s="1671">
        <f>SUM(K184,K185,K196,K208,K209)</f>
        <v>180649</v>
      </c>
      <c r="L210" s="1670">
        <f>SUM(L184,L185,L196,L208,L209)</f>
        <v>199300</v>
      </c>
    </row>
    <row r="211" spans="1:14" ht="13.5" thickTop="1" x14ac:dyDescent="0.2">
      <c r="A211" s="2187" t="s">
        <v>996</v>
      </c>
      <c r="B211" s="2188"/>
      <c r="C211" s="618"/>
      <c r="D211" s="618"/>
      <c r="E211" s="618"/>
      <c r="F211" s="618"/>
      <c r="G211" s="618"/>
      <c r="H211" s="618"/>
      <c r="I211" s="616"/>
      <c r="J211" s="616"/>
      <c r="K211" s="1684">
        <f>'Revenues 9-14'!F268-'Expenditures 15-22'!K210</f>
        <v>17762</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2" t="s">
        <v>965</v>
      </c>
      <c r="B213" s="2183"/>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11678</v>
      </c>
      <c r="E215" s="616"/>
      <c r="F215" s="616"/>
      <c r="G215" s="616"/>
      <c r="H215" s="616"/>
      <c r="I215" s="616"/>
      <c r="J215" s="616"/>
      <c r="K215" s="1671">
        <f>D215</f>
        <v>11678</v>
      </c>
      <c r="L215" s="466">
        <v>12000</v>
      </c>
    </row>
    <row r="216" spans="1:14" x14ac:dyDescent="0.2">
      <c r="A216" s="1504" t="s">
        <v>163</v>
      </c>
      <c r="B216" s="614" t="s">
        <v>967</v>
      </c>
      <c r="C216" s="616"/>
      <c r="D216" s="467">
        <v>257</v>
      </c>
      <c r="E216" s="616"/>
      <c r="F216" s="616"/>
      <c r="G216" s="616"/>
      <c r="H216" s="616"/>
      <c r="I216" s="616"/>
      <c r="J216" s="616"/>
      <c r="K216" s="1671">
        <f t="shared" ref="K216:K228" si="19">D216</f>
        <v>257</v>
      </c>
      <c r="L216" s="466">
        <v>350</v>
      </c>
    </row>
    <row r="217" spans="1:14" x14ac:dyDescent="0.2">
      <c r="A217" s="1504" t="s">
        <v>164</v>
      </c>
      <c r="B217" s="614">
        <v>1200</v>
      </c>
      <c r="C217" s="616"/>
      <c r="D217" s="466">
        <v>15480</v>
      </c>
      <c r="E217" s="616"/>
      <c r="F217" s="616"/>
      <c r="G217" s="616"/>
      <c r="H217" s="616"/>
      <c r="I217" s="616"/>
      <c r="J217" s="616"/>
      <c r="K217" s="1671">
        <f t="shared" si="19"/>
        <v>15480</v>
      </c>
      <c r="L217" s="466">
        <v>16000</v>
      </c>
    </row>
    <row r="218" spans="1:14" x14ac:dyDescent="0.2">
      <c r="A218" s="1504" t="s">
        <v>278</v>
      </c>
      <c r="B218" s="614" t="s">
        <v>968</v>
      </c>
      <c r="C218" s="616"/>
      <c r="D218" s="467">
        <v>254</v>
      </c>
      <c r="E218" s="616"/>
      <c r="F218" s="616"/>
      <c r="G218" s="616"/>
      <c r="H218" s="616"/>
      <c r="I218" s="616"/>
      <c r="J218" s="616"/>
      <c r="K218" s="1671">
        <f t="shared" si="19"/>
        <v>254</v>
      </c>
      <c r="L218" s="466">
        <v>300</v>
      </c>
    </row>
    <row r="219" spans="1:14" x14ac:dyDescent="0.2">
      <c r="A219" s="1504" t="s">
        <v>279</v>
      </c>
      <c r="B219" s="614">
        <v>1250</v>
      </c>
      <c r="C219" s="616"/>
      <c r="D219" s="466">
        <v>1983</v>
      </c>
      <c r="E219" s="616"/>
      <c r="F219" s="616"/>
      <c r="G219" s="616"/>
      <c r="H219" s="616"/>
      <c r="I219" s="616"/>
      <c r="J219" s="616"/>
      <c r="K219" s="1671">
        <f t="shared" si="19"/>
        <v>1983</v>
      </c>
      <c r="L219" s="466">
        <v>2100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1077</v>
      </c>
      <c r="E223" s="616"/>
      <c r="F223" s="616"/>
      <c r="G223" s="616"/>
      <c r="H223" s="616"/>
      <c r="I223" s="616"/>
      <c r="J223" s="616"/>
      <c r="K223" s="1671">
        <f t="shared" si="19"/>
        <v>1077</v>
      </c>
      <c r="L223" s="466">
        <v>1000</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30729</v>
      </c>
      <c r="E229" s="616"/>
      <c r="F229" s="616"/>
      <c r="G229" s="616"/>
      <c r="H229" s="616"/>
      <c r="I229" s="616"/>
      <c r="J229" s="616"/>
      <c r="K229" s="1670">
        <f>SUM(K215:K228)</f>
        <v>30729</v>
      </c>
      <c r="L229" s="1670">
        <f>SUM(L215:L228)</f>
        <v>31750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v>226</v>
      </c>
      <c r="E234" s="616"/>
      <c r="F234" s="616"/>
      <c r="G234" s="616"/>
      <c r="H234" s="616"/>
      <c r="I234" s="616"/>
      <c r="J234" s="616"/>
      <c r="K234" s="1671">
        <f t="shared" si="20"/>
        <v>226</v>
      </c>
      <c r="L234" s="466">
        <v>200</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226</v>
      </c>
      <c r="E238" s="616"/>
      <c r="F238" s="616"/>
      <c r="G238" s="616"/>
      <c r="H238" s="616"/>
      <c r="I238" s="616"/>
      <c r="J238" s="616"/>
      <c r="K238" s="1670">
        <f>SUM(K232:K237)</f>
        <v>226</v>
      </c>
      <c r="L238" s="1670">
        <f>SUM(L232:L237)</f>
        <v>200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145</v>
      </c>
      <c r="E240" s="616"/>
      <c r="F240" s="616"/>
      <c r="G240" s="616"/>
      <c r="H240" s="616"/>
      <c r="I240" s="616"/>
      <c r="J240" s="616"/>
      <c r="K240" s="1672">
        <f>D240</f>
        <v>145</v>
      </c>
      <c r="L240" s="481"/>
    </row>
    <row r="241" spans="1:12" x14ac:dyDescent="0.2">
      <c r="A241" s="1504" t="s">
        <v>815</v>
      </c>
      <c r="B241" s="614">
        <v>2220</v>
      </c>
      <c r="C241" s="616"/>
      <c r="D241" s="466">
        <v>7841</v>
      </c>
      <c r="E241" s="616"/>
      <c r="F241" s="616"/>
      <c r="G241" s="616"/>
      <c r="H241" s="616"/>
      <c r="I241" s="616"/>
      <c r="J241" s="616"/>
      <c r="K241" s="1672">
        <f>D241</f>
        <v>7841</v>
      </c>
      <c r="L241" s="466">
        <v>8200</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7986</v>
      </c>
      <c r="E243" s="616"/>
      <c r="F243" s="616"/>
      <c r="G243" s="616"/>
      <c r="H243" s="616"/>
      <c r="I243" s="616"/>
      <c r="J243" s="616"/>
      <c r="K243" s="1670">
        <f>SUM(K240:K242)</f>
        <v>7986</v>
      </c>
      <c r="L243" s="1670">
        <f>SUM(L240:L242)</f>
        <v>8200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92</v>
      </c>
      <c r="E245" s="616"/>
      <c r="F245" s="616"/>
      <c r="G245" s="616"/>
      <c r="H245" s="616"/>
      <c r="I245" s="616"/>
      <c r="J245" s="616"/>
      <c r="K245" s="1672">
        <f>D245</f>
        <v>92</v>
      </c>
      <c r="L245" s="481">
        <v>100</v>
      </c>
    </row>
    <row r="246" spans="1:12" x14ac:dyDescent="0.2">
      <c r="A246" s="1504" t="s">
        <v>818</v>
      </c>
      <c r="B246" s="614">
        <v>2320</v>
      </c>
      <c r="C246" s="616"/>
      <c r="D246" s="466">
        <v>4060</v>
      </c>
      <c r="E246" s="616"/>
      <c r="F246" s="616"/>
      <c r="G246" s="616"/>
      <c r="H246" s="616"/>
      <c r="I246" s="616"/>
      <c r="J246" s="616"/>
      <c r="K246" s="1672">
        <f t="shared" ref="K246:K256" si="21">D246</f>
        <v>4060</v>
      </c>
      <c r="L246" s="466">
        <v>3600</v>
      </c>
    </row>
    <row r="247" spans="1:12" x14ac:dyDescent="0.2">
      <c r="A247" s="1504" t="s">
        <v>819</v>
      </c>
      <c r="B247" s="614">
        <v>2330</v>
      </c>
      <c r="C247" s="616"/>
      <c r="D247" s="466">
        <v>399</v>
      </c>
      <c r="E247" s="616"/>
      <c r="F247" s="616"/>
      <c r="G247" s="616"/>
      <c r="H247" s="616"/>
      <c r="I247" s="616"/>
      <c r="J247" s="616"/>
      <c r="K247" s="1672">
        <f t="shared" si="21"/>
        <v>399</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v>127</v>
      </c>
      <c r="E254" s="616"/>
      <c r="F254" s="616"/>
      <c r="G254" s="616"/>
      <c r="H254" s="616"/>
      <c r="I254" s="616"/>
      <c r="J254" s="616"/>
      <c r="K254" s="1672">
        <f t="shared" si="21"/>
        <v>127</v>
      </c>
      <c r="L254" s="466">
        <v>150</v>
      </c>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4678</v>
      </c>
      <c r="E257" s="616"/>
      <c r="F257" s="616"/>
      <c r="G257" s="616"/>
      <c r="H257" s="616"/>
      <c r="I257" s="616"/>
      <c r="J257" s="616"/>
      <c r="K257" s="1670">
        <f>SUM(K245:K256)</f>
        <v>4678</v>
      </c>
      <c r="L257" s="1670">
        <f>SUM(L245:L256)</f>
        <v>3850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1204</v>
      </c>
      <c r="E259" s="616"/>
      <c r="F259" s="616"/>
      <c r="G259" s="616"/>
      <c r="H259" s="616"/>
      <c r="I259" s="616"/>
      <c r="J259" s="616"/>
      <c r="K259" s="1672">
        <f>D259</f>
        <v>1204</v>
      </c>
      <c r="L259" s="481">
        <v>1250</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1204</v>
      </c>
      <c r="E261" s="616"/>
      <c r="F261" s="616"/>
      <c r="G261" s="616"/>
      <c r="H261" s="616"/>
      <c r="I261" s="616"/>
      <c r="J261" s="616"/>
      <c r="K261" s="1670">
        <f>SUM(K259:K260)</f>
        <v>1204</v>
      </c>
      <c r="L261" s="1670">
        <f>SUM(L259:L260)</f>
        <v>1250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v>177</v>
      </c>
      <c r="E263" s="616"/>
      <c r="F263" s="616"/>
      <c r="G263" s="616"/>
      <c r="H263" s="616"/>
      <c r="I263" s="616"/>
      <c r="J263" s="616"/>
      <c r="K263" s="1672">
        <f>D263</f>
        <v>177</v>
      </c>
      <c r="L263" s="481">
        <v>200</v>
      </c>
    </row>
    <row r="264" spans="1:14" x14ac:dyDescent="0.2">
      <c r="A264" s="1504" t="s">
        <v>463</v>
      </c>
      <c r="B264" s="685">
        <v>2520</v>
      </c>
      <c r="C264" s="616"/>
      <c r="D264" s="466">
        <v>2838</v>
      </c>
      <c r="E264" s="616"/>
      <c r="F264" s="616"/>
      <c r="G264" s="616"/>
      <c r="H264" s="616"/>
      <c r="I264" s="616"/>
      <c r="J264" s="616"/>
      <c r="K264" s="1672">
        <f t="shared" ref="K264:K269" si="22">D264</f>
        <v>2838</v>
      </c>
      <c r="L264" s="466">
        <v>3200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12001</v>
      </c>
      <c r="E266" s="616"/>
      <c r="F266" s="616"/>
      <c r="G266" s="616"/>
      <c r="H266" s="616"/>
      <c r="I266" s="616"/>
      <c r="J266" s="616"/>
      <c r="K266" s="1672">
        <f t="shared" si="22"/>
        <v>12001</v>
      </c>
      <c r="L266" s="466">
        <v>13400</v>
      </c>
    </row>
    <row r="267" spans="1:14" x14ac:dyDescent="0.2">
      <c r="A267" s="1504" t="s">
        <v>953</v>
      </c>
      <c r="B267" s="614">
        <v>2550</v>
      </c>
      <c r="C267" s="616"/>
      <c r="D267" s="466">
        <v>11849</v>
      </c>
      <c r="E267" s="616"/>
      <c r="F267" s="616"/>
      <c r="G267" s="616"/>
      <c r="H267" s="616"/>
      <c r="I267" s="616"/>
      <c r="J267" s="616"/>
      <c r="K267" s="1672">
        <f t="shared" si="22"/>
        <v>11849</v>
      </c>
      <c r="L267" s="466">
        <v>14000</v>
      </c>
    </row>
    <row r="268" spans="1:14" x14ac:dyDescent="0.2">
      <c r="A268" s="1504" t="s">
        <v>100</v>
      </c>
      <c r="B268" s="614">
        <v>2560</v>
      </c>
      <c r="C268" s="616"/>
      <c r="D268" s="466">
        <v>4672</v>
      </c>
      <c r="E268" s="616"/>
      <c r="F268" s="616"/>
      <c r="G268" s="616"/>
      <c r="H268" s="616"/>
      <c r="I268" s="616"/>
      <c r="J268" s="616"/>
      <c r="K268" s="1672">
        <f t="shared" si="22"/>
        <v>4672</v>
      </c>
      <c r="L268" s="466">
        <v>5000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31537</v>
      </c>
      <c r="E270" s="616"/>
      <c r="F270" s="616"/>
      <c r="G270" s="616"/>
      <c r="H270" s="616"/>
      <c r="I270" s="616"/>
      <c r="J270" s="616"/>
      <c r="K270" s="1670">
        <f>SUM(K263:K269)</f>
        <v>31537</v>
      </c>
      <c r="L270" s="1670">
        <f>SUM(L263:L269)</f>
        <v>35800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45631</v>
      </c>
      <c r="E279" s="616"/>
      <c r="F279" s="616"/>
      <c r="G279" s="616"/>
      <c r="H279" s="616"/>
      <c r="I279" s="616"/>
      <c r="J279" s="616"/>
      <c r="K279" s="1677">
        <f>SUM(K238,K243,K257,K261,K270,K277,K278)</f>
        <v>45631</v>
      </c>
      <c r="L279" s="1677">
        <f>SUM(L238,L243,L257,L261,L270,L277,L278)</f>
        <v>49300</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8" t="s">
        <v>505</v>
      </c>
      <c r="B295" s="2179"/>
      <c r="C295" s="616"/>
      <c r="D295" s="1670">
        <f>SUM(D229,D279,D280,D285)</f>
        <v>76360</v>
      </c>
      <c r="E295" s="616"/>
      <c r="F295" s="616"/>
      <c r="G295" s="616"/>
      <c r="H295" s="1670">
        <f>H293</f>
        <v>0</v>
      </c>
      <c r="I295" s="616"/>
      <c r="J295" s="616"/>
      <c r="K295" s="1670">
        <f>SUM(K229,K279,K280,K285,K293,K294)</f>
        <v>76360</v>
      </c>
      <c r="L295" s="1670">
        <f>SUM(L229,L279,L280,L285,L293,L294)</f>
        <v>81050</v>
      </c>
    </row>
    <row r="296" spans="1:14" ht="13.5" thickTop="1" x14ac:dyDescent="0.2">
      <c r="A296" s="2187" t="s">
        <v>996</v>
      </c>
      <c r="B296" s="2188"/>
      <c r="C296" s="616"/>
      <c r="D296" s="618"/>
      <c r="E296" s="616"/>
      <c r="F296" s="616"/>
      <c r="G296" s="616"/>
      <c r="H296" s="687"/>
      <c r="I296" s="616"/>
      <c r="J296" s="616"/>
      <c r="K296" s="1684">
        <f>'Revenues 9-14'!G268-'Expenditures 15-22'!K295</f>
        <v>23646</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0" t="s">
        <v>143</v>
      </c>
      <c r="B298" s="2164"/>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v>5825</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5825</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5" t="s">
        <v>277</v>
      </c>
      <c r="B312" s="2176"/>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5825</v>
      </c>
      <c r="M312" s="665"/>
      <c r="N312" s="665"/>
    </row>
    <row r="313" spans="1:14" ht="13.5" thickTop="1" x14ac:dyDescent="0.2">
      <c r="A313" s="2171" t="s">
        <v>996</v>
      </c>
      <c r="B313" s="2172"/>
      <c r="C313" s="626"/>
      <c r="D313" s="626"/>
      <c r="E313" s="626"/>
      <c r="F313" s="626"/>
      <c r="G313" s="626"/>
      <c r="H313" s="626"/>
      <c r="I313" s="626"/>
      <c r="J313" s="626"/>
      <c r="K313" s="1685">
        <f>'Revenues 9-14'!H268-'Expenditures 15-22'!K312</f>
        <v>28</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4" t="s">
        <v>149</v>
      </c>
      <c r="B315" s="2185"/>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6" t="s">
        <v>898</v>
      </c>
      <c r="B317" s="2185"/>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20929</v>
      </c>
      <c r="F320" s="467"/>
      <c r="G320" s="467"/>
      <c r="H320" s="467"/>
      <c r="I320" s="467"/>
      <c r="J320" s="467"/>
      <c r="K320" s="1671">
        <f t="shared" ref="K320:K327" si="24">SUM(C320:J320)</f>
        <v>20929</v>
      </c>
      <c r="L320" s="467">
        <v>25000</v>
      </c>
      <c r="M320" s="665"/>
      <c r="N320" s="665"/>
    </row>
    <row r="321" spans="1:14" s="674" customFormat="1" x14ac:dyDescent="0.2">
      <c r="A321" s="1519" t="s">
        <v>300</v>
      </c>
      <c r="B321" s="697" t="s">
        <v>283</v>
      </c>
      <c r="C321" s="467"/>
      <c r="D321" s="467"/>
      <c r="E321" s="467">
        <v>3435</v>
      </c>
      <c r="F321" s="467"/>
      <c r="G321" s="467"/>
      <c r="H321" s="467"/>
      <c r="I321" s="467"/>
      <c r="J321" s="467"/>
      <c r="K321" s="1671">
        <f t="shared" si="24"/>
        <v>3435</v>
      </c>
      <c r="L321" s="467">
        <v>5000</v>
      </c>
      <c r="M321" s="665"/>
      <c r="N321" s="665"/>
    </row>
    <row r="322" spans="1:14" s="674" customFormat="1" x14ac:dyDescent="0.2">
      <c r="A322" s="1519" t="s">
        <v>238</v>
      </c>
      <c r="B322" s="697" t="s">
        <v>284</v>
      </c>
      <c r="C322" s="467"/>
      <c r="D322" s="467"/>
      <c r="E322" s="467">
        <v>34578</v>
      </c>
      <c r="F322" s="467"/>
      <c r="G322" s="467"/>
      <c r="H322" s="467"/>
      <c r="I322" s="467"/>
      <c r="J322" s="467"/>
      <c r="K322" s="1671">
        <f t="shared" si="24"/>
        <v>34578</v>
      </c>
      <c r="L322" s="467">
        <v>60000</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9000</v>
      </c>
      <c r="D325" s="467">
        <v>1995</v>
      </c>
      <c r="E325" s="467">
        <v>282</v>
      </c>
      <c r="F325" s="467"/>
      <c r="G325" s="467"/>
      <c r="H325" s="467"/>
      <c r="I325" s="467"/>
      <c r="J325" s="467"/>
      <c r="K325" s="1671">
        <f t="shared" si="24"/>
        <v>11277</v>
      </c>
      <c r="L325" s="467">
        <v>10700</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3121</v>
      </c>
      <c r="F327" s="467"/>
      <c r="G327" s="467"/>
      <c r="H327" s="467"/>
      <c r="I327" s="467"/>
      <c r="J327" s="467"/>
      <c r="K327" s="1671">
        <f t="shared" si="24"/>
        <v>3121</v>
      </c>
      <c r="L327" s="467">
        <v>5000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9000</v>
      </c>
      <c r="D330" s="1670">
        <f t="shared" ref="D330:J330" si="25">SUM(D319:D329)</f>
        <v>1995</v>
      </c>
      <c r="E330" s="1670">
        <f t="shared" si="25"/>
        <v>62345</v>
      </c>
      <c r="F330" s="1670">
        <f t="shared" si="25"/>
        <v>0</v>
      </c>
      <c r="G330" s="1670">
        <f t="shared" si="25"/>
        <v>0</v>
      </c>
      <c r="H330" s="1670">
        <f t="shared" si="25"/>
        <v>0</v>
      </c>
      <c r="I330" s="1670">
        <f t="shared" si="25"/>
        <v>0</v>
      </c>
      <c r="J330" s="1670">
        <f t="shared" si="25"/>
        <v>0</v>
      </c>
      <c r="K330" s="1670">
        <f>SUM(K319:K329)</f>
        <v>73340</v>
      </c>
      <c r="L330" s="1670">
        <f>SUM(L319:L329)</f>
        <v>105700</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9000</v>
      </c>
      <c r="D342" s="1670">
        <f>SUM(D330)</f>
        <v>1995</v>
      </c>
      <c r="E342" s="1670">
        <f>SUM(E330)</f>
        <v>62345</v>
      </c>
      <c r="F342" s="1670">
        <f>SUM(F330)</f>
        <v>0</v>
      </c>
      <c r="G342" s="1670">
        <f>SUM(G330)</f>
        <v>0</v>
      </c>
      <c r="H342" s="1670">
        <f>SUM(H330,H334,H340)</f>
        <v>0</v>
      </c>
      <c r="I342" s="1670">
        <f>SUM(I330)</f>
        <v>0</v>
      </c>
      <c r="J342" s="1670">
        <f>SUM(J330)</f>
        <v>0</v>
      </c>
      <c r="K342" s="1670">
        <f>SUM(K330,K334,K340)</f>
        <v>73340</v>
      </c>
      <c r="L342" s="1677">
        <f>SUM(L330,L334,L340,L341)</f>
        <v>105700</v>
      </c>
    </row>
    <row r="343" spans="1:14" ht="12.75" customHeight="1" thickTop="1" x14ac:dyDescent="0.2">
      <c r="A343" s="2173" t="s">
        <v>996</v>
      </c>
      <c r="B343" s="2174"/>
      <c r="C343" s="616"/>
      <c r="D343" s="616"/>
      <c r="E343" s="616"/>
      <c r="F343" s="616"/>
      <c r="G343" s="616"/>
      <c r="H343" s="616"/>
      <c r="I343" s="616"/>
      <c r="J343" s="616"/>
      <c r="K343" s="1684">
        <f>'Revenues 9-14'!J268-'Expenditures 15-22'!K342</f>
        <v>30121</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3" t="s">
        <v>966</v>
      </c>
      <c r="B345" s="2164"/>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v>16996</v>
      </c>
      <c r="D349" s="466">
        <v>1461</v>
      </c>
      <c r="E349" s="466">
        <v>1022</v>
      </c>
      <c r="F349" s="466">
        <v>128</v>
      </c>
      <c r="G349" s="466"/>
      <c r="H349" s="466"/>
      <c r="I349" s="467"/>
      <c r="J349" s="467"/>
      <c r="K349" s="1671">
        <f>SUM(C349:J349)</f>
        <v>19607</v>
      </c>
      <c r="L349" s="466">
        <v>39000</v>
      </c>
    </row>
    <row r="350" spans="1:14" ht="12.75" customHeight="1" thickBot="1" x14ac:dyDescent="0.25">
      <c r="A350" s="1668" t="s">
        <v>719</v>
      </c>
      <c r="B350" s="1669" t="s">
        <v>35</v>
      </c>
      <c r="C350" s="1670">
        <f>SUM(C348:C349)</f>
        <v>16996</v>
      </c>
      <c r="D350" s="1670">
        <f t="shared" ref="D350:L350" si="26">SUM(D348:D349)</f>
        <v>1461</v>
      </c>
      <c r="E350" s="1670">
        <f t="shared" si="26"/>
        <v>1022</v>
      </c>
      <c r="F350" s="1670">
        <f t="shared" si="26"/>
        <v>128</v>
      </c>
      <c r="G350" s="1670">
        <f t="shared" si="26"/>
        <v>0</v>
      </c>
      <c r="H350" s="1670">
        <f t="shared" si="26"/>
        <v>0</v>
      </c>
      <c r="I350" s="1670">
        <f t="shared" si="26"/>
        <v>0</v>
      </c>
      <c r="J350" s="1670">
        <f t="shared" si="26"/>
        <v>0</v>
      </c>
      <c r="K350" s="1670">
        <f t="shared" si="26"/>
        <v>19607</v>
      </c>
      <c r="L350" s="1670">
        <f t="shared" si="26"/>
        <v>39000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16996</v>
      </c>
      <c r="D352" s="1670">
        <f t="shared" ref="D352:L352" si="27">SUM(D350:D351)</f>
        <v>1461</v>
      </c>
      <c r="E352" s="1670">
        <f t="shared" si="27"/>
        <v>1022</v>
      </c>
      <c r="F352" s="1670">
        <f t="shared" si="27"/>
        <v>128</v>
      </c>
      <c r="G352" s="1670">
        <f t="shared" si="27"/>
        <v>0</v>
      </c>
      <c r="H352" s="1670">
        <f t="shared" si="27"/>
        <v>0</v>
      </c>
      <c r="I352" s="1670">
        <f t="shared" si="27"/>
        <v>0</v>
      </c>
      <c r="J352" s="1670">
        <f t="shared" si="27"/>
        <v>0</v>
      </c>
      <c r="K352" s="1670">
        <f t="shared" si="27"/>
        <v>19607</v>
      </c>
      <c r="L352" s="1670">
        <f t="shared" si="27"/>
        <v>39000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16996</v>
      </c>
      <c r="D367" s="1670">
        <f t="shared" si="28"/>
        <v>1461</v>
      </c>
      <c r="E367" s="1670">
        <f t="shared" si="28"/>
        <v>1022</v>
      </c>
      <c r="F367" s="1670">
        <f t="shared" si="28"/>
        <v>128</v>
      </c>
      <c r="G367" s="1670">
        <f t="shared" si="28"/>
        <v>0</v>
      </c>
      <c r="H367" s="1670">
        <f t="shared" si="28"/>
        <v>0</v>
      </c>
      <c r="I367" s="1670">
        <f t="shared" si="28"/>
        <v>0</v>
      </c>
      <c r="J367" s="1670">
        <f t="shared" si="28"/>
        <v>0</v>
      </c>
      <c r="K367" s="1670">
        <f t="shared" si="28"/>
        <v>19607</v>
      </c>
      <c r="L367" s="1670">
        <f t="shared" si="28"/>
        <v>39000</v>
      </c>
    </row>
    <row r="368" spans="1:14" ht="13.5" thickTop="1" x14ac:dyDescent="0.2">
      <c r="A368" s="2187" t="s">
        <v>996</v>
      </c>
      <c r="B368" s="2188"/>
      <c r="C368" s="654"/>
      <c r="D368" s="654"/>
      <c r="E368" s="626"/>
      <c r="F368" s="626"/>
      <c r="G368" s="626"/>
      <c r="H368" s="626"/>
      <c r="I368" s="626"/>
      <c r="J368" s="623"/>
      <c r="K368" s="1671">
        <f>'Revenues 9-14'!K268-'Expenditures 15-22'!K367</f>
        <v>19695</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6ce3111e-7420-4802-b50a-75d4e9a0b980"/>
    <ds:schemaRef ds:uri="http://schemas.microsoft.com/office/2006/metadata/properties"/>
    <ds:schemaRef ds:uri="http://www.w3.org/XML/1998/namespace"/>
    <ds:schemaRef ds:uri="http://purl.org/dc/elements/1.1/"/>
    <ds:schemaRef ds:uri="http://schemas.microsoft.com/office/infopath/2007/PartnerControls"/>
    <ds:schemaRef ds:uri="4d435f69-8686-490b-bd6d-b153bf22ab50"/>
    <ds:schemaRef ds:uri="d21dc803-237d-4c68-8692-8d731fd29118"/>
    <ds:schemaRef ds:uri="http://purl.org/dc/terms/"/>
    <ds:schemaRef ds:uri="http://schemas.microsoft.com/office/2006/documentManagement/types"/>
    <ds:schemaRef ds:uri="http://schemas.openxmlformats.org/package/2006/metadata/core-properties"/>
    <ds:schemaRef ds:uri="http://schemas.microsoft.com/sharepoint/v3"/>
    <ds:schemaRef ds:uri="http://purl.org/dc/dcmitype/"/>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Finding 2019-001</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2019-10-11T13:24:11Z</cp:lastPrinted>
  <dcterms:created xsi:type="dcterms:W3CDTF">2003-10-29T19:06:34Z</dcterms:created>
  <dcterms:modified xsi:type="dcterms:W3CDTF">2019-11-20T19:55:14Z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DeleteTemporaryFile">
    <vt:lpwstr>000000036920191011132634.xlsm</vt:lpwstr>
  </property>
  <property fmtid="{D5CDD505-2E9C-101B-9397-08002B2CF9AE}" pid="5" name="GFRDocument">
    <vt:lpwstr>1</vt:lpwstr>
  </property>
  <property fmtid="{D5CDD505-2E9C-101B-9397-08002B2CF9AE}" pid="6" name="WebDocument">
    <vt:lpwstr>True</vt:lpwstr>
  </property>
</Properties>
</file>