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7194C82-E8DD-4F11-B916-761633FA03C6}"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A" sheetId="183" r:id="rId29"/>
    <sheet name=" SEFA B" sheetId="184" r:id="rId30"/>
    <sheet name=" SEFA C"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A'!$B$1:$M$46</definedName>
    <definedName name="_xlnm.Print_Area" localSheetId="29">' SEFA B'!$B$1:$M$46</definedName>
    <definedName name="_xlnm.Print_Area" localSheetId="30">' SEFA C'!$B$1:$M$46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65" i="5" l="1"/>
  <c r="C39" i="3"/>
  <c r="H65" i="5" l="1"/>
  <c r="G65" i="5"/>
  <c r="F65" i="5"/>
  <c r="E65" i="5"/>
  <c r="D65" i="5"/>
  <c r="H8" i="29"/>
  <c r="G8" i="29"/>
  <c r="F8" i="29"/>
  <c r="E8" i="29"/>
  <c r="D8" i="29"/>
  <c r="C8" i="29"/>
  <c r="F75" i="29"/>
  <c r="E75" i="29"/>
  <c r="F45" i="29"/>
  <c r="D217" i="29" l="1"/>
  <c r="K21" i="184" l="1"/>
  <c r="K23" i="184" s="1"/>
  <c r="J21" i="184"/>
  <c r="J23" i="184" s="1"/>
  <c r="I21" i="184"/>
  <c r="I23" i="184" s="1"/>
  <c r="H21" i="184"/>
  <c r="H23" i="184" s="1"/>
  <c r="G21" i="184"/>
  <c r="G23" i="184" s="1"/>
  <c r="F21" i="184"/>
  <c r="F23" i="184" s="1"/>
  <c r="E21" i="184"/>
  <c r="E23" i="184" s="1"/>
  <c r="L26" i="183"/>
  <c r="L27" i="183"/>
  <c r="L19" i="183"/>
  <c r="L20" i="183"/>
  <c r="L21" i="183"/>
  <c r="L22" i="183"/>
  <c r="L23" i="183"/>
  <c r="L24" i="183"/>
  <c r="L25" i="183"/>
  <c r="L17" i="183"/>
  <c r="L18" i="183"/>
  <c r="I25" i="179"/>
  <c r="I16" i="183" s="1"/>
  <c r="G25" i="179"/>
  <c r="G16" i="183" s="1"/>
  <c r="F25" i="179"/>
  <c r="F16" i="183" s="1"/>
  <c r="E25" i="179"/>
  <c r="E16" i="183" s="1"/>
  <c r="F18" i="185" l="1"/>
  <c r="K16" i="185"/>
  <c r="K18" i="185" s="1"/>
  <c r="J16" i="185"/>
  <c r="I16" i="185"/>
  <c r="I18" i="185" s="1"/>
  <c r="H16" i="185"/>
  <c r="G16" i="185"/>
  <c r="F16" i="185"/>
  <c r="E16" i="185"/>
  <c r="E18" i="185" s="1"/>
  <c r="L27" i="185"/>
  <c r="L26" i="185"/>
  <c r="L25" i="185"/>
  <c r="L24" i="185"/>
  <c r="L23" i="185"/>
  <c r="L22" i="185"/>
  <c r="L21" i="185"/>
  <c r="L20" i="185"/>
  <c r="L19" i="185"/>
  <c r="L17" i="185"/>
  <c r="L15" i="185"/>
  <c r="L14" i="185"/>
  <c r="L13" i="185"/>
  <c r="L12" i="185"/>
  <c r="L11" i="185"/>
  <c r="B4" i="185"/>
  <c r="K21" i="179"/>
  <c r="K25" i="179" s="1"/>
  <c r="K16" i="183" s="1"/>
  <c r="L16" i="183" s="1"/>
  <c r="J21" i="179"/>
  <c r="J25" i="179" s="1"/>
  <c r="J16" i="183" s="1"/>
  <c r="H21" i="179"/>
  <c r="H25" i="179" s="1"/>
  <c r="H16" i="183" s="1"/>
  <c r="L16" i="185" l="1"/>
  <c r="G18" i="185"/>
  <c r="H18" i="185"/>
  <c r="J18" i="185"/>
  <c r="L27" i="184"/>
  <c r="L26" i="184"/>
  <c r="L25" i="184"/>
  <c r="L24" i="184"/>
  <c r="L23" i="184"/>
  <c r="L22" i="184"/>
  <c r="L21" i="184"/>
  <c r="L20" i="184"/>
  <c r="L19" i="184"/>
  <c r="L18" i="184"/>
  <c r="L17" i="184"/>
  <c r="L16" i="184"/>
  <c r="L15" i="184"/>
  <c r="L14" i="184"/>
  <c r="L13" i="184"/>
  <c r="L12" i="184"/>
  <c r="L11" i="184"/>
  <c r="B4" i="184"/>
  <c r="L15" i="183"/>
  <c r="L14" i="183"/>
  <c r="L13" i="183"/>
  <c r="L12" i="183"/>
  <c r="L11" i="183"/>
  <c r="B4" i="183"/>
  <c r="L18" i="185" l="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23" i="181"/>
  <c r="E23" i="181"/>
  <c r="G22" i="181"/>
  <c r="E22" i="181"/>
  <c r="G21" i="181"/>
  <c r="E21" i="181"/>
  <c r="G20" i="181"/>
  <c r="E20" i="181"/>
  <c r="G19" i="181"/>
  <c r="E19" i="181"/>
  <c r="E18" i="181"/>
  <c r="F18" i="181" s="1"/>
  <c r="G18" i="181" s="1"/>
  <c r="G24" i="181"/>
  <c r="E24" i="181"/>
  <c r="D25" i="181" l="1"/>
  <c r="D80" i="36" l="1"/>
  <c r="B7797" i="106"/>
  <c r="E25" i="181"/>
  <c r="E17" i="181"/>
  <c r="F17" i="181" s="1"/>
  <c r="E16" i="181"/>
  <c r="F16" i="181" l="1"/>
  <c r="G16" i="181" s="1"/>
  <c r="G17" i="181"/>
  <c r="G25" i="181" s="1"/>
  <c r="G40" i="108" l="1"/>
  <c r="B7799" i="106"/>
  <c r="F2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6" i="127"/>
  <c r="B67" i="127"/>
  <c r="E26" i="108"/>
  <c r="G26" i="108"/>
  <c r="D27" i="108"/>
  <c r="E27" i="108"/>
  <c r="F27" i="108"/>
  <c r="G27" i="108"/>
  <c r="F28" i="108"/>
  <c r="F31" i="108"/>
  <c r="F36" i="108"/>
  <c r="G28" i="108"/>
  <c r="G29"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F46" i="34" l="1"/>
  <c r="G210" i="29"/>
  <c r="E29" i="108"/>
  <c r="G15" i="145"/>
  <c r="D7245" i="106"/>
  <c r="L13" i="11"/>
  <c r="B2060" i="106" s="1"/>
  <c r="D2060" i="106" s="1"/>
  <c r="B3647" i="106"/>
  <c r="D3647" i="106" s="1"/>
  <c r="K184" i="29"/>
  <c r="F13" i="4" s="1"/>
  <c r="B2596" i="106" s="1"/>
  <c r="D2596" i="106" s="1"/>
  <c r="G30"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B1365" i="106"/>
  <c r="D1365" i="106" s="1"/>
  <c r="F65" i="34"/>
  <c r="D44" i="36"/>
  <c r="L16" i="11"/>
  <c r="B2061" i="106" s="1"/>
  <c r="D2061" i="106" s="1"/>
  <c r="C114" i="29"/>
  <c r="B757" i="106" s="1"/>
  <c r="D757" i="106" s="1"/>
  <c r="B5527" i="106"/>
  <c r="D5527" i="106" s="1"/>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<sst xmlns="http://schemas.openxmlformats.org/spreadsheetml/2006/main" count="5416" uniqueCount="2187">
  <si>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</si>
  <si>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</si>
  <si>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</si>
  <si>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</si>
  <si>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</si>
  <si>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</si>
  <si>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</si>
  <si>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</si>
  <si>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</si>
  <si>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</si>
  <si>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</si>
  <si>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</si>
  <si>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</si>
  <si>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</si>
  <si>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</si>
  <si>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</si>
  <si>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</si>
  <si>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</si>
  <si>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</si>
  <si>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</si>
  <si>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</si>
  <si>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</si>
  <si>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</si>
  <si>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</si>
  <si>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</si>
  <si>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</si>
  <si>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</si>
  <si>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</si>
  <si>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</si>
  <si>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</si>
  <si>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</si>
  <si>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</si>
  <si>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</si>
  <si>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</si>
  <si>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</si>
  <si>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</si>
  <si>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</si>
  <si>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</si>
  <si>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</si>
  <si>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</si>
  <si>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</si>
  <si>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</si>
  <si>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</si>
  <si>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</si>
  <si>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</si>
  <si>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</si>
  <si>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</si>
  <si>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</si>
  <si>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</si>
  <si>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</si>
  <si>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</si>
  <si>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</si>
  <si>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</si>
  <si>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</si>
  <si>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</si>
  <si>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</si>
  <si>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</si>
  <si>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</si>
  <si>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</si>
  <si>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</si>
  <si>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</si>
  <si>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</si>
  <si>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</si>
  <si>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</si>
  <si>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</si>
  <si>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</si>
  <si>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</si>
  <si>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</si>
  <si>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</si>
  <si>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</si>
  <si>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</si>
  <si>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</si>
  <si>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</si>
  <si>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</si>
  <si>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</si>
  <si>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</si>
  <si>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</si>
  <si>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</si>
  <si>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</si>
  <si>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</si>
  <si>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</si>
  <si>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</si>
  <si>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</si>
  <si>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</si>
  <si>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</si>
  <si>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</si>
  <si>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</si>
  <si>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</si>
  <si>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</si>
  <si>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</si>
  <si>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</si>
  <si>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</si>
  <si>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</si>
  <si>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</si>
  <si>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</si>
  <si>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</si>
  <si>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</si>
  <si>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</si>
  <si>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</si>
  <si>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</si>
  <si>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</si>
  <si>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</si>
  <si>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</si>
  <si>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</si>
  <si>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</si>
  <si>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</si>
  <si>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</si>
  <si>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</si>
  <si>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</si>
  <si>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</si>
  <si>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</si>
  <si>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</si>
  <si>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</si>
  <si>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</si>
  <si>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</si>
  <si>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</si>
  <si>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</si>
  <si>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</si>
  <si>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</si>
  <si>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</si>
  <si>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</si>
  <si>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</si>
  <si>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</si>
  <si>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</si>
  <si>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</si>
  <si>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</si>
  <si>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</si>
  <si>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</si>
  <si>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</si>
  <si>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</si>
  <si>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</si>
  <si>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</si>
  <si>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</si>
  <si>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</si>
  <si>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</si>
  <si>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</si>
  <si>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</si>
  <si>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</si>
  <si>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</si>
  <si>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</si>
  <si>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</si>
  <si>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</si>
  <si>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</si>
  <si>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</si>
  <si>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</si>
  <si>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</si>
  <si>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</si>
  <si>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</si>
  <si>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</si>
  <si>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</si>
  <si>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</si>
  <si>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</si>
  <si>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</si>
  <si>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</si>
  <si>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</si>
  <si>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</si>
  <si>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</si>
  <si>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</si>
  <si>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</si>
  <si>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</si>
  <si>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</si>
  <si>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</si>
  <si>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</si>
  <si>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</si>
  <si>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</si>
  <si>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</si>
  <si>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</si>
  <si>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</si>
  <si>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</si>
  <si>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</si>
  <si>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</si>
  <si>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</si>
  <si>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</si>
  <si>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</si>
  <si>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</si>
  <si>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</si>
  <si>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</si>
  <si>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</si>
  <si>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</si>
  <si>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</si>
  <si>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</si>
  <si>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</si>
  <si>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</si>
  <si>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</si>
  <si>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</si>
  <si>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</si>
  <si>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</si>
  <si>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</si>
  <si>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</si>
  <si>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</si>
  <si>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</si>
  <si>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</si>
  <si>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</si>
  <si>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</si>
  <si>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</si>
  <si>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</si>
  <si>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</si>
  <si>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</si>
  <si>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</si>
  <si>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</si>
  <si>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</si>
  <si>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</si>
  <si>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</si>
  <si>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</si>
  <si>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</si>
  <si>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</si>
  <si>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</si>
  <si>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</si>
  <si>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</si>
  <si>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</si>
  <si>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</si>
  <si>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</si>
  <si>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</si>
  <si>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</si>
  <si>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</si>
  <si>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</si>
  <si>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</si>
  <si>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</si>
  <si>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</si>
  <si>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</si>
  <si>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</si>
  <si>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</si>
  <si>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</si>
  <si>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</si>
  <si>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</si>
  <si>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</si>
  <si>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</si>
  <si>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</si>
  <si>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</si>
  <si>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</si>
  <si>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</si>
  <si>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</si>
  <si>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</si>
  <si>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</si>
  <si>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</si>
  <si>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</si>
  <si>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</si>
  <si>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</si>
  <si>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</si>
  <si>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</si>
  <si>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</si>
  <si>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</si>
  <si>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</si>
  <si>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</si>
  <si>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</si>
  <si>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</si>
  <si>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</si>
  <si>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</si>
  <si>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</si>
  <si>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</si>
  <si>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</si>
  <si>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</si>
  <si>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</si>
  <si>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</si>
  <si>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</si>
  <si>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</si>
  <si>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</si>
  <si>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</si>
  <si>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</si>
  <si>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</si>
  <si>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</si>
  <si>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</si>
  <si>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</si>
  <si>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</si>
  <si>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</si>
  <si>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</si>
  <si>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</si>
  <si>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</si>
  <si>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</si>
  <si>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</si>
  <si>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</si>
  <si>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</si>
  <si>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</si>
  <si>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</si>
  <si>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</si>
  <si>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</si>
  <si>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</si>
  <si>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</si>
  <si>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</si>
  <si>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</si>
  <si>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</si>
  <si>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</si>
  <si>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</si>
  <si>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</si>
  <si>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</si>
  <si>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</si>
  <si>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</si>
  <si>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</si>
  <si>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</si>
  <si>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</si>
  <si>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</si>
  <si>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</si>
  <si>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</si>
  <si>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</si>
  <si>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</si>
  <si>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</si>
  <si>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</si>
  <si>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</si>
  <si>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</si>
  <si>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</si>
  <si>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</si>
  <si>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</si>
  <si>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</si>
  <si>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</si>
  <si>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</si>
  <si>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</si>
  <si>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</si>
  <si>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</si>
  <si>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</si>
  <si>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</si>
  <si>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</si>
  <si>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</si>
  <si>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</si>
  <si>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</si>
  <si>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</si>
  <si>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</si>
  <si>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</si>
  <si>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</si>
  <si>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</si>
  <si>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</si>
  <si>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</si>
  <si>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</si>
  <si>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</si>
  <si>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</si>
  <si>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</si>
  <si>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</si>
  <si>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</si>
  <si>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</si>
  <si>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</si>
  <si>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</si>
  <si>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</si>
  <si>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</si>
  <si>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</si>
  <si>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</si>
  <si>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</si>
  <si>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</si>
  <si>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</si>
  <si>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</si>
  <si>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</si>
  <si>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</si>
  <si>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</si>
  <si>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</si>
  <si>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</si>
  <si>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</si>
  <si>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</si>
  <si>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</si>
  <si>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</si>
  <si>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</si>
  <si>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</si>
  <si>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</si>
  <si>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</si>
  <si>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</si>
  <si>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</si>
  <si>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</si>
  <si>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</si>
  <si>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</si>
  <si>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</si>
  <si>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</si>
  <si>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</si>
  <si>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</si>
  <si>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</si>
  <si>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</si>
  <si>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</si>
  <si>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</si>
  <si>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</si>
  <si>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</si>
  <si>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</si>
  <si>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</si>
  <si>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</si>
  <si>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</si>
  <si>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</si>
  <si>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</si>
  <si>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</si>
  <si>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</si>
  <si>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</si>
  <si>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</si>
  <si>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</si>
  <si>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</si>
  <si>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</si>
  <si>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</si>
  <si>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</si>
  <si>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</si>
  <si>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</si>
  <si>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</si>
  <si>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</si>
  <si>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</si>
  <si>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</si>
  <si>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</si>
  <si>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</si>
  <si>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</si>
  <si>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</si>
  <si>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</si>
  <si>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</si>
  <si>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</si>
  <si>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</si>
  <si>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</si>
  <si>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</si>
  <si>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</si>
  <si>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</si>
  <si>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</si>
  <si>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</si>
  <si>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</si>
  <si>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</si>
  <si>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</si>
  <si>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</si>
  <si>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</si>
  <si>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</si>
  <si>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</si>
  <si>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</si>
  <si>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</si>
  <si>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</si>
  <si>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</si>
  <si>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</si>
  <si>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</si>
  <si>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</si>
  <si>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</si>
  <si>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</si>
  <si>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</si>
  <si>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</si>
  <si>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</si>
  <si>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</si>
  <si>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</si>
  <si>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</si>
  <si>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</si>
  <si>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</si>
  <si>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</si>
  <si>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</si>
  <si>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</si>
  <si>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</si>
  <si>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</si>
  <si>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</si>
  <si>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</si>
  <si>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</si>
  <si>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</si>
  <si>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</si>
  <si>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</si>
  <si>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</si>
  <si>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</si>
  <si>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</si>
  <si>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</si>
  <si>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</si>
  <si>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</si>
  <si>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</si>
  <si>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</si>
  <si>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</si>
  <si>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</si>
  <si>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</si>
  <si>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</si>
  <si>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</si>
  <si>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</si>
  <si>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</si>
  <si>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</si>
  <si>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</si>
  <si>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</si>
  <si>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</si>
  <si>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</si>
  <si>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</si>
  <si>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</si>
  <si>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</si>
  <si>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</si>
  <si>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</si>
  <si>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</si>
  <si>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</si>
  <si>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</si>
  <si>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</si>
  <si>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</si>
  <si>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</si>
  <si>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</si>
  <si>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</si>
  <si>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</si>
  <si>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</si>
  <si>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</si>
  <si>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</si>
  <si>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</si>
  <si>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</si>
  <si>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</si>
  <si>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</si>
  <si>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</si>
  <si>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</si>
  <si>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</si>
  <si>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</si>
  <si>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</si>
  <si>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</si>
  <si>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</si>
  <si>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</si>
  <si>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</si>
  <si>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</si>
  <si>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</si>
  <si>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</si>
  <si>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</si>
  <si>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</si>
  <si>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</si>
  <si>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</si>
  <si>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</si>
  <si>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</si>
  <si>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</si>
  <si>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</si>
  <si>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</si>
  <si>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</si>
  <si>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</si>
  <si>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</si>
  <si>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</si>
  <si>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</si>
  <si>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</si>
  <si>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</si>
  <si>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</si>
  <si>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</si>
  <si>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</si>
  <si>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</si>
  <si>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</si>
  <si>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</si>
  <si>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</si>
  <si>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</si>
  <si>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</si>
  <si>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</si>
  <si>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</si>
  <si>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</si>
  <si>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</si>
  <si>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</si>
  <si>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</si>
  <si>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</si>
  <si>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</si>
  <si>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</si>
  <si>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</si>
  <si>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</si>
  <si>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</si>
  <si>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</si>
  <si>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</si>
  <si>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</si>
  <si>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</si>
  <si>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</si>
  <si>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</si>
  <si>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</si>
  <si>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</si>
  <si>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</si>
  <si>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</si>
  <si>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</si>
  <si>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</si>
  <si>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</si>
  <si>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</si>
  <si>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</si>
  <si>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</si>
  <si>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</si>
  <si>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</si>
  <si>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</si>
  <si>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</si>
  <si>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</si>
  <si>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</si>
  <si>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</si>
  <si>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</si>
  <si>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</si>
  <si>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</si>
  <si>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</si>
  <si>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</si>
  <si>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</si>
  <si>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</si>
  <si>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</si>
  <si>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</si>
  <si>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</si>
  <si>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</si>
  <si>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</si>
  <si>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</si>
  <si>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</si>
  <si>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</si>
  <si>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</si>
  <si>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</si>
  <si>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</si>
  <si>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</si>
  <si>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</si>
  <si>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</si>
  <si>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</si>
  <si>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</si>
  <si>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</si>
  <si>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</si>
  <si>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</si>
  <si>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</si>
  <si>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</si>
  <si>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</si>
  <si>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</si>
  <si>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</si>
  <si>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</si>
  <si>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</si>
  <si>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</si>
  <si>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</si>
  <si>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</si>
  <si>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</si>
  <si>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</si>
  <si>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</si>
  <si>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</si>
  <si>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</si>
  <si>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</si>
  <si>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</si>
  <si>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</si>
  <si>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</si>
  <si>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</si>
  <si>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</si>
  <si>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</si>
  <si>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</si>
  <si>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</si>
  <si>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</si>
  <si>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</si>
  <si>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</si>
  <si>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</si>
  <si>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</si>
  <si>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</si>
  <si>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</si>
  <si>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</si>
  <si>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</si>
  <si>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</si>
  <si>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</si>
  <si>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</si>
  <si>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</si>
  <si>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</si>
  <si>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</si>
  <si>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</si>
  <si>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</si>
  <si>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</si>
  <si>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</si>
  <si>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</si>
  <si>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</si>
  <si>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</si>
  <si>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</si>
  <si>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</si>
  <si>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</si>
  <si>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</si>
  <si>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</si>
  <si>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</si>
  <si>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</si>
  <si>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</si>
  <si>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</si>
  <si>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</si>
  <si>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</si>
  <si>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</si>
  <si>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</si>
  <si>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</si>
  <si>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</si>
  <si>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</si>
  <si>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</si>
  <si>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</si>
  <si>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</si>
  <si>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</si>
  <si>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</si>
  <si>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</si>
  <si>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</si>
  <si>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</si>
  <si>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</si>
  <si>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</si>
  <si>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</si>
  <si>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</si>
  <si>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</si>
  <si>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</si>
  <si>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</si>
  <si>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</si>
  <si>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</si>
  <si>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</si>
  <si>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</si>
  <si>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</si>
  <si>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</si>
  <si>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</si>
  <si>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</si>
  <si>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</si>
  <si>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</si>
  <si>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</si>
  <si>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</si>
  <si>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</si>
  <si>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</si>
  <si>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</si>
  <si>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</si>
  <si>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</si>
  <si>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</si>
  <si>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</si>
  <si>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</si>
  <si>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</si>
  <si>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</si>
  <si>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</si>
  <si>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</si>
  <si>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</si>
  <si>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</si>
  <si>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</si>
  <si>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</si>
  <si>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</si>
  <si>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</si>
  <si>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</si>
  <si>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</si>
  <si>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</si>
  <si>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</si>
  <si>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</si>
  <si>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</si>
  <si>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</si>
  <si>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</si>
  <si>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</si>
  <si>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</si>
  <si>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</si>
  <si>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</si>
  <si>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</si>
  <si>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</si>
  <si>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</si>
  <si>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</si>
  <si>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</si>
  <si>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</si>
  <si>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</si>
  <si>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</si>
  <si>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</si>
  <si>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</si>
  <si>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</si>
  <si>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</si>
  <si>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</si>
  <si>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</si>
  <si>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</si>
  <si>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</si>
  <si>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</si>
  <si>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</si>
  <si>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</si>
  <si>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</si>
  <si>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</si>
  <si>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</si>
  <si>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</si>
  <si>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</si>
  <si>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</si>
  <si>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</si>
  <si>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</si>
  <si>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</si>
  <si>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</si>
  <si>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</si>
  <si>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</si>
  <si>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</si>
  <si>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</si>
  <si>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</si>
  <si>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</si>
  <si>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</si>
  <si>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</si>
  <si>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</si>
  <si>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</si>
  <si>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</si>
  <si>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</si>
  <si>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</si>
  <si>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</si>
  <si>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</si>
  <si>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</si>
  <si>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</si>
  <si>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</si>
  <si>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</si>
  <si>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</si>
  <si>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</si>
  <si>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</si>
  <si>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</si>
  <si>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</si>
  <si>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</si>
  <si>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</si>
  <si>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</si>
  <si>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</si>
  <si>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</si>
  <si>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</si>
  <si>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</si>
  <si>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</si>
  <si>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</si>
  <si>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</si>
  <si>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</si>
  <si>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</si>
  <si>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</si>
  <si>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</si>
  <si>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</si>
  <si>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</si>
  <si>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</si>
  <si>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</si>
  <si>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</si>
  <si>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</si>
  <si>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</si>
  <si>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</si>
  <si>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</si>
  <si>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</si>
  <si>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</si>
  <si>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</si>
  <si>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</si>
  <si>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</si>
  <si>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</si>
  <si>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</si>
  <si>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</si>
  <si>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</si>
  <si>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</si>
  <si>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</si>
  <si>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</si>
  <si>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</si>
  <si>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</si>
  <si>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</si>
  <si>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</si>
  <si>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</si>
  <si>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</si>
  <si>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</si>
  <si>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</si>
  <si>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</si>
  <si>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</si>
  <si>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</si>
  <si>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</si>
  <si>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</si>
  <si>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</si>
  <si>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</si>
  <si>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</si>
  <si>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</si>
  <si>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</si>
  <si>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</si>
  <si>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</si>
  <si>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</si>
  <si>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</si>
  <si>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</si>
  <si>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</si>
  <si>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</si>
  <si>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</si>
  <si>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</si>
  <si>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</si>
  <si>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</si>
  <si>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</si>
  <si>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</si>
  <si>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</si>
  <si>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</si>
  <si>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</si>
  <si>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</si>
  <si>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</si>
  <si>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</si>
  <si>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</si>
  <si>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</si>
  <si>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</si>
  <si>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</si>
  <si>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</si>
  <si>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</si>
  <si>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</si>
  <si>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</si>
  <si>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</si>
  <si>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</si>
  <si>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</si>
  <si>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</si>
  <si>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</si>
  <si>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</si>
  <si>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</si>
  <si>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</si>
  <si>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</si>
  <si>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</si>
  <si>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</si>
  <si>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</si>
  <si>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</si>
  <si>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</si>
  <si>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</si>
  <si>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</si>
  <si>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</si>
  <si>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</si>
  <si>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</si>
  <si>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</si>
  <si>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</si>
  <si>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</si>
  <si>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</si>
  <si>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</si>
  <si>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</si>
  <si>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</si>
  <si>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</si>
  <si>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</si>
  <si>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</si>
  <si>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</si>
  <si>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</si>
  <si>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</si>
  <si>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</si>
  <si>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</si>
  <si>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</si>
  <si>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</si>
  <si>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</si>
  <si>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</si>
  <si>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</si>
  <si>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</si>
  <si>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</si>
  <si>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</si>
  <si>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</si>
  <si>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</si>
  <si>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</si>
  <si>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</si>
  <si>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</si>
  <si>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</si>
  <si>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</si>
  <si>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</si>
  <si>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</si>
  <si>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</si>
  <si>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</si>
  <si>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</si>
  <si>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</si>
  <si>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</si>
  <si>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</si>
  <si>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</si>
  <si>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</si>
  <si>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</si>
  <si>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</si>
  <si>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</si>
  <si>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</si>
  <si>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</si>
  <si>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</si>
  <si>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</si>
  <si>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</si>
  <si>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</si>
  <si>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</si>
  <si>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</si>
  <si>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</si>
  <si>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</si>
  <si>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</si>
  <si>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</si>
  <si>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</si>
  <si>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</si>
  <si>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</si>
  <si>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</si>
  <si>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</si>
  <si>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</si>
  <si>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</si>
  <si>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</si>
  <si>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</si>
  <si>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</si>
  <si>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</si>
  <si>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</si>
  <si>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</si>
  <si>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</si>
  <si>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</si>
  <si>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</si>
  <si>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</si>
  <si>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</si>
  <si>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</si>
  <si>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</si>
  <si>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</si>
  <si>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</si>
  <si>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</si>
  <si>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</si>
  <si>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</si>
  <si>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</si>
  <si>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</si>
  <si>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</si>
  <si>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</si>
  <si>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</si>
  <si>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</si>
  <si>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</si>
  <si>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</si>
  <si>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</si>
  <si>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</si>
  <si>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</si>
  <si>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</si>
  <si>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</si>
  <si>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</si>
  <si>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</si>
  <si>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</si>
  <si>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</si>
  <si>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</si>
  <si>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</si>
  <si>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</si>
  <si>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</si>
  <si>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</si>
  <si>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</si>
  <si>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</si>
  <si>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</si>
  <si>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</si>
  <si>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</si>
  <si>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</si>
  <si>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</si>
  <si>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</si>
  <si>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</si>
  <si>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</si>
  <si>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</si>
  <si>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</si>
  <si>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</si>
  <si>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</si>
  <si>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</si>
  <si>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</si>
  <si>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</si>
  <si>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</si>
  <si>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</si>
  <si>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</si>
  <si>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</si>
  <si>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</si>
  <si>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</si>
  <si>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</si>
  <si>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</si>
  <si>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</si>
  <si>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</si>
  <si>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</si>
  <si>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</si>
  <si>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</si>
  <si>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</si>
  <si>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</si>
  <si>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</si>
  <si>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</si>
  <si>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</si>
  <si>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</si>
  <si>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</si>
  <si>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</si>
  <si>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</si>
  <si>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</si>
  <si>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</si>
  <si>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</si>
  <si>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</si>
  <si>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</si>
  <si>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</si>
  <si>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</si>
  <si>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</si>
  <si>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</si>
  <si>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</si>
  <si>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</si>
  <si>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</si>
  <si>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</si>
  <si>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</si>
  <si>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</si>
  <si>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</si>
  <si>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</si>
  <si>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</si>
  <si>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</si>
  <si>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</si>
  <si>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</si>
  <si>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</si>
  <si>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</si>
  <si>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</si>
  <si>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</si>
  <si>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</si>
  <si>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</si>
  <si>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</si>
  <si>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</si>
  <si>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</si>
  <si>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</si>
  <si>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</si>
  <si>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</si>
  <si>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</si>
  <si>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</si>
  <si>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</si>
  <si>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</si>
  <si>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</si>
  <si>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</si>
  <si>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</si>
  <si>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</si>
  <si>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</si>
  <si>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</si>
  <si>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</si>
  <si>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</si>
  <si>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</si>
  <si>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</si>
  <si>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</si>
  <si>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</si>
  <si>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</si>
  <si>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</si>
  <si>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</si>
  <si>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</si>
  <si>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</si>
  <si>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</si>
  <si>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</si>
  <si>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</si>
  <si>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</si>
  <si>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</si>
  <si>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</si>
  <si>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</si>
  <si>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</si>
  <si>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</si>
  <si>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</si>
  <si>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</si>
  <si>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</si>
  <si>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</si>
  <si>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</si>
  <si>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</si>
  <si>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</si>
  <si>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</si>
  <si>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</si>
  <si>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</si>
  <si>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</si>
  <si>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</si>
  <si>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</si>
  <si>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</si>
  <si>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</si>
  <si>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</si>
  <si>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</si>
  <si>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</si>
  <si>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</si>
  <si>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</si>
  <si>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</si>
  <si>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</si>
  <si>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</si>
  <si>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</si>
  <si>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</si>
  <si>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</si>
  <si>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</si>
  <si>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</si>
  <si>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</si>
  <si>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</si>
  <si>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</si>
  <si>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</si>
  <si>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</si>
  <si>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</si>
  <si>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</si>
  <si>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</si>
  <si>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</si>
  <si>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</si>
  <si>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</si>
  <si>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</si>
  <si>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</si>
  <si>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</si>
  <si>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</si>
  <si>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</si>
  <si>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</si>
  <si>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</si>
  <si>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</si>
  <si>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</si>
  <si>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</si>
  <si>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</si>
  <si>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</si>
  <si>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</si>
  <si>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</si>
  <si>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</si>
  <si>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</si>
  <si>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</si>
  <si>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</si>
  <si>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</si>
  <si>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</si>
  <si>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</si>
  <si>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</si>
  <si>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</si>
  <si>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</si>
  <si>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</si>
  <si>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</si>
  <si>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</si>
  <si>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</si>
  <si>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</si>
  <si>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</si>
  <si>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</si>
  <si>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</si>
  <si>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</si>
  <si>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</si>
  <si>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</si>
  <si>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</si>
  <si>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</si>
  <si>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</si>
  <si>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</si>
  <si>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</si>
  <si>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</si>
  <si>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</si>
  <si>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</si>
  <si>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</si>
  <si>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</si>
  <si>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</si>
  <si>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</si>
  <si>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</si>
  <si>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</si>
  <si>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</si>
  <si>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</si>
  <si>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</si>
  <si>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</si>
  <si>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</si>
  <si>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</si>
  <si>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</si>
  <si>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</si>
  <si>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</si>
  <si>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</si>
  <si>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</si>
  <si>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</si>
  <si>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</si>
  <si>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</si>
  <si>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</si>
  <si>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</si>
  <si>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</si>
  <si>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</si>
  <si>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</si>
  <si>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</si>
  <si>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</si>
  <si>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</si>
  <si>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</si>
  <si>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</si>
  <si>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</si>
  <si>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</si>
  <si>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</si>
  <si>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</si>
  <si>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</si>
  <si>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</si>
  <si>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</si>
  <si>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</si>
  <si>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</si>
  <si>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</si>
  <si>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</si>
  <si>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</si>
  <si>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</si>
  <si>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</si>
  <si>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</si>
  <si>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</si>
  <si>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</si>
  <si>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</si>
  <si>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</si>
  <si>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</si>
  <si>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</si>
  <si>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</si>
  <si>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</si>
  <si>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</si>
  <si>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</si>
  <si>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</si>
  <si>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</si>
  <si>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</si>
  <si>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</si>
  <si>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</si>
  <si>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</si>
  <si>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</si>
  <si>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</si>
  <si>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</si>
  <si>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</si>
  <si>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</si>
  <si>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</si>
  <si>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</si>
  <si>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</si>
  <si>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</si>
  <si>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</si>
  <si>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</si>
  <si>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</si>
  <si>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</si>
  <si>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</si>
  <si>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</si>
  <si>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</si>
  <si>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</si>
  <si>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</si>
  <si>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</si>
  <si>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</si>
  <si>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</si>
  <si>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</si>
  <si>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</si>
  <si>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</si>
  <si>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</si>
  <si>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</si>
  <si>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</si>
  <si>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</si>
  <si>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</si>
  <si>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</si>
  <si>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</si>
  <si>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</si>
  <si>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</si>
  <si>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</si>
  <si>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</si>
  <si>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</si>
  <si>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</si>
  <si>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</si>
  <si>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</si>
  <si>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</si>
  <si>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</si>
  <si>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</si>
  <si>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</si>
  <si>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</si>
  <si>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</si>
  <si>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</si>
  <si>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</si>
  <si>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</si>
  <si>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</si>
  <si>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</si>
  <si>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</si>
  <si>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</si>
  <si>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</si>
  <si>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</si>
  <si>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</si>
  <si>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</si>
  <si>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</si>
  <si>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</si>
  <si>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</si>
  <si>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</si>
  <si>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</si>
  <si>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</si>
  <si>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</si>
  <si>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</si>
  <si>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</si>
  <si>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</si>
  <si>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</si>
  <si>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</si>
  <si>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</si>
  <si>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</si>
  <si>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</si>
  <si>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</si>
  <si>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</si>
  <si>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</si>
  <si>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</si>
  <si>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</si>
  <si>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</si>
  <si>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</si>
  <si>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</si>
  <si>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</si>
  <si>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</si>
  <si>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</si>
  <si>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</si>
  <si>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</si>
  <si>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</si>
  <si>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</si>
  <si>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</si>
  <si>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</si>
  <si>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</si>
  <si>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</si>
  <si>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</si>
  <si>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</si>
  <si>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</si>
  <si>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</si>
  <si>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</si>
  <si>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</si>
  <si>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</si>
  <si>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</si>
  <si>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</si>
  <si>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</si>
  <si>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</si>
  <si>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</si>
  <si>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</si>
  <si>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</si>
  <si>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</si>
  <si>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</si>
  <si>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</si>
  <si>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</si>
  <si>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</si>
  <si>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</si>
  <si>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</si>
  <si>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</si>
  <si>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</si>
  <si>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</si>
  <si>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</si>
  <si>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</si>
  <si>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</si>
  <si>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</si>
  <si>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</si>
  <si>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</si>
  <si>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</si>
  <si>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</si>
  <si>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</si>
  <si>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</si>
  <si>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</si>
  <si>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</si>
  <si>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</si>
  <si>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</si>
  <si>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</si>
  <si>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</si>
  <si>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</si>
  <si>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</si>
  <si>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</si>
  <si>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</si>
  <si>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</si>
  <si>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</si>
  <si>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</si>
  <si>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</si>
  <si>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</si>
  <si>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</si>
  <si>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</si>
  <si>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</si>
  <si>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</si>
  <si>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</si>
  <si>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</si>
  <si>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</si>
  <si>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</si>
  <si>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</si>
  <si>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</si>
  <si>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</si>
  <si>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</si>
  <si>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</si>
  <si>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</si>
  <si>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</si>
  <si>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</si>
  <si>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</si>
  <si>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</si>
  <si>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</si>
  <si>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</si>
  <si>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</si>
  <si>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</si>
  <si>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</si>
  <si>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</si>
  <si>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</si>
  <si>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</si>
  <si>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</si>
  <si>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</si>
  <si>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</si>
  <si>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</si>
  <si>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</si>
  <si>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</si>
  <si>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</si>
  <si>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</si>
  <si>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</si>
  <si>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</si>
  <si>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</si>
  <si>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</si>
  <si>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</si>
  <si>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</si>
  <si>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</si>
  <si>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</si>
  <si>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</si>
  <si>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</si>
  <si>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</si>
  <si>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</si>
  <si>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</si>
  <si>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</si>
  <si>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</si>
  <si>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</si>
  <si>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</si>
  <si>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</si>
  <si>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</si>
  <si>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</si>
  <si>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</si>
  <si>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</si>
  <si>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</si>
  <si>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</si>
  <si>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</si>
  <si>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</si>
  <si>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</si>
  <si>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</si>
  <si>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</si>
  <si>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</si>
  <si>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</si>
  <si>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</si>
  <si>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</si>
  <si>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</si>
  <si>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</si>
  <si>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</si>
  <si>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</si>
  <si>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</si>
  <si>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</si>
  <si>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</si>
  <si>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</si>
  <si>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</si>
  <si>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</si>
  <si>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</si>
  <si>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</si>
  <si>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</si>
  <si>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</si>
  <si>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</si>
  <si>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</si>
  <si>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</si>
  <si>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</si>
  <si>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</si>
  <si>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</si>
  <si>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</si>
  <si>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</si>
  <si>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</si>
  <si>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</si>
  <si>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</si>
  <si>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</si>
  <si>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</si>
  <si>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</si>
  <si>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</si>
  <si>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</si>
  <si>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</si>
  <si>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</si>
  <si>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</si>
  <si>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</si>
  <si>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</si>
  <si>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</si>
  <si>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</si>
  <si>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</si>
  <si>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</si>
  <si>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</si>
  <si>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</si>
  <si>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</si>
  <si>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</si>
  <si>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</si>
  <si>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</si>
  <si>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</si>
  <si>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</si>
  <si>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</si>
  <si>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</si>
  <si>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</si>
  <si>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</si>
  <si>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</si>
  <si>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</si>
  <si>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</si>
  <si>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</si>
  <si>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</si>
  <si>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</si>
  <si>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</si>
  <si>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</si>
  <si>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</si>
  <si>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</si>
  <si>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</si>
  <si>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</si>
  <si>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</si>
  <si>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</si>
  <si>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</si>
  <si>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</si>
  <si>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</si>
  <si>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</si>
  <si>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</si>
  <si>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</si>
  <si>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</si>
  <si>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</si>
  <si>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</si>
  <si>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</si>
  <si>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</si>
  <si>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</si>
  <si>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</si>
  <si>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</si>
  <si>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</si>
  <si>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</si>
  <si>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</si>
  <si>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</si>
  <si>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</si>
  <si>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</si>
  <si>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</si>
  <si>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</si>
  <si>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</si>
  <si>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</si>
  <si>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</si>
  <si>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</si>
  <si>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</si>
  <si>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</si>
  <si>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</si>
  <si>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</si>
  <si>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</si>
  <si>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</si>
  <si>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</si>
  <si>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</si>
  <si>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</si>
  <si>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</si>
  <si>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</si>
  <si>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</si>
  <si>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</si>
  <si>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</si>
  <si>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</si>
  <si>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</si>
  <si>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</si>
  <si>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</si>
  <si>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</si>
  <si>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</si>
  <si>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</si>
  <si>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</si>
  <si>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</si>
  <si>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</si>
  <si>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</si>
  <si>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</si>
  <si>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</si>
  <si>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</si>
  <si>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</si>
  <si>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</si>
  <si>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</si>
  <si>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</si>
  <si>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</si>
  <si>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</si>
  <si>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</si>
  <si>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</si>
  <si>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</si>
  <si>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</si>
  <si>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</si>
  <si>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</si>
  <si>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</si>
  <si>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</si>
  <si>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</si>
  <si>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</si>
  <si>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</si>
  <si>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</si>
  <si>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</si>
  <si>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</si>
  <si>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</si>
  <si>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</si>
  <si>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</si>
  <si>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</si>
  <si>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</si>
  <si>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</si>
  <si>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</si>
  <si>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</si>
  <si>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</si>
  <si>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</si>
  <si>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</si>
  <si>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</si>
  <si>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</si>
  <si>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</si>
  <si>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</si>
  <si>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</si>
  <si>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</si>
  <si>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</si>
  <si>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</si>
  <si>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</si>
  <si>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</si>
  <si>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</si>
  <si>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</si>
  <si>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</si>
  <si>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</si>
  <si>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</si>
  <si>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</si>
  <si>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</si>
  <si>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</si>
  <si>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</si>
  <si>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</si>
  <si>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</si>
  <si>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</si>
  <si>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</si>
  <si>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</si>
  <si>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</si>
  <si>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</si>
  <si>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</si>
  <si>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</si>
  <si>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</si>
  <si>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</si>
  <si>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</si>
  <si>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</si>
  <si>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</si>
  <si>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</si>
  <si>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</si>
  <si>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</si>
  <si>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</si>
  <si>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</si>
  <si>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</si>
  <si>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</si>
  <si>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</si>
  <si>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</si>
  <si>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</si>
  <si>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</si>
  <si>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</si>
  <si>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</si>
  <si>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</si>
  <si>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</si>
  <si>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</si>
  <si>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</si>
  <si>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</si>
  <si>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</si>
  <si>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</si>
  <si>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</si>
  <si>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</si>
  <si>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</si>
  <si>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</si>
  <si>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</si>
  <si>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</si>
  <si>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</si>
  <si>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</si>
  <si>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</si>
  <si>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</si>
  <si>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</si>
  <si>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</si>
  <si>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</si>
  <si>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</si>
  <si>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</si>
  <si>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</si>
  <si>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</si>
  <si>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</si>
  <si>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</si>
  <si>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</si>
  <si>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</si>
  <si>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</si>
  <si>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</si>
  <si>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</si>
  <si>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</si>
  <si>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</si>
  <si>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</si>
  <si>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</si>
  <si>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</si>
  <si>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</si>
  <si>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</si>
  <si>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</si>
  <si>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</si>
  <si>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</si>
  <si>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</si>
  <si>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</si>
  <si>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</si>
  <si>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</si>
  <si>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</si>
  <si>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</si>
  <si>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</si>
  <si>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</si>
  <si>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</si>
  <si>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</si>
  <si>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</si>
  <si>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</si>
  <si>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</si>
  <si>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</si>
  <si>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</si>
  <si>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</si>
  <si>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</si>
  <si>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</si>
  <si>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</si>
  <si>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</si>
  <si>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</si>
  <si>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</si>
  <si>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</si>
  <si>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</si>
  <si>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</si>
  <si>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</si>
  <si>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</si>
  <si>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</si>
  <si>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</si>
  <si>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</si>
  <si>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</si>
  <si>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</si>
  <si>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</si>
  <si>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</si>
  <si>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</si>
  <si>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</si>
  <si>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</si>
  <si>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</si>
  <si>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</si>
  <si>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</si>
  <si>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</si>
  <si>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</si>
  <si>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</si>
  <si>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</si>
  <si>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</si>
  <si>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</si>
  <si>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</si>
  <si>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</si>
  <si>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</si>
  <si>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</si>
  <si>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</si>
  <si>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</si>
  <si>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</si>
  <si>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</si>
  <si>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</si>
  <si>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</si>
  <si>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</si>
  <si>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</si>
  <si>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</si>
  <si>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</si>
  <si>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</si>
  <si>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</si>
  <si>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</si>
  <si>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</si>
  <si>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</si>
  <si>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</si>
  <si>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</si>
  <si>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</si>
  <si>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</si>
  <si>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</si>
  <si>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</si>
  <si>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</si>
  <si>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</si>
  <si>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</si>
  <si>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</si>
  <si>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</si>
  <si>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</si>
  <si>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</si>
  <si>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</si>
  <si>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</si>
  <si>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</si>
  <si>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</si>
  <si>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</si>
  <si>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</si>
  <si>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</si>
  <si>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</si>
  <si>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</si>
  <si>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</si>
  <si>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</si>
  <si>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</si>
  <si>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</si>
  <si>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</si>
  <si>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</si>
  <si>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</si>
  <si>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</si>
  <si>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</si>
  <si>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</si>
  <si>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</si>
  <si>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</si>
  <si>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</si>
  <si>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</si>
  <si>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</si>
  <si>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</si>
  <si>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</si>
  <si>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</si>
  <si>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</si>
  <si>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</si>
  <si>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</si>
  <si>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</si>
  <si>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</si>
  <si>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</si>
  <si>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</si>
  <si>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</si>
  <si>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</si>
  <si>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</si>
  <si>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</si>
  <si>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</si>
  <si>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</si>
  <si>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</si>
  <si>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</si>
  <si>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</si>
  <si>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</si>
  <si>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</si>
  <si>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</si>
  <si>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</si>
  <si>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</si>
  <si>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</si>
  <si>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</si>
  <si>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</si>
  <si>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</si>
  <si>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</si>
  <si>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</si>
  <si>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</si>
  <si>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</si>
  <si>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</si>
  <si>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</si>
  <si>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</si>
  <si>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</si>
  <si>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</si>
  <si>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</si>
  <si>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</si>
  <si>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</si>
  <si>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</si>
  <si>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</si>
  <si>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</si>
  <si>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</si>
  <si>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</si>
  <si>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</si>
  <si>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</si>
  <si>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</si>
  <si>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</si>
  <si>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</si>
  <si>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</si>
  <si>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</si>
  <si>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</si>
  <si>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</si>
  <si>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</si>
  <si>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</si>
  <si>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</si>
  <si>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</si>
  <si>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</si>
  <si>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</si>
  <si>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</si>
  <si>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</si>
  <si>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</si>
  <si>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</si>
  <si>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</si>
  <si>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</si>
  <si>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</si>
  <si>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</si>
  <si>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</si>
  <si>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</si>
  <si>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</si>
  <si>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</si>
  <si>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</si>
  <si>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</si>
  <si>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</si>
  <si>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</si>
  <si>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</si>
  <si>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</si>
  <si>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</si>
  <si>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</si>
  <si>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</si>
  <si>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</si>
  <si>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</si>
  <si>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</si>
  <si>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</si>
  <si>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</si>
  <si>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</si>
  <si>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</si>
  <si>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</si>
  <si>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</si>
  <si>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</si>
  <si>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</si>
  <si>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</si>
  <si>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</si>
  <si>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</si>
  <si>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</si>
  <si>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</si>
  <si>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</si>
  <si>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</si>
  <si>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</si>
  <si>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</si>
  <si>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</si>
  <si>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</si>
  <si>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</si>
  <si>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</si>
  <si>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</si>
  <si>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</si>
  <si>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</si>
  <si>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</si>
  <si>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</si>
  <si>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</si>
  <si>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</si>
  <si>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</si>
  <si>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</si>
  <si>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</si>
  <si>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</si>
  <si>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</si>
  <si>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</si>
  <si>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</si>
  <si>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</si>
  <si>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</si>
  <si>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</si>
  <si>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</si>
  <si>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</si>
  <si>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</si>
  <si>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</si>
  <si>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</si>
  <si>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</si>
  <si>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</si>
  <si>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</si>
  <si>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</si>
  <si>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</si>
  <si>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</si>
  <si>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</si>
  <si>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</si>
  <si>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</si>
  <si>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</si>
  <si>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</si>
  <si>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</si>
  <si>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</si>
  <si>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</si>
  <si>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</si>
  <si>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</si>
  <si>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</si>
  <si>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</si>
  <si>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</si>
  <si>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</si>
  <si>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</si>
  <si>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</si>
  <si>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</si>
  <si>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</si>
  <si>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</si>
  <si>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</si>
  <si>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</si>
  <si>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</si>
  <si>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</si>
  <si>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</si>
  <si>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</si>
  <si>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</si>
  <si>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</si>
  <si>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</si>
  <si>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</si>
  <si>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</si>
  <si>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</si>
  <si>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</si>
  <si>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</si>
  <si>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</si>
  <si>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</si>
  <si>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</si>
  <si>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</si>
  <si>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</si>
  <si>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</si>
  <si>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</si>
  <si>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</si>
  <si>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</si>
  <si>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</si>
  <si>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</si>
  <si>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</si>
  <si>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</si>
  <si>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</si>
  <si>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</si>
  <si>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</si>
  <si>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</si>
  <si>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</si>
  <si>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</si>
  <si>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</si>
  <si>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</si>
  <si>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</si>
  <si>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</si>
  <si>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</si>
  <si>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</si>
  <si>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</si>
  <si>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</si>
  <si>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</si>
  <si>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</si>
  <si>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</si>
  <si>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</si>
  <si>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</si>
  <si>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</si>
  <si>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</si>
  <si>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</si>
  <si>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</si>
  <si>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</si>
  <si>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</si>
  <si>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</si>
  <si>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</si>
  <si>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</si>
  <si>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</si>
  <si>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</si>
  <si>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</si>
  <si>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</si>
  <si>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</si>
  <si>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</si>
  <si>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</si>
  <si>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</si>
  <si>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</si>
  <si>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</si>
  <si>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</si>
  <si>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</si>
  <si>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</si>
  <si>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</si>
  <si>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</si>
  <si>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</si>
  <si>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</si>
  <si>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</si>
  <si>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</si>
  <si>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</si>
  <si>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</si>
  <si>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</si>
  <si>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</si>
  <si>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</si>
  <si>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</si>
  <si>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</si>
  <si>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</si>
  <si>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</si>
  <si>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</si>
  <si>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</si>
  <si>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</si>
  <si>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</si>
  <si>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</si>
  <si>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</si>
  <si>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</si>
  <si>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</si>
  <si>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</si>
  <si>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</si>
  <si>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</si>
  <si>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</si>
  <si>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</si>
  <si>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</si>
  <si>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</si>
  <si>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</si>
  <si>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</si>
  <si>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</si>
  <si>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</si>
  <si>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</si>
  <si>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</si>
  <si>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</si>
  <si>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</si>
  <si>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</si>
  <si>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</si>
  <si>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</si>
  <si>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</si>
  <si>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</si>
  <si>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</si>
  <si>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</si>
  <si>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</si>
  <si>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</si>
  <si>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</si>
  <si>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</si>
  <si>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</si>
  <si>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</si>
  <si>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</si>
  <si>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</si>
  <si>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</si>
  <si>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</si>
  <si>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</si>
  <si>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</si>
  <si>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</si>
  <si>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</si>
  <si>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</si>
  <si>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</si>
  <si>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</si>
  <si>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</si>
  <si>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</si>
  <si>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</si>
  <si>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</si>
  <si>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</si>
  <si>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</si>
  <si>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</si>
  <si>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</si>
  <si>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</si>
  <si>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</si>
  <si>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</si>
  <si>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</si>
  <si>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</si>
  <si>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</si>
  <si>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</si>
  <si>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</si>
  <si>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</si>
  <si>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</si>
  <si>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</si>
  <si>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</si>
  <si>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</si>
  <si>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</si>
  <si>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</si>
  <si>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</si>
  <si>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</si>
  <si>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</si>
  <si>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</si>
  <si>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</si>
  <si>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</si>
  <si>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</si>
  <si>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</si>
  <si>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</si>
  <si>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</si>
  <si>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</si>
  <si>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</si>
  <si>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</si>
  <si>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</si>
  <si>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</si>
  <si>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</si>
  <si>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</si>
  <si>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</si>
  <si>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</si>
  <si>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J.M. ABBOTT &amp; ASSOCIATES, LTD.</t>
  </si>
  <si>
    <t>DEBRA CURRY</t>
  </si>
  <si>
    <t>207 S. MCLEAN ST.</t>
  </si>
  <si>
    <t>LINCOLN</t>
  </si>
  <si>
    <t>IL</t>
  </si>
  <si>
    <t>217-735-1576</t>
  </si>
  <si>
    <t>217-735-5866</t>
  </si>
  <si>
    <t>DEB@JMABBOTT.COM</t>
  </si>
  <si>
    <t>066-005243</t>
  </si>
  <si>
    <t>US DEPARTMENT OF AGRICULTURE</t>
  </si>
  <si>
    <t>PASSED THROUGH IL STATE BOARD OF ED</t>
  </si>
  <si>
    <t>2018-4210</t>
  </si>
  <si>
    <t>2019-4210</t>
  </si>
  <si>
    <t>2018-4220</t>
  </si>
  <si>
    <t>2019-4220</t>
  </si>
  <si>
    <t>N/A</t>
  </si>
  <si>
    <t>US DEPARTMENT OF EDUCATION</t>
  </si>
  <si>
    <t>TITLE II, TEACHER QUALITY</t>
  </si>
  <si>
    <t>TITLE V, RURAL EDUCATION</t>
  </si>
  <si>
    <t>2018-4300</t>
  </si>
  <si>
    <t>2019-4300</t>
  </si>
  <si>
    <t>2018-4932</t>
  </si>
  <si>
    <t>2019-4932</t>
  </si>
  <si>
    <t>2018-4107</t>
  </si>
  <si>
    <t>2018-4620</t>
  </si>
  <si>
    <t>2019-4620</t>
  </si>
  <si>
    <t>2018-4600</t>
  </si>
  <si>
    <t>TOTAL US DEPARTMENT OF EDUCATION</t>
  </si>
  <si>
    <t>US DEPARTMENT OF HEALTH AND HUMAN SERVICES</t>
  </si>
  <si>
    <t>PASSED THROUGH IL DEPT OF HEALTHCARE AND FAMILY SERVICES</t>
  </si>
  <si>
    <t>Medical Assistance Program</t>
  </si>
  <si>
    <t>2018-4991</t>
  </si>
  <si>
    <t>2019-4991</t>
  </si>
  <si>
    <t>TOTAL US DEPARTMENT OF HEALTH AND HUMAN SERVICES</t>
  </si>
  <si>
    <t>TOTAL FEDERAL AID</t>
  </si>
  <si>
    <t>Total Child Nutrition Cluster</t>
  </si>
  <si>
    <t>TOTAL US DEPARTMENT OF AGRICULTURE</t>
  </si>
  <si>
    <t>4% of ILHFS admin assessment withheld from</t>
  </si>
  <si>
    <t xml:space="preserve">  Medical asistance program grants</t>
  </si>
  <si>
    <t>Adverse (GAAP); Unmodified (Regulatory)</t>
  </si>
  <si>
    <t>Unmodified</t>
  </si>
  <si>
    <t>84.027 &amp; 84.173</t>
  </si>
  <si>
    <t>Special Ed Cluster - IDEA Grants</t>
  </si>
  <si>
    <t>LOGAN</t>
  </si>
  <si>
    <t>304 EIGHTH STREET</t>
  </si>
  <si>
    <t>kfroebe@lincoln27.net</t>
  </si>
  <si>
    <t>KENT FROEBE</t>
  </si>
  <si>
    <t>217-732-2522</t>
  </si>
  <si>
    <t>217-732-2198</t>
  </si>
  <si>
    <t>ED-Instruction-Purchased Services</t>
  </si>
  <si>
    <t>10-1000-300</t>
  </si>
  <si>
    <t>QNS, Inc.</t>
  </si>
  <si>
    <t>Digital Copy Systems, LLC</t>
  </si>
  <si>
    <t>McLean County Unit #5 - both years; ROE #17 - CY only</t>
  </si>
  <si>
    <t>See Below</t>
  </si>
  <si>
    <t>ROE #17</t>
  </si>
  <si>
    <t>Lincoln CHSD #404</t>
  </si>
  <si>
    <t>Shared Personnel: Both Years: Lincoln CHSD #404; Chester-East Lincoln #61; West Lincoln Broadwell #92;  CY only: New Holland-Middletown #88</t>
  </si>
  <si>
    <t>MARK JONTRY</t>
  </si>
  <si>
    <t>jontrym@roe17.org</t>
  </si>
  <si>
    <t>309-888-5120</t>
  </si>
  <si>
    <t>309-862-0420</t>
  </si>
  <si>
    <t>2019-4215</t>
  </si>
  <si>
    <t>2018-4215</t>
  </si>
  <si>
    <t>2018-4225</t>
  </si>
  <si>
    <t>2019-4225</t>
  </si>
  <si>
    <t>2019-4107</t>
  </si>
  <si>
    <t>2019-4331</t>
  </si>
  <si>
    <t>CHILD NUTRITION DISCRETIONARY GRANTS - NSLP EQUIPMENT GRANT</t>
  </si>
  <si>
    <t>FRESH FRUIT AND VEGETABLE PROGRAM</t>
  </si>
  <si>
    <t>2018-4240-18</t>
  </si>
  <si>
    <t>2019-4240-18</t>
  </si>
  <si>
    <t>2019-4240-19</t>
  </si>
  <si>
    <t>TITLE IVA, STUDENT SUPPORT &amp; ACADEMIC ENRICHMENT</t>
  </si>
  <si>
    <t>2018-4400</t>
  </si>
  <si>
    <t>2019-4400</t>
  </si>
  <si>
    <t>SPECIAL EDUCATION CLUSTER (IDEA)(M)</t>
  </si>
  <si>
    <t>PASSED THROUGH TRI-COUNTY SPECIAL EDUCATION ASSOCIATION</t>
  </si>
  <si>
    <t>2019-4600</t>
  </si>
  <si>
    <t>2016-4620</t>
  </si>
  <si>
    <t>IDEA PRESCHOOL (M)</t>
  </si>
  <si>
    <t>IDEA FLOW THOUGH PART B (M)</t>
  </si>
  <si>
    <t>TOTAL SPECIAL EDUCATION CLUSTER</t>
  </si>
  <si>
    <t>The accompanying Schedule of Expenditures of Federal Awards includes the federal grant activity of Lincoln Elementary #27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</si>
  <si>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Lincoln Elementary #27 and </t>
    </r>
    <r>
      <rPr>
        <b/>
        <sz val="9"/>
        <rFont val="Calibri"/>
        <family val="2"/>
        <scheme val="minor"/>
      </rPr>
      <t>should be</t>
    </r>
    <r>
      <rPr>
        <sz val="9"/>
        <rFont val="Calibri"/>
        <family val="2"/>
        <scheme val="minor"/>
      </rPr>
      <t xml:space="preserve"> included in the Schedule of Expenditures of Federal Awards:</t>
    </r>
  </si>
  <si>
    <t>NONE</t>
  </si>
  <si>
    <t xml:space="preserve">Child Nutrition Cluster </t>
  </si>
  <si>
    <t xml:space="preserve">National School Lunch Program </t>
  </si>
  <si>
    <t xml:space="preserve">National School Breakfast Program </t>
  </si>
  <si>
    <t>Special Milk Program for Children</t>
  </si>
  <si>
    <t xml:space="preserve">Special Milk Program for Children </t>
  </si>
  <si>
    <t xml:space="preserve">Summer Food Service Program for Children </t>
  </si>
  <si>
    <t xml:space="preserve">Commodities - Noncash Assistance </t>
  </si>
  <si>
    <t xml:space="preserve">Commodities - Noncash Assistance - Fresh Fruits &amp; Vegetables </t>
  </si>
  <si>
    <t>TITLE I, LOW INCOME (M)</t>
  </si>
  <si>
    <t>TITLE I, SCHOOL IMPROVEMENT &amp; ACCOUNTABILITY (M)</t>
  </si>
  <si>
    <t>Title I</t>
  </si>
  <si>
    <t>x</t>
  </si>
  <si>
    <t>GO REFUNDING, ALTERNATIVE REV BOND, SERIES 2013</t>
  </si>
  <si>
    <t>3 &amp; 7</t>
  </si>
  <si>
    <t>CAPITAL PROJECTS</t>
  </si>
  <si>
    <t>Tri-County Special Ed Association</t>
  </si>
  <si>
    <t>Page 10, Line 74, Acct 1690 - Other Food Service</t>
  </si>
  <si>
    <t>Adult sales from Summer Food Program</t>
  </si>
  <si>
    <t>Page 11, Line 107, Acct 1999 - Other Local Revenue</t>
  </si>
  <si>
    <t>Void check from National Fireproofing</t>
  </si>
  <si>
    <t>Page 12, Line 168, Acct 3999 - Other Restricted Revenue - State</t>
  </si>
  <si>
    <t>Health Communitites Grant - Fund 10</t>
  </si>
  <si>
    <t>Health Communitites Grant - Fund 40</t>
  </si>
  <si>
    <t>Total Health Communitites Grant</t>
  </si>
  <si>
    <t>Page 13, Line 197, Acct 4299 - Food Service Other</t>
  </si>
  <si>
    <t>NSLP Equipment Grant</t>
  </si>
  <si>
    <t>Page 16, Line 83, Acct 4190 - Other Payments to State Govts Purchased Services</t>
  </si>
  <si>
    <t>Reading Recovery LCHS</t>
  </si>
  <si>
    <t>LCHS - Librarian Services</t>
  </si>
  <si>
    <t>Total Purchased Services</t>
  </si>
  <si>
    <t>Page 18, Line 171, Acct 5400 - Debt Service Other</t>
  </si>
  <si>
    <t>Bond Fee</t>
  </si>
  <si>
    <t>Page 13, Line 203, Acct 4399 - Title 1</t>
  </si>
  <si>
    <t>School Improvement &amp; Accountability</t>
  </si>
  <si>
    <t>Page 18, Line 193, Acct 4190 - Other Payments to In-State Govt. Units</t>
  </si>
  <si>
    <t>Refund Regular Transportation</t>
  </si>
  <si>
    <t>Page 3, Line 37 includes $8,730,000 of alternate revenue bonds, which leaves them with a debt margin of $8,091,147.</t>
  </si>
  <si>
    <t>Of the federal expenditures presented in the schedule, Lincoln Elementary #27 provided federal awards to subrecipients as follows:</t>
  </si>
  <si>
    <t>Lincoln ESD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</si>
</sst>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8" fillId="0" borderId="0" applyFont="0" applyFill="0" applyBorder="0" applyAlignment="0" applyProtection="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2"/>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3" fontId="61" fillId="0" borderId="22" xfId="3" applyNumberFormat="1" applyFont="1" applyBorder="1" applyAlignment="1" applyProtection="1">
      <alignment horizontal="left" vertical="center" wrapText="1" indent="4"/>
      <protection locked="0"/>
    </xf>
    <xf numFmtId="181" fontId="56" fillId="0" borderId="165" xfId="19" applyNumberFormat="1" applyFont="1" applyBorder="1"/>
    <xf numFmtId="181" fontId="56" fillId="0" borderId="0" xfId="19" applyNumberFormat="1" applyFont="1" applyBorder="1"/>
    <xf numFmtId="181" fontId="56" fillId="0" borderId="0" xfId="19" applyNumberFormat="1" applyFont="1"/>
    <xf numFmtId="181" fontId="56" fillId="0" borderId="166" xfId="19" applyNumberFormat="1" applyFont="1" applyBorder="1"/>
    <xf numFmtId="182" fontId="56" fillId="0" borderId="78" xfId="1"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1647825</xdr:colOff>
          <xdr:row>2</xdr:row>
          <xdr:rowOff>28575</xdr:rowOff>
        </xdr:from>
        <xdr:to>
          <xdr:col>1</xdr:col>
          <xdr:colOff>2562225</xdr:colOff>
          <xdr:row>6</xdr:row>
          <xdr:rowOff>66675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89" t="s">
        <v>405</v>
      </c>
      <c r="J1" s="1990"/>
      <c r="K1" s="1990"/>
      <c r="L1" s="1990"/>
      <c r="M1" s="1990"/>
      <c r="N1" s="1990"/>
      <c r="O1" s="1990"/>
      <c r="P1" s="1990"/>
      <c r="Q1" s="1990"/>
      <c r="R1" s="1990"/>
      <c r="S1" s="1990"/>
    </row>
    <row r="2" spans="1:28" ht="12" customHeight="1" x14ac:dyDescent="0.2">
      <c r="A2" s="47" t="s">
        <v>1988</v>
      </c>
      <c r="D2" s="48"/>
      <c r="I2" s="1991" t="s">
        <v>979</v>
      </c>
      <c r="J2" s="1990"/>
      <c r="K2" s="1990"/>
      <c r="L2" s="1990"/>
      <c r="M2" s="1990"/>
      <c r="N2" s="1990"/>
      <c r="O2" s="1990"/>
      <c r="P2" s="1990"/>
      <c r="Q2" s="1990"/>
      <c r="R2" s="1990"/>
      <c r="S2" s="1990"/>
    </row>
    <row r="3" spans="1:28" ht="12" customHeight="1" x14ac:dyDescent="0.2">
      <c r="A3" s="155" t="s">
        <v>1940</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t="s">
        <v>2061</v>
      </c>
      <c r="C5" s="26" t="s">
        <v>910</v>
      </c>
      <c r="D5" s="84"/>
      <c r="E5" s="84"/>
      <c r="H5" s="38"/>
      <c r="I5" s="1999" t="s">
        <v>680</v>
      </c>
      <c r="J5" s="1998"/>
      <c r="K5" s="1998"/>
      <c r="L5" s="1998"/>
      <c r="M5" s="1998"/>
      <c r="N5" s="1998"/>
      <c r="O5" s="1998"/>
      <c r="P5" s="1998"/>
      <c r="Q5" s="1998"/>
      <c r="R5" s="1998"/>
      <c r="S5" s="1998"/>
    </row>
    <row r="6" spans="1:28" ht="14.1" customHeight="1" x14ac:dyDescent="0.2">
      <c r="B6" s="104"/>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t="s">
        <v>2061</v>
      </c>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4">
        <v>17054027002</v>
      </c>
      <c r="B13" s="2025"/>
      <c r="C13" s="2025"/>
      <c r="D13" s="2025"/>
      <c r="E13" s="2025"/>
      <c r="F13" s="2025"/>
      <c r="G13" s="2025"/>
      <c r="H13" s="2026"/>
      <c r="I13" s="31"/>
      <c r="J13" s="30"/>
      <c r="K13" s="28"/>
      <c r="L13" s="30"/>
      <c r="M13" s="30"/>
      <c r="N13" s="30"/>
      <c r="O13" s="30"/>
      <c r="P13" s="30"/>
      <c r="Q13" s="30"/>
      <c r="R13" s="30"/>
      <c r="S13" s="30"/>
      <c r="T13" s="2029" t="s">
        <v>2062</v>
      </c>
      <c r="U13" s="2030"/>
      <c r="V13" s="2030"/>
      <c r="W13" s="2030"/>
      <c r="X13" s="2030"/>
      <c r="Y13" s="2031"/>
      <c r="Z13" s="2031"/>
      <c r="AA13" s="203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3" t="s">
        <v>2105</v>
      </c>
      <c r="B15" s="2027"/>
      <c r="C15" s="2027"/>
      <c r="D15" s="2027"/>
      <c r="E15" s="2027"/>
      <c r="F15" s="2027"/>
      <c r="G15" s="2027"/>
      <c r="H15" s="2028"/>
      <c r="T15" s="2033" t="s">
        <v>2063</v>
      </c>
      <c r="U15" s="1977"/>
      <c r="V15" s="1977"/>
      <c r="W15" s="1977"/>
      <c r="X15" s="1977"/>
      <c r="Y15" s="2034"/>
      <c r="Z15" s="2034"/>
      <c r="AA15" s="203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3" t="s">
        <v>2186</v>
      </c>
      <c r="B17" s="1984"/>
      <c r="C17" s="1984"/>
      <c r="D17" s="1984"/>
      <c r="E17" s="1984"/>
      <c r="F17" s="1984"/>
      <c r="G17" s="1984"/>
      <c r="H17" s="2009"/>
      <c r="T17" s="2040" t="s">
        <v>2064</v>
      </c>
      <c r="U17" s="2041"/>
      <c r="V17" s="2041"/>
      <c r="W17" s="2041"/>
      <c r="X17" s="2041"/>
      <c r="Y17" s="2041"/>
      <c r="Z17" s="2041"/>
      <c r="AA17" s="2042"/>
    </row>
    <row r="18" spans="1:27" ht="13.5" customHeight="1" x14ac:dyDescent="0.2">
      <c r="A18" s="85" t="s">
        <v>530</v>
      </c>
      <c r="B18" s="76"/>
      <c r="C18" s="72"/>
      <c r="D18" s="76"/>
      <c r="E18" s="76"/>
      <c r="F18" s="76"/>
      <c r="G18" s="76"/>
      <c r="H18" s="56"/>
      <c r="I18" s="2008" t="s">
        <v>676</v>
      </c>
      <c r="J18" s="1959"/>
      <c r="K18" s="1959"/>
      <c r="L18" s="1959"/>
      <c r="M18" s="1959"/>
      <c r="N18" s="1959"/>
      <c r="O18" s="1959"/>
      <c r="P18" s="1959"/>
      <c r="Q18" s="1959"/>
      <c r="R18" s="1959"/>
      <c r="S18" s="1960"/>
      <c r="T18" s="85" t="s">
        <v>711</v>
      </c>
      <c r="U18" s="51"/>
      <c r="V18" s="72"/>
      <c r="W18" s="50"/>
      <c r="X18" s="85" t="s">
        <v>266</v>
      </c>
      <c r="Y18" s="81"/>
      <c r="Z18" s="159" t="s">
        <v>677</v>
      </c>
      <c r="AA18" s="46"/>
    </row>
    <row r="19" spans="1:27" ht="13.5" customHeight="1" x14ac:dyDescent="0.2">
      <c r="A19" s="2023" t="s">
        <v>2106</v>
      </c>
      <c r="B19" s="1969"/>
      <c r="C19" s="1969"/>
      <c r="D19" s="1969"/>
      <c r="E19" s="1969"/>
      <c r="F19" s="1969"/>
      <c r="G19" s="1969"/>
      <c r="H19" s="1949"/>
      <c r="I19" s="30"/>
      <c r="J19" s="99"/>
      <c r="K19" s="40"/>
      <c r="L19" s="38"/>
      <c r="M19" s="112" t="s">
        <v>315</v>
      </c>
      <c r="P19" s="27"/>
      <c r="Q19" s="27"/>
      <c r="R19" s="27"/>
      <c r="S19" s="31"/>
      <c r="T19" s="2023" t="s">
        <v>2065</v>
      </c>
      <c r="U19" s="1948"/>
      <c r="V19" s="1948"/>
      <c r="W19" s="1949"/>
      <c r="X19" s="2038" t="s">
        <v>2066</v>
      </c>
      <c r="Y19" s="2039"/>
      <c r="Z19" s="2036">
        <v>62656</v>
      </c>
      <c r="AA19" s="203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7" t="s">
        <v>2065</v>
      </c>
      <c r="B21" s="1948"/>
      <c r="C21" s="1948"/>
      <c r="D21" s="1948"/>
      <c r="E21" s="1948"/>
      <c r="F21" s="1948"/>
      <c r="G21" s="1948"/>
      <c r="H21" s="1949"/>
      <c r="I21" s="2003" t="s">
        <v>678</v>
      </c>
      <c r="J21" s="1998"/>
      <c r="K21" s="1998"/>
      <c r="L21" s="1998"/>
      <c r="M21" s="1998"/>
      <c r="N21" s="1998"/>
      <c r="O21" s="1998"/>
      <c r="P21" s="1998"/>
      <c r="Q21" s="1998"/>
      <c r="R21" s="1998"/>
      <c r="S21" s="2004"/>
      <c r="T21" s="2047" t="s">
        <v>2067</v>
      </c>
      <c r="U21" s="2048"/>
      <c r="V21" s="2048"/>
      <c r="W21" s="2048"/>
      <c r="X21" s="2053" t="s">
        <v>2068</v>
      </c>
      <c r="Y21" s="2054"/>
      <c r="Z21" s="2054"/>
      <c r="AA21" s="2055"/>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t="s">
        <v>2107</v>
      </c>
      <c r="B23" s="2001"/>
      <c r="C23" s="2001"/>
      <c r="D23" s="2001"/>
      <c r="E23" s="2001"/>
      <c r="F23" s="2001"/>
      <c r="G23" s="2001"/>
      <c r="H23" s="2002"/>
      <c r="T23" s="1983" t="s">
        <v>2070</v>
      </c>
      <c r="U23" s="2046"/>
      <c r="V23" s="2046"/>
      <c r="W23" s="2046"/>
      <c r="X23" s="2050">
        <v>44530</v>
      </c>
      <c r="Y23" s="2051"/>
      <c r="Z23" s="2051"/>
      <c r="AA23" s="2052"/>
    </row>
    <row r="24" spans="1:27" ht="14.1" customHeight="1" x14ac:dyDescent="0.2">
      <c r="A24" s="88" t="s">
        <v>677</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531</v>
      </c>
      <c r="U24" s="106"/>
      <c r="V24" s="106"/>
      <c r="W24" s="106"/>
      <c r="X24" s="107"/>
      <c r="Y24" s="107"/>
      <c r="Z24" s="107"/>
      <c r="AA24" s="108"/>
    </row>
    <row r="25" spans="1:27" ht="14.1" customHeight="1" x14ac:dyDescent="0.2">
      <c r="A25" s="1947">
        <v>62656</v>
      </c>
      <c r="B25" s="1948"/>
      <c r="C25" s="1948"/>
      <c r="D25" s="1948"/>
      <c r="E25" s="1948"/>
      <c r="F25" s="1948"/>
      <c r="G25" s="1948"/>
      <c r="H25" s="1949"/>
      <c r="I25" s="113"/>
      <c r="J25" s="1972"/>
      <c r="K25" s="1972"/>
      <c r="L25" s="1972"/>
      <c r="M25" s="1972"/>
      <c r="N25" s="1972"/>
      <c r="O25" s="1972"/>
      <c r="P25" s="1972"/>
      <c r="Q25" s="1972"/>
      <c r="R25" s="1972"/>
      <c r="S25" s="1973"/>
      <c r="T25" s="2043" t="s">
        <v>2069</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8" t="s">
        <v>1511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3" t="s">
        <v>2108</v>
      </c>
      <c r="B38" s="1984"/>
      <c r="C38" s="1984"/>
      <c r="D38" s="1984"/>
      <c r="E38" s="1984"/>
      <c r="F38" s="1948"/>
      <c r="G38" s="1948"/>
      <c r="H38" s="1949"/>
      <c r="I38" s="1976"/>
      <c r="J38" s="1977"/>
      <c r="K38" s="1977"/>
      <c r="L38" s="1977"/>
      <c r="M38" s="1977"/>
      <c r="N38" s="1977"/>
      <c r="O38" s="1977"/>
      <c r="P38" s="1978"/>
      <c r="Q38" s="1978"/>
      <c r="R38" s="1978"/>
      <c r="S38" s="1979"/>
      <c r="T38" s="2033" t="s">
        <v>2120</v>
      </c>
      <c r="U38" s="1977"/>
      <c r="V38" s="1977"/>
      <c r="W38" s="1977"/>
      <c r="X38" s="1978"/>
      <c r="Y38" s="1978"/>
      <c r="Z38" s="1978"/>
      <c r="AA38" s="1979"/>
    </row>
    <row r="39" spans="1:27" ht="12" customHeight="1" x14ac:dyDescent="0.2">
      <c r="A39" s="1953" t="s">
        <v>531</v>
      </c>
      <c r="B39" s="1954"/>
      <c r="C39" s="72"/>
      <c r="D39" s="69"/>
      <c r="E39" s="69"/>
      <c r="F39" s="79"/>
      <c r="G39" s="69"/>
      <c r="H39" s="56"/>
      <c r="I39" s="1953" t="s">
        <v>531</v>
      </c>
      <c r="J39" s="1954"/>
      <c r="K39" s="1954"/>
      <c r="L39" s="1954"/>
      <c r="M39" s="1954"/>
      <c r="N39" s="67"/>
      <c r="O39" s="72"/>
      <c r="P39" s="72"/>
      <c r="Q39" s="78"/>
      <c r="R39" s="72"/>
      <c r="S39" s="56"/>
      <c r="T39" s="72" t="s">
        <v>531</v>
      </c>
      <c r="U39" s="51"/>
      <c r="V39" s="72"/>
      <c r="W39" s="50"/>
      <c r="X39" s="78"/>
      <c r="Y39" s="45"/>
      <c r="Z39" s="45"/>
      <c r="AA39" s="46"/>
    </row>
    <row r="40" spans="1:27" ht="13.5" customHeight="1" x14ac:dyDescent="0.2">
      <c r="A40" s="1961" t="s">
        <v>2107</v>
      </c>
      <c r="B40" s="1962"/>
      <c r="C40" s="1963"/>
      <c r="D40" s="1963"/>
      <c r="E40" s="1963"/>
      <c r="F40" s="1964"/>
      <c r="G40" s="1964"/>
      <c r="H40" s="1965"/>
      <c r="I40" s="1986"/>
      <c r="J40" s="1987"/>
      <c r="K40" s="1987"/>
      <c r="L40" s="1987"/>
      <c r="M40" s="1987"/>
      <c r="N40" s="1987"/>
      <c r="O40" s="1987"/>
      <c r="P40" s="1987"/>
      <c r="Q40" s="1987"/>
      <c r="R40" s="1987"/>
      <c r="S40" s="1988"/>
      <c r="T40" s="1986" t="s">
        <v>2121</v>
      </c>
      <c r="U40" s="2049"/>
      <c r="V40" s="1987"/>
      <c r="W40" s="1987"/>
      <c r="X40" s="1987"/>
      <c r="Y40" s="1987"/>
      <c r="Z40" s="1987"/>
      <c r="AA40" s="198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t="s">
        <v>2109</v>
      </c>
      <c r="B42" s="1967"/>
      <c r="C42" s="1968"/>
      <c r="D42" s="1966" t="s">
        <v>2110</v>
      </c>
      <c r="E42" s="1967"/>
      <c r="F42" s="1967"/>
      <c r="G42" s="1967"/>
      <c r="H42" s="1968"/>
      <c r="I42" s="1950"/>
      <c r="J42" s="1951"/>
      <c r="K42" s="1951"/>
      <c r="L42" s="1951"/>
      <c r="M42" s="1951"/>
      <c r="N42" s="1951"/>
      <c r="O42" s="1952"/>
      <c r="P42" s="1985"/>
      <c r="Q42" s="1951"/>
      <c r="R42" s="1951"/>
      <c r="S42" s="1952"/>
      <c r="T42" s="1950" t="s">
        <v>2122</v>
      </c>
      <c r="U42" s="1951"/>
      <c r="V42" s="1951"/>
      <c r="W42" s="1952"/>
      <c r="X42" s="1985" t="s">
        <v>2123</v>
      </c>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3"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J31" sqref="J3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9" t="s">
        <v>1799</v>
      </c>
      <c r="B2" s="1528" t="s">
        <v>1946</v>
      </c>
      <c r="C2" s="714" t="s">
        <v>1947</v>
      </c>
      <c r="D2" s="714" t="s">
        <v>1948</v>
      </c>
      <c r="E2" s="714" t="s">
        <v>1949</v>
      </c>
      <c r="F2" s="714" t="s">
        <v>1950</v>
      </c>
    </row>
    <row r="3" spans="1:6" ht="12" customHeight="1" x14ac:dyDescent="0.2">
      <c r="A3" s="2190"/>
      <c r="B3" s="1525"/>
      <c r="C3" s="1526"/>
      <c r="D3" s="1527" t="s">
        <v>256</v>
      </c>
      <c r="E3" s="1526"/>
      <c r="F3" s="1527" t="s">
        <v>257</v>
      </c>
    </row>
    <row r="4" spans="1:6" ht="13.7" customHeight="1" x14ac:dyDescent="0.2">
      <c r="A4" s="715" t="s">
        <v>1155</v>
      </c>
      <c r="B4" s="1747">
        <f>'Revenues 9-14'!C5</f>
        <v>3165942</v>
      </c>
      <c r="C4" s="1524"/>
      <c r="D4" s="1750">
        <f>B4-C4</f>
        <v>3165942</v>
      </c>
      <c r="E4" s="1524">
        <v>3275507</v>
      </c>
      <c r="F4" s="1750">
        <f>E4-C4</f>
        <v>3275507</v>
      </c>
    </row>
    <row r="5" spans="1:6" ht="13.7" customHeight="1" x14ac:dyDescent="0.2">
      <c r="A5" s="715" t="s">
        <v>870</v>
      </c>
      <c r="B5" s="1748">
        <f>'Revenues 9-14'!D5</f>
        <v>406708</v>
      </c>
      <c r="C5" s="585"/>
      <c r="D5" s="1751">
        <f t="shared" ref="D5:D18" si="0">B5-C5</f>
        <v>406708</v>
      </c>
      <c r="E5" s="585">
        <v>425501</v>
      </c>
      <c r="F5" s="1751">
        <f>E5-C5</f>
        <v>425501</v>
      </c>
    </row>
    <row r="6" spans="1:6" ht="13.7" customHeight="1" x14ac:dyDescent="0.2">
      <c r="A6" s="715" t="s">
        <v>411</v>
      </c>
      <c r="B6" s="1748">
        <f>'Revenues 9-14'!E5</f>
        <v>0</v>
      </c>
      <c r="C6" s="585"/>
      <c r="D6" s="1751">
        <f t="shared" si="0"/>
        <v>0</v>
      </c>
      <c r="E6" s="585"/>
      <c r="F6" s="1751">
        <f t="shared" ref="F6:F18" si="1">E6-C6</f>
        <v>0</v>
      </c>
    </row>
    <row r="7" spans="1:6" ht="13.7" customHeight="1" x14ac:dyDescent="0.2">
      <c r="A7" s="715" t="s">
        <v>155</v>
      </c>
      <c r="B7" s="1748">
        <f>'Revenues 9-14'!F5</f>
        <v>102426</v>
      </c>
      <c r="C7" s="585"/>
      <c r="D7" s="1751">
        <f t="shared" si="0"/>
        <v>102426</v>
      </c>
      <c r="E7" s="585">
        <v>105009</v>
      </c>
      <c r="F7" s="1751">
        <f t="shared" si="1"/>
        <v>105009</v>
      </c>
    </row>
    <row r="8" spans="1:6" ht="13.7" customHeight="1" x14ac:dyDescent="0.2">
      <c r="A8" s="715" t="s">
        <v>1179</v>
      </c>
      <c r="B8" s="1748">
        <f>'Revenues 9-14'!G5</f>
        <v>152646</v>
      </c>
      <c r="C8" s="585"/>
      <c r="D8" s="1751">
        <f t="shared" si="0"/>
        <v>152646</v>
      </c>
      <c r="E8" s="585">
        <v>150003</v>
      </c>
      <c r="F8" s="1751">
        <f t="shared" si="1"/>
        <v>150003</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0</v>
      </c>
      <c r="C10" s="585"/>
      <c r="D10" s="1751">
        <f t="shared" si="0"/>
        <v>0</v>
      </c>
      <c r="E10" s="585"/>
      <c r="F10" s="1751">
        <f t="shared" si="1"/>
        <v>0</v>
      </c>
    </row>
    <row r="11" spans="1:6" x14ac:dyDescent="0.2">
      <c r="A11" s="715" t="s">
        <v>409</v>
      </c>
      <c r="B11" s="1748">
        <f>'Revenues 9-14'!J5</f>
        <v>0</v>
      </c>
      <c r="C11" s="585"/>
      <c r="D11" s="1751">
        <f t="shared" si="0"/>
        <v>0</v>
      </c>
      <c r="E11" s="585"/>
      <c r="F11" s="1751">
        <f t="shared" si="1"/>
        <v>0</v>
      </c>
    </row>
    <row r="12" spans="1:6" ht="13.7" customHeight="1" x14ac:dyDescent="0.2">
      <c r="A12" s="715" t="s">
        <v>157</v>
      </c>
      <c r="B12" s="1748">
        <f>'Revenues 9-14'!K5</f>
        <v>57798</v>
      </c>
      <c r="C12" s="585"/>
      <c r="D12" s="1751">
        <f t="shared" si="0"/>
        <v>57798</v>
      </c>
      <c r="E12" s="585">
        <v>45006</v>
      </c>
      <c r="F12" s="1751">
        <f t="shared" si="1"/>
        <v>45006</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22659</v>
      </c>
      <c r="C14" s="585"/>
      <c r="D14" s="1751">
        <f t="shared" si="0"/>
        <v>22659</v>
      </c>
      <c r="E14" s="585">
        <v>23007</v>
      </c>
      <c r="F14" s="1751">
        <f t="shared" si="1"/>
        <v>23007</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152646</v>
      </c>
      <c r="C16" s="585"/>
      <c r="D16" s="1751">
        <f t="shared" si="0"/>
        <v>152646</v>
      </c>
      <c r="E16" s="585">
        <v>150003</v>
      </c>
      <c r="F16" s="1751">
        <f t="shared" si="1"/>
        <v>150003</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4060825</v>
      </c>
      <c r="C19" s="1749">
        <f>SUM(C4:C18)</f>
        <v>0</v>
      </c>
      <c r="D19" s="1749">
        <f>SUM(D4:D18)</f>
        <v>4060825</v>
      </c>
      <c r="E19" s="1749">
        <f>SUM(E4:E18)</f>
        <v>4174036</v>
      </c>
      <c r="F19" s="1749">
        <f>SUM(F4:F18)</f>
        <v>4174036</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21" top="1.65" bottom="0.52" header="0.94" footer="0.2"/>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J31" sqref="J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09"/>
      <c r="C1" s="721"/>
    </row>
    <row r="2" spans="1:7" ht="33.75" x14ac:dyDescent="0.2">
      <c r="A2" s="2216" t="s">
        <v>1799</v>
      </c>
      <c r="B2" s="2217"/>
      <c r="C2" s="1881" t="s">
        <v>1951</v>
      </c>
      <c r="D2" s="723" t="s">
        <v>1952</v>
      </c>
      <c r="E2" s="723" t="s">
        <v>1953</v>
      </c>
      <c r="F2" s="1881" t="s">
        <v>1954</v>
      </c>
    </row>
    <row r="3" spans="1:7" ht="15.75" customHeight="1" x14ac:dyDescent="0.2">
      <c r="A3" s="2218" t="s">
        <v>1114</v>
      </c>
      <c r="B3" s="2219"/>
      <c r="C3" s="2212"/>
      <c r="D3" s="2213"/>
      <c r="E3" s="2213"/>
      <c r="F3" s="2214"/>
    </row>
    <row r="4" spans="1:7" ht="12.75" customHeight="1" thickBot="1" x14ac:dyDescent="0.25">
      <c r="A4" s="2206" t="s">
        <v>630</v>
      </c>
      <c r="B4" s="2207"/>
      <c r="C4" s="581"/>
      <c r="D4" s="581"/>
      <c r="E4" s="581"/>
      <c r="F4" s="1753">
        <f>SUM(C4+D4)-E4</f>
        <v>0</v>
      </c>
    </row>
    <row r="5" spans="1:7" ht="15.75" customHeight="1" thickTop="1" x14ac:dyDescent="0.2">
      <c r="A5" s="2210" t="s">
        <v>1110</v>
      </c>
      <c r="B5" s="2205"/>
      <c r="C5" s="2199"/>
      <c r="D5" s="2200"/>
      <c r="E5" s="2200"/>
      <c r="F5" s="2201"/>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02" t="s">
        <v>631</v>
      </c>
      <c r="B15" s="2203"/>
      <c r="C15" s="1753">
        <f>SUM(C6:C14)</f>
        <v>0</v>
      </c>
      <c r="D15" s="1753">
        <f>SUM(D6:D14)</f>
        <v>0</v>
      </c>
      <c r="E15" s="1753">
        <f>SUM(E6:E14)</f>
        <v>0</v>
      </c>
      <c r="F15" s="1753">
        <f>SUM(F6:F14)</f>
        <v>0</v>
      </c>
      <c r="G15" s="552"/>
    </row>
    <row r="16" spans="1:7" s="202" customFormat="1" ht="15.75" customHeight="1" thickTop="1" x14ac:dyDescent="0.2">
      <c r="A16" s="2215" t="s">
        <v>1111</v>
      </c>
      <c r="B16" s="2205"/>
      <c r="C16" s="2199"/>
      <c r="D16" s="2200"/>
      <c r="E16" s="2200"/>
      <c r="F16" s="2201"/>
    </row>
    <row r="17" spans="1:11" ht="12.75" customHeight="1" thickBot="1" x14ac:dyDescent="0.25">
      <c r="A17" s="2197" t="s">
        <v>64</v>
      </c>
      <c r="B17" s="2198"/>
      <c r="C17" s="726"/>
      <c r="D17" s="585"/>
      <c r="E17" s="726"/>
      <c r="F17" s="1753">
        <f>SUM(C17+D17)-E17</f>
        <v>0</v>
      </c>
    </row>
    <row r="18" spans="1:11" ht="12.75" customHeight="1" thickTop="1" thickBot="1" x14ac:dyDescent="0.25">
      <c r="A18" s="2197" t="s">
        <v>6</v>
      </c>
      <c r="B18" s="2198"/>
      <c r="C18" s="726"/>
      <c r="D18" s="585"/>
      <c r="E18" s="726"/>
      <c r="F18" s="1753">
        <f>SUM(C18+D18)-E18</f>
        <v>0</v>
      </c>
    </row>
    <row r="19" spans="1:11" ht="12.75" customHeight="1" thickTop="1" thickBot="1" x14ac:dyDescent="0.25">
      <c r="A19" s="2197" t="s">
        <v>388</v>
      </c>
      <c r="B19" s="2198"/>
      <c r="C19" s="726"/>
      <c r="D19" s="585"/>
      <c r="E19" s="726"/>
      <c r="F19" s="1753">
        <f>SUM(C19+D19)-E19</f>
        <v>0</v>
      </c>
    </row>
    <row r="20" spans="1:11" ht="12.75" customHeight="1" thickTop="1" thickBot="1" x14ac:dyDescent="0.25">
      <c r="A20" s="2197" t="s">
        <v>448</v>
      </c>
      <c r="B20" s="2198"/>
      <c r="C20" s="726"/>
      <c r="D20" s="585"/>
      <c r="E20" s="726"/>
      <c r="F20" s="1753">
        <f>SUM(C20+D20)-E20</f>
        <v>0</v>
      </c>
    </row>
    <row r="21" spans="1:11" ht="14.25" thickTop="1" thickBot="1" x14ac:dyDescent="0.25">
      <c r="A21" s="2202" t="s">
        <v>632</v>
      </c>
      <c r="B21" s="2203"/>
      <c r="C21" s="1753">
        <f>SUM(C17:C20)</f>
        <v>0</v>
      </c>
      <c r="D21" s="1753">
        <f>SUM(D17:D20)</f>
        <v>0</v>
      </c>
      <c r="E21" s="1753">
        <f>SUM(E17:E20)</f>
        <v>0</v>
      </c>
      <c r="F21" s="1753">
        <f>SUM(F17:F20)</f>
        <v>0</v>
      </c>
      <c r="G21" s="552"/>
    </row>
    <row r="22" spans="1:11" ht="15.75" customHeight="1" thickTop="1" x14ac:dyDescent="0.2">
      <c r="A22" s="2204" t="s">
        <v>1112</v>
      </c>
      <c r="B22" s="2205"/>
      <c r="C22" s="2199"/>
      <c r="D22" s="2200"/>
      <c r="E22" s="2200"/>
      <c r="F22" s="2201"/>
    </row>
    <row r="23" spans="1:11" ht="13.5" thickBot="1" x14ac:dyDescent="0.25">
      <c r="A23" s="2206" t="s">
        <v>633</v>
      </c>
      <c r="B23" s="2207"/>
      <c r="C23" s="581"/>
      <c r="D23" s="581"/>
      <c r="E23" s="581"/>
      <c r="F23" s="1753">
        <f>SUM(C23+D23)-E23</f>
        <v>0</v>
      </c>
      <c r="G23" s="552"/>
    </row>
    <row r="24" spans="1:11" ht="15.75" customHeight="1" thickTop="1" x14ac:dyDescent="0.2">
      <c r="A24" s="2204" t="s">
        <v>1113</v>
      </c>
      <c r="B24" s="2205"/>
      <c r="C24" s="2199"/>
      <c r="D24" s="2200"/>
      <c r="E24" s="2200"/>
      <c r="F24" s="2201"/>
    </row>
    <row r="25" spans="1:11" ht="13.5" thickBot="1" x14ac:dyDescent="0.25">
      <c r="A25" s="2206" t="s">
        <v>634</v>
      </c>
      <c r="B25" s="2207"/>
      <c r="C25" s="581"/>
      <c r="D25" s="581"/>
      <c r="E25" s="581"/>
      <c r="F25" s="1753">
        <f>SUM(C25+D25)-E25</f>
        <v>0</v>
      </c>
      <c r="G25" s="552"/>
    </row>
    <row r="26" spans="1:11" ht="15.75" customHeight="1" thickTop="1" x14ac:dyDescent="0.2">
      <c r="A26" s="2210" t="s">
        <v>657</v>
      </c>
      <c r="B26" s="2205"/>
      <c r="C26" s="727"/>
      <c r="D26" s="727"/>
      <c r="E26" s="727"/>
      <c r="F26" s="728"/>
    </row>
    <row r="27" spans="1:11" ht="13.5" thickBot="1" x14ac:dyDescent="0.25">
      <c r="A27" s="2202" t="s">
        <v>1070</v>
      </c>
      <c r="B27" s="2203"/>
      <c r="C27" s="585"/>
      <c r="D27" s="585"/>
      <c r="E27" s="585"/>
      <c r="F27" s="1753">
        <f>SUM(C27+D27)-E27</f>
        <v>0</v>
      </c>
      <c r="G27" s="552"/>
    </row>
    <row r="28" spans="1:11" ht="7.5" customHeight="1" thickTop="1" x14ac:dyDescent="0.2">
      <c r="A28" s="593"/>
    </row>
    <row r="29" spans="1:11" ht="23.25" customHeight="1" x14ac:dyDescent="0.2">
      <c r="A29" s="2208" t="s">
        <v>582</v>
      </c>
      <c r="B29" s="2209"/>
      <c r="C29" s="729"/>
      <c r="D29" s="729"/>
      <c r="E29" s="729"/>
      <c r="F29" s="729"/>
      <c r="G29" s="729"/>
      <c r="H29" s="729"/>
      <c r="I29" s="729"/>
      <c r="J29" s="729"/>
    </row>
    <row r="30" spans="1:11" ht="33.75" x14ac:dyDescent="0.2">
      <c r="A30" s="1529" t="s">
        <v>1071</v>
      </c>
      <c r="B30" s="730" t="s">
        <v>1124</v>
      </c>
      <c r="C30" s="1882" t="s">
        <v>583</v>
      </c>
      <c r="D30" s="1882" t="s">
        <v>1673</v>
      </c>
      <c r="E30" s="1882" t="s">
        <v>1955</v>
      </c>
      <c r="F30" s="1882" t="s">
        <v>1956</v>
      </c>
      <c r="G30" s="1882" t="s">
        <v>1907</v>
      </c>
      <c r="H30" s="1882" t="s">
        <v>1957</v>
      </c>
      <c r="I30" s="1882" t="s">
        <v>1958</v>
      </c>
      <c r="J30" s="1883" t="s">
        <v>2</v>
      </c>
      <c r="K30" s="731"/>
    </row>
    <row r="31" spans="1:11" ht="12" customHeight="1" x14ac:dyDescent="0.2">
      <c r="A31" s="732" t="s">
        <v>2160</v>
      </c>
      <c r="B31" s="733">
        <v>41518</v>
      </c>
      <c r="C31" s="734">
        <v>9785000</v>
      </c>
      <c r="D31" s="735" t="s">
        <v>2161</v>
      </c>
      <c r="E31" s="734">
        <v>9005000</v>
      </c>
      <c r="F31" s="734"/>
      <c r="G31" s="734"/>
      <c r="H31" s="734">
        <v>275000</v>
      </c>
      <c r="I31" s="1754">
        <f>((E31+F31)-H31)+G31</f>
        <v>8730000</v>
      </c>
      <c r="J31" s="734">
        <v>8628090</v>
      </c>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9785000</v>
      </c>
      <c r="D49" s="745"/>
      <c r="E49" s="1754">
        <f t="shared" ref="E49:J49" si="2">SUM(E31:E48)</f>
        <v>9005000</v>
      </c>
      <c r="F49" s="1754">
        <f t="shared" si="2"/>
        <v>0</v>
      </c>
      <c r="G49" s="1754">
        <f t="shared" si="2"/>
        <v>0</v>
      </c>
      <c r="H49" s="1754">
        <f t="shared" si="2"/>
        <v>275000</v>
      </c>
      <c r="I49" s="1754">
        <f t="shared" si="2"/>
        <v>8730000</v>
      </c>
      <c r="J49" s="1754">
        <f t="shared" si="2"/>
        <v>8628090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1" t="s">
        <v>584</v>
      </c>
      <c r="C52" s="2192"/>
      <c r="D52" s="2192"/>
      <c r="E52" s="749" t="s">
        <v>845</v>
      </c>
      <c r="F52" s="2193" t="s">
        <v>2162</v>
      </c>
      <c r="G52" s="2194"/>
      <c r="H52" s="736"/>
      <c r="I52" s="736"/>
      <c r="J52" s="746"/>
    </row>
    <row r="53" spans="1:11" ht="11.25" customHeight="1" x14ac:dyDescent="0.2">
      <c r="A53" s="750" t="s">
        <v>913</v>
      </c>
      <c r="B53" s="751" t="s">
        <v>951</v>
      </c>
      <c r="C53" s="746"/>
      <c r="D53" s="737"/>
      <c r="E53" s="749" t="s">
        <v>497</v>
      </c>
      <c r="F53" s="2195"/>
      <c r="G53" s="2196"/>
      <c r="H53" s="736"/>
      <c r="I53" s="736"/>
      <c r="J53" s="746"/>
    </row>
    <row r="54" spans="1:11" ht="11.25" customHeight="1" x14ac:dyDescent="0.2">
      <c r="A54" s="752" t="s">
        <v>914</v>
      </c>
      <c r="B54" s="747" t="s">
        <v>952</v>
      </c>
      <c r="C54" s="746"/>
      <c r="D54" s="737"/>
      <c r="E54" s="749" t="s">
        <v>498</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8000000000000003" right="0.28999999999999998" top="0.7" bottom="0.5" header="0.5" footer="0.45"/>
  <pageSetup scale="68"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7" colorId="8" zoomScale="110" zoomScaleNormal="110" workbookViewId="0">
      <selection activeCell="J31" sqref="J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856</v>
      </c>
      <c r="B1" s="2221"/>
      <c r="C1" s="2221"/>
      <c r="D1" s="2221"/>
      <c r="E1" s="2221"/>
      <c r="F1" s="2221"/>
      <c r="G1" s="2222"/>
      <c r="H1" s="1530"/>
      <c r="I1" s="760"/>
      <c r="J1" s="433"/>
    </row>
    <row r="2" spans="1:11" ht="26.25" x14ac:dyDescent="0.2">
      <c r="A2" s="2239" t="s">
        <v>1677</v>
      </c>
      <c r="B2" s="2240"/>
      <c r="C2" s="2240"/>
      <c r="D2" s="2240"/>
      <c r="E2" s="2241"/>
      <c r="F2" s="761" t="s">
        <v>904</v>
      </c>
      <c r="G2" s="762" t="s">
        <v>1674</v>
      </c>
      <c r="H2" s="762" t="s">
        <v>410</v>
      </c>
      <c r="I2" s="762" t="s">
        <v>1158</v>
      </c>
      <c r="J2" s="762" t="s">
        <v>1809</v>
      </c>
      <c r="K2" s="762" t="s">
        <v>138</v>
      </c>
    </row>
    <row r="3" spans="1:11" x14ac:dyDescent="0.2">
      <c r="A3" s="2242" t="s">
        <v>1959</v>
      </c>
      <c r="B3" s="2243"/>
      <c r="C3" s="2243"/>
      <c r="D3" s="2243"/>
      <c r="E3" s="2244"/>
      <c r="F3" s="763"/>
      <c r="G3" s="764"/>
      <c r="H3" s="764">
        <v>0</v>
      </c>
      <c r="I3" s="764"/>
      <c r="J3" s="765">
        <v>0</v>
      </c>
      <c r="K3" s="765"/>
    </row>
    <row r="4" spans="1:11" x14ac:dyDescent="0.2">
      <c r="A4" s="2245" t="s">
        <v>369</v>
      </c>
      <c r="B4" s="2246"/>
      <c r="C4" s="2246"/>
      <c r="D4" s="2246"/>
      <c r="E4" s="2192"/>
      <c r="F4" s="766"/>
      <c r="G4" s="767"/>
      <c r="H4" s="768"/>
      <c r="I4" s="767"/>
      <c r="J4" s="769"/>
      <c r="K4" s="769"/>
    </row>
    <row r="5" spans="1:11" x14ac:dyDescent="0.2">
      <c r="A5" s="2223" t="s">
        <v>1069</v>
      </c>
      <c r="B5" s="2224"/>
      <c r="C5" s="2224"/>
      <c r="D5" s="2224"/>
      <c r="E5" s="2225"/>
      <c r="F5" s="770" t="s">
        <v>848</v>
      </c>
      <c r="G5" s="771"/>
      <c r="H5" s="764">
        <v>22659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542506</v>
      </c>
      <c r="K8" s="769"/>
    </row>
    <row r="9" spans="1:11" x14ac:dyDescent="0.2">
      <c r="A9" s="778" t="s">
        <v>138</v>
      </c>
      <c r="B9" s="779"/>
      <c r="C9" s="779"/>
      <c r="D9" s="779"/>
      <c r="E9" s="780"/>
      <c r="F9" s="777" t="s">
        <v>853</v>
      </c>
      <c r="G9" s="782"/>
      <c r="H9" s="771"/>
      <c r="I9" s="771"/>
      <c r="J9" s="781"/>
      <c r="K9" s="765"/>
    </row>
    <row r="10" spans="1:11" x14ac:dyDescent="0.2">
      <c r="A10" s="2223" t="s">
        <v>1810</v>
      </c>
      <c r="B10" s="2224"/>
      <c r="C10" s="2224"/>
      <c r="D10" s="2224"/>
      <c r="E10" s="2226"/>
      <c r="F10" s="783" t="s">
        <v>862</v>
      </c>
      <c r="G10" s="782"/>
      <c r="H10" s="784"/>
      <c r="I10" s="764"/>
      <c r="J10" s="765"/>
      <c r="K10" s="765"/>
    </row>
    <row r="11" spans="1:11" x14ac:dyDescent="0.2">
      <c r="A11" s="2223" t="s">
        <v>160</v>
      </c>
      <c r="B11" s="2224"/>
      <c r="C11" s="2224"/>
      <c r="D11" s="2224"/>
      <c r="E11" s="2225"/>
      <c r="F11" s="770" t="s">
        <v>852</v>
      </c>
      <c r="G11" s="771"/>
      <c r="H11" s="764"/>
      <c r="I11" s="764"/>
      <c r="J11" s="765"/>
      <c r="K11" s="773"/>
    </row>
    <row r="12" spans="1:11" ht="13.5" thickBot="1" x14ac:dyDescent="0.25">
      <c r="A12" s="2250" t="s">
        <v>905</v>
      </c>
      <c r="B12" s="2251"/>
      <c r="C12" s="2251"/>
      <c r="D12" s="2251"/>
      <c r="E12" s="2252"/>
      <c r="F12" s="1755"/>
      <c r="G12" s="1756">
        <f>SUM(G5:G11)</f>
        <v>0</v>
      </c>
      <c r="H12" s="1756">
        <f>SUM(H5:H11)</f>
        <v>22659</v>
      </c>
      <c r="I12" s="1756">
        <f>SUM(I5:I11)</f>
        <v>0</v>
      </c>
      <c r="J12" s="1756">
        <f>SUM(J5:J11)</f>
        <v>542506</v>
      </c>
      <c r="K12" s="1756">
        <f>SUM(K5:K11)</f>
        <v>0</v>
      </c>
    </row>
    <row r="13" spans="1:11" ht="13.5" thickTop="1" x14ac:dyDescent="0.2">
      <c r="A13" s="2247" t="s">
        <v>370</v>
      </c>
      <c r="B13" s="2248"/>
      <c r="C13" s="2248"/>
      <c r="D13" s="2248"/>
      <c r="E13" s="2249"/>
      <c r="F13" s="785"/>
      <c r="G13" s="786"/>
      <c r="H13" s="787"/>
      <c r="I13" s="788"/>
      <c r="J13" s="788"/>
      <c r="K13" s="788"/>
    </row>
    <row r="14" spans="1:11" x14ac:dyDescent="0.2">
      <c r="A14" s="2230" t="s">
        <v>456</v>
      </c>
      <c r="B14" s="2230"/>
      <c r="C14" s="2230"/>
      <c r="D14" s="2230"/>
      <c r="E14" s="2231"/>
      <c r="F14" s="789" t="s">
        <v>854</v>
      </c>
      <c r="G14" s="782"/>
      <c r="H14" s="764">
        <v>22659</v>
      </c>
      <c r="I14" s="771"/>
      <c r="J14" s="773"/>
      <c r="K14" s="765"/>
    </row>
    <row r="15" spans="1:11" x14ac:dyDescent="0.2">
      <c r="A15" s="2224" t="s">
        <v>4</v>
      </c>
      <c r="B15" s="2224"/>
      <c r="C15" s="2224"/>
      <c r="D15" s="2224"/>
      <c r="E15" s="2225"/>
      <c r="F15" s="789" t="s">
        <v>855</v>
      </c>
      <c r="G15" s="771"/>
      <c r="H15" s="764"/>
      <c r="I15" s="764"/>
      <c r="J15" s="765"/>
      <c r="K15" s="765"/>
    </row>
    <row r="16" spans="1:11" x14ac:dyDescent="0.2">
      <c r="A16" s="2224" t="s">
        <v>298</v>
      </c>
      <c r="B16" s="2224"/>
      <c r="C16" s="2224"/>
      <c r="D16" s="2224"/>
      <c r="E16" s="2225"/>
      <c r="F16" s="789" t="s">
        <v>923</v>
      </c>
      <c r="G16" s="772"/>
      <c r="H16" s="767"/>
      <c r="I16" s="767"/>
      <c r="J16" s="769"/>
      <c r="K16" s="769"/>
    </row>
    <row r="17" spans="1:11" x14ac:dyDescent="0.2">
      <c r="A17" s="2255" t="s">
        <v>935</v>
      </c>
      <c r="B17" s="2255"/>
      <c r="C17" s="2255"/>
      <c r="D17" s="2255"/>
      <c r="E17" s="2256"/>
      <c r="F17" s="790"/>
      <c r="G17" s="791"/>
      <c r="H17" s="792"/>
      <c r="I17" s="792"/>
      <c r="J17" s="793"/>
      <c r="K17" s="794"/>
    </row>
    <row r="18" spans="1:11" x14ac:dyDescent="0.2">
      <c r="A18" s="2234" t="s">
        <v>368</v>
      </c>
      <c r="B18" s="2235"/>
      <c r="C18" s="2235"/>
      <c r="D18" s="2235"/>
      <c r="E18" s="2236"/>
      <c r="F18" s="789" t="s">
        <v>932</v>
      </c>
      <c r="G18" s="782"/>
      <c r="H18" s="782"/>
      <c r="I18" s="782"/>
      <c r="J18" s="765">
        <v>267506</v>
      </c>
      <c r="K18" s="795"/>
    </row>
    <row r="19" spans="1:11" ht="21.75" customHeight="1" x14ac:dyDescent="0.2">
      <c r="A19" s="2232" t="s">
        <v>1806</v>
      </c>
      <c r="B19" s="2232"/>
      <c r="C19" s="2232"/>
      <c r="D19" s="2232"/>
      <c r="E19" s="2233"/>
      <c r="F19" s="789" t="s">
        <v>933</v>
      </c>
      <c r="G19" s="782"/>
      <c r="H19" s="782"/>
      <c r="I19" s="782"/>
      <c r="J19" s="765">
        <v>275000</v>
      </c>
      <c r="K19" s="795"/>
    </row>
    <row r="20" spans="1:11" x14ac:dyDescent="0.2">
      <c r="A20" s="2234" t="s">
        <v>1811</v>
      </c>
      <c r="B20" s="2235"/>
      <c r="C20" s="2235"/>
      <c r="D20" s="2235"/>
      <c r="E20" s="2236"/>
      <c r="F20" s="789" t="s">
        <v>934</v>
      </c>
      <c r="G20" s="782"/>
      <c r="H20" s="782"/>
      <c r="I20" s="782"/>
      <c r="J20" s="765"/>
      <c r="K20" s="795"/>
    </row>
    <row r="21" spans="1:11" ht="13.5" thickBot="1" x14ac:dyDescent="0.25">
      <c r="A21" s="2253" t="s">
        <v>638</v>
      </c>
      <c r="B21" s="2253"/>
      <c r="C21" s="2253"/>
      <c r="D21" s="2253"/>
      <c r="E21" s="2253"/>
      <c r="F21" s="1757"/>
      <c r="G21" s="792"/>
      <c r="H21" s="796"/>
      <c r="I21" s="796"/>
      <c r="J21" s="1758">
        <f>SUM(J18:J20)</f>
        <v>542506</v>
      </c>
      <c r="K21" s="793"/>
    </row>
    <row r="22" spans="1:11" ht="13.5" thickTop="1" x14ac:dyDescent="0.2">
      <c r="A22" s="2224" t="s">
        <v>1812</v>
      </c>
      <c r="B22" s="2224"/>
      <c r="C22" s="2224"/>
      <c r="D22" s="2224"/>
      <c r="E22" s="2225"/>
      <c r="F22" s="789" t="s">
        <v>862</v>
      </c>
      <c r="G22" s="782"/>
      <c r="H22" s="764"/>
      <c r="I22" s="764"/>
      <c r="J22" s="797"/>
      <c r="K22" s="765"/>
    </row>
    <row r="23" spans="1:11" ht="13.5" thickBot="1" x14ac:dyDescent="0.25">
      <c r="A23" s="2254" t="s">
        <v>906</v>
      </c>
      <c r="B23" s="2253"/>
      <c r="C23" s="2253"/>
      <c r="D23" s="2253"/>
      <c r="E23" s="2253"/>
      <c r="F23" s="1759"/>
      <c r="G23" s="1756">
        <f>SUM(G14:G16,G21,G22)</f>
        <v>0</v>
      </c>
      <c r="H23" s="1756">
        <f>SUM(H14:H16,H21,H22)</f>
        <v>22659</v>
      </c>
      <c r="I23" s="1756">
        <f>SUM(I14:I16,I21,I22)</f>
        <v>0</v>
      </c>
      <c r="J23" s="1756">
        <f>SUM(J14:J16,J21,J22)</f>
        <v>542506</v>
      </c>
      <c r="K23" s="1756">
        <f>SUM(K14:K16,K21,K22)</f>
        <v>0</v>
      </c>
    </row>
    <row r="24" spans="1:11" ht="14.25" thickTop="1" thickBot="1" x14ac:dyDescent="0.25">
      <c r="A24" s="2254" t="s">
        <v>1960</v>
      </c>
      <c r="B24" s="2253"/>
      <c r="C24" s="2253"/>
      <c r="D24" s="2253"/>
      <c r="E24" s="2253"/>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1906</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7"/>
      <c r="I31" s="2228"/>
      <c r="J31" s="2228"/>
      <c r="K31" s="2228"/>
    </row>
    <row r="32" spans="1:11" x14ac:dyDescent="0.2">
      <c r="A32" s="809"/>
      <c r="B32" s="237"/>
      <c r="C32" s="237"/>
      <c r="D32" s="237"/>
      <c r="E32" s="805"/>
      <c r="F32" s="811" t="s">
        <v>540</v>
      </c>
      <c r="G32" s="764"/>
      <c r="H32" s="2229"/>
      <c r="I32" s="2228"/>
      <c r="J32" s="2228"/>
      <c r="K32" s="2228"/>
    </row>
    <row r="33" spans="1:11" ht="1.5" customHeight="1" x14ac:dyDescent="0.2">
      <c r="A33" s="812" t="s">
        <v>1169</v>
      </c>
      <c r="B33" s="364"/>
      <c r="C33" s="364"/>
      <c r="D33" s="364"/>
      <c r="E33" s="364"/>
      <c r="F33" s="364"/>
      <c r="G33" s="813"/>
      <c r="H33" s="2229"/>
      <c r="I33" s="2228"/>
      <c r="J33" s="2228"/>
      <c r="K33" s="2228"/>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37"/>
      <c r="C41" s="2237"/>
      <c r="D41" s="2237"/>
      <c r="E41" s="2237"/>
      <c r="F41" s="223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25" right="0.25" top="0.9" bottom="0.75" header="0.45" footer="0.3"/>
  <pageSetup scale="74"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J31" sqref="J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1905</v>
      </c>
      <c r="B1" s="2260"/>
      <c r="C1" s="2261"/>
      <c r="D1" s="826"/>
      <c r="E1" s="827"/>
      <c r="F1" s="827"/>
      <c r="G1" s="828"/>
      <c r="H1" s="829"/>
      <c r="I1" s="830"/>
      <c r="J1" s="2257"/>
      <c r="K1" s="2258"/>
      <c r="L1" s="2258"/>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92931</v>
      </c>
      <c r="D5" s="841"/>
      <c r="E5" s="841"/>
      <c r="F5" s="1758">
        <f>(C5+D5)-E5</f>
        <v>92931</v>
      </c>
      <c r="G5" s="837"/>
      <c r="H5" s="842"/>
      <c r="I5" s="842"/>
      <c r="J5" s="842"/>
      <c r="K5" s="793"/>
      <c r="L5" s="1767">
        <f>F5-K5</f>
        <v>92931</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28348286</v>
      </c>
      <c r="D8" s="844">
        <v>60446</v>
      </c>
      <c r="E8" s="844"/>
      <c r="F8" s="1758">
        <f>(C8+D8)-E8</f>
        <v>28408732</v>
      </c>
      <c r="G8" s="843">
        <v>50</v>
      </c>
      <c r="H8" s="765">
        <v>9128397</v>
      </c>
      <c r="I8" s="765">
        <v>493804</v>
      </c>
      <c r="J8" s="765"/>
      <c r="K8" s="1767">
        <f>(H8+I8)-J8</f>
        <v>9622201</v>
      </c>
      <c r="L8" s="1767">
        <f>F8-K8</f>
        <v>18786531</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444537</v>
      </c>
      <c r="D10" s="846">
        <v>5765</v>
      </c>
      <c r="E10" s="846"/>
      <c r="F10" s="1762">
        <f>(C10+D10)-E10</f>
        <v>450302</v>
      </c>
      <c r="G10" s="843">
        <v>20</v>
      </c>
      <c r="H10" s="847">
        <v>165070</v>
      </c>
      <c r="I10" s="847">
        <v>22173</v>
      </c>
      <c r="J10" s="847"/>
      <c r="K10" s="1767">
        <f>(H10+I10)-J10</f>
        <v>187243</v>
      </c>
      <c r="L10" s="1767">
        <f>F10-K10</f>
        <v>263059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4429621</v>
      </c>
      <c r="D12" s="844">
        <v>49879</v>
      </c>
      <c r="E12" s="844"/>
      <c r="F12" s="1758">
        <f>(C12+D12)-E12</f>
        <v>4479500</v>
      </c>
      <c r="G12" s="843">
        <v>10</v>
      </c>
      <c r="H12" s="765">
        <v>4053036</v>
      </c>
      <c r="I12" s="765">
        <v>93953</v>
      </c>
      <c r="J12" s="765"/>
      <c r="K12" s="1767">
        <f>(H12+I12)-J12</f>
        <v>4146989</v>
      </c>
      <c r="L12" s="1767">
        <f>F12-K12</f>
        <v>332511</v>
      </c>
    </row>
    <row r="13" spans="1:14" ht="14.25" thickTop="1" thickBot="1" x14ac:dyDescent="0.25">
      <c r="A13" s="848" t="s">
        <v>1122</v>
      </c>
      <c r="B13" s="840">
        <v>252</v>
      </c>
      <c r="C13" s="844">
        <v>190086</v>
      </c>
      <c r="D13" s="844">
        <v>23982</v>
      </c>
      <c r="E13" s="844"/>
      <c r="F13" s="1758">
        <f>(C13+D13)-E13</f>
        <v>214068</v>
      </c>
      <c r="G13" s="843">
        <v>5</v>
      </c>
      <c r="H13" s="765">
        <v>183396</v>
      </c>
      <c r="I13" s="765">
        <v>9171</v>
      </c>
      <c r="J13" s="765"/>
      <c r="K13" s="1767">
        <f>(H13+I13)-J13</f>
        <v>192567</v>
      </c>
      <c r="L13" s="1767">
        <f>F13-K13</f>
        <v>21501</v>
      </c>
    </row>
    <row r="14" spans="1:14" ht="14.25" thickTop="1" thickBot="1" x14ac:dyDescent="0.25">
      <c r="A14" s="848" t="s">
        <v>1123</v>
      </c>
      <c r="B14" s="840">
        <v>253</v>
      </c>
      <c r="C14" s="765">
        <v>6324</v>
      </c>
      <c r="D14" s="765"/>
      <c r="E14" s="765"/>
      <c r="F14" s="1758">
        <f>(C14+D14)-E14</f>
        <v>6324</v>
      </c>
      <c r="G14" s="843">
        <v>3</v>
      </c>
      <c r="H14" s="765">
        <v>4159</v>
      </c>
      <c r="I14" s="765">
        <v>1082</v>
      </c>
      <c r="J14" s="765"/>
      <c r="K14" s="1767">
        <f>(H14+I14)-J14</f>
        <v>5241</v>
      </c>
      <c r="L14" s="1767">
        <f>F14-K14</f>
        <v>1083</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33511785</v>
      </c>
      <c r="D16" s="1758">
        <f>SUM(D3,D5:D6,D8:D10,D12:D15)</f>
        <v>140072</v>
      </c>
      <c r="E16" s="1758">
        <f>SUM(E3,E5:E6,E8:E10,E12:E15)</f>
        <v>0</v>
      </c>
      <c r="F16" s="1758">
        <f>SUM(F3,F5:F6,F8:F10,F12:F15)</f>
        <v>33651857</v>
      </c>
      <c r="G16" s="843"/>
      <c r="H16" s="1758">
        <f>SUM(H3,H6,H8:H10,H12:H14,)</f>
        <v>13534058</v>
      </c>
      <c r="I16" s="1758">
        <f>SUM(I3,I6,I8:I10,I12:I14,)</f>
        <v>620183</v>
      </c>
      <c r="J16" s="1758">
        <f>SUM(J3,J6,J8:J10,J12:J14,)</f>
        <v>0</v>
      </c>
      <c r="K16" s="1758">
        <f>(H16+I16)-J16</f>
        <v>14154241</v>
      </c>
      <c r="L16" s="1758">
        <f>F16-K16</f>
        <v>19497616</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620183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25" top="0.9" bottom="0.75" header="0.5" footer="0.3"/>
  <pageSetup scale="79"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J31" sqref="J31"/>
      <selection pane="bottomLeft" activeCell="J31" sqref="J3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1970</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11057737</v>
      </c>
      <c r="G8" s="865"/>
    </row>
    <row r="9" spans="1:7" x14ac:dyDescent="0.2">
      <c r="A9" s="869" t="s">
        <v>460</v>
      </c>
      <c r="B9" s="870" t="s">
        <v>1873</v>
      </c>
      <c r="C9" s="871"/>
      <c r="D9" s="869" t="s">
        <v>501</v>
      </c>
      <c r="E9" s="868"/>
      <c r="F9" s="1906">
        <f>'Expenditures 15-22'!K151</f>
        <v>522151</v>
      </c>
      <c r="G9" s="872"/>
    </row>
    <row r="10" spans="1:7" x14ac:dyDescent="0.2">
      <c r="A10" s="869" t="s">
        <v>499</v>
      </c>
      <c r="B10" s="870" t="s">
        <v>1874</v>
      </c>
      <c r="C10" s="871"/>
      <c r="D10" s="869" t="s">
        <v>501</v>
      </c>
      <c r="E10" s="868"/>
      <c r="F10" s="1906">
        <f>'Expenditures 15-22'!K174</f>
        <v>696883</v>
      </c>
      <c r="G10" s="872"/>
    </row>
    <row r="11" spans="1:7" x14ac:dyDescent="0.2">
      <c r="A11" s="869" t="s">
        <v>461</v>
      </c>
      <c r="B11" s="870" t="s">
        <v>1875</v>
      </c>
      <c r="C11" s="871"/>
      <c r="D11" s="869" t="s">
        <v>501</v>
      </c>
      <c r="E11" s="868"/>
      <c r="F11" s="1906">
        <f>'Expenditures 15-22'!K210</f>
        <v>263895</v>
      </c>
      <c r="G11" s="872"/>
    </row>
    <row r="12" spans="1:7" x14ac:dyDescent="0.2">
      <c r="A12" s="869" t="s">
        <v>462</v>
      </c>
      <c r="B12" s="870" t="s">
        <v>1876</v>
      </c>
      <c r="C12" s="871"/>
      <c r="D12" s="869" t="s">
        <v>501</v>
      </c>
      <c r="E12" s="868"/>
      <c r="F12" s="1906">
        <f>'Expenditures 15-22'!K295</f>
        <v>402359</v>
      </c>
      <c r="G12" s="872"/>
    </row>
    <row r="13" spans="1:7" x14ac:dyDescent="0.2">
      <c r="A13" s="869" t="s">
        <v>106</v>
      </c>
      <c r="B13" s="870" t="s">
        <v>1877</v>
      </c>
      <c r="C13" s="871"/>
      <c r="D13" s="869" t="s">
        <v>501</v>
      </c>
      <c r="E13" s="868"/>
      <c r="F13" s="1906">
        <f>'Expenditures 15-22'!K342</f>
        <v>0</v>
      </c>
      <c r="G13" s="873"/>
    </row>
    <row r="14" spans="1:7" ht="12" customHeight="1" thickBot="1" x14ac:dyDescent="0.25">
      <c r="A14" s="1768"/>
      <c r="B14" s="1769"/>
      <c r="C14" s="1770"/>
      <c r="D14" s="1771" t="s">
        <v>501</v>
      </c>
      <c r="E14" s="1772" t="s">
        <v>958</v>
      </c>
      <c r="F14" s="1773">
        <f>SUM(F8:F13)</f>
        <v>12943025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1">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1997</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122174</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197729</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3982</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35587</v>
      </c>
      <c r="G52" s="865"/>
    </row>
    <row r="53" spans="1:7" x14ac:dyDescent="0.2">
      <c r="A53" s="869" t="s">
        <v>459</v>
      </c>
      <c r="B53" s="869" t="s">
        <v>1475</v>
      </c>
      <c r="C53" s="889">
        <f>'Expenditures 15-22'!B102</f>
        <v>4000</v>
      </c>
      <c r="D53" s="888" t="str">
        <f>'Expenditures 15-22'!A102</f>
        <v>Total Payments to Other Govt Units</v>
      </c>
      <c r="E53" s="868"/>
      <c r="F53" s="1910">
        <f>'Expenditures 15-22'!K102</f>
        <v>274035</v>
      </c>
      <c r="G53" s="865"/>
    </row>
    <row r="54" spans="1:7" x14ac:dyDescent="0.2">
      <c r="A54" s="869" t="s">
        <v>459</v>
      </c>
      <c r="B54" s="869" t="s">
        <v>1476</v>
      </c>
      <c r="C54" s="889" t="s">
        <v>982</v>
      </c>
      <c r="D54" s="885" t="s">
        <v>1095</v>
      </c>
      <c r="E54" s="868"/>
      <c r="F54" s="1910">
        <f>'Expenditures 15-22'!G114</f>
        <v>57752</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0">
        <f>'Expenditures 15-22'!K139</f>
        <v>0</v>
      </c>
      <c r="G57" s="865"/>
    </row>
    <row r="58" spans="1:7" x14ac:dyDescent="0.2">
      <c r="A58" s="869" t="s">
        <v>460</v>
      </c>
      <c r="B58" s="869" t="s">
        <v>1879</v>
      </c>
      <c r="C58" s="886" t="s">
        <v>982</v>
      </c>
      <c r="D58" s="885" t="s">
        <v>1095</v>
      </c>
      <c r="E58" s="868"/>
      <c r="F58" s="1912">
        <f>'Expenditures 15-22'!G151</f>
        <v>30047</v>
      </c>
      <c r="G58" s="865"/>
    </row>
    <row r="59" spans="1:7" x14ac:dyDescent="0.2">
      <c r="A59" s="893" t="s">
        <v>460</v>
      </c>
      <c r="B59" s="856" t="s">
        <v>1880</v>
      </c>
      <c r="C59" s="894" t="s">
        <v>982</v>
      </c>
      <c r="D59" s="856" t="s">
        <v>291</v>
      </c>
      <c r="F59" s="1913">
        <f>'Expenditures 15-22'!I151</f>
        <v>0</v>
      </c>
      <c r="G59" s="865"/>
    </row>
    <row r="60" spans="1:7" x14ac:dyDescent="0.2">
      <c r="A60" s="893" t="s">
        <v>499</v>
      </c>
      <c r="B60" s="856" t="s">
        <v>1881</v>
      </c>
      <c r="C60" s="894">
        <v>4000</v>
      </c>
      <c r="D60" s="856" t="s">
        <v>312</v>
      </c>
      <c r="F60" s="1911">
        <f>'Expenditures 15-22'!K160</f>
        <v>0</v>
      </c>
      <c r="G60" s="865"/>
    </row>
    <row r="61" spans="1:7" x14ac:dyDescent="0.2">
      <c r="A61" s="895" t="s">
        <v>499</v>
      </c>
      <c r="B61" s="895" t="s">
        <v>1882</v>
      </c>
      <c r="C61" s="896" t="str">
        <f>'Expenditures 15-22'!B170</f>
        <v>5300</v>
      </c>
      <c r="D61" s="897" t="s">
        <v>311</v>
      </c>
      <c r="E61" s="879"/>
      <c r="F61" s="1910">
        <f>'Expenditures 15-22'!K170</f>
        <v>275000</v>
      </c>
      <c r="G61" s="865"/>
    </row>
    <row r="62" spans="1:7" x14ac:dyDescent="0.2">
      <c r="A62" s="869" t="s">
        <v>461</v>
      </c>
      <c r="B62" s="869" t="s">
        <v>1883</v>
      </c>
      <c r="C62" s="886">
        <f>'Expenditures 15-22'!B185</f>
        <v>3000</v>
      </c>
      <c r="D62" s="876" t="s">
        <v>449</v>
      </c>
      <c r="E62" s="868"/>
      <c r="F62" s="1910">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0">
        <f>'Expenditures 15-22'!K196</f>
        <v>68</v>
      </c>
      <c r="G63" s="865"/>
    </row>
    <row r="64" spans="1:7" x14ac:dyDescent="0.2">
      <c r="A64" s="895" t="s">
        <v>461</v>
      </c>
      <c r="B64" s="895" t="s">
        <v>1885</v>
      </c>
      <c r="C64" s="896" t="str">
        <f>'Expenditures 15-22'!B206</f>
        <v>5300</v>
      </c>
      <c r="D64" s="892" t="s">
        <v>311</v>
      </c>
      <c r="E64" s="868"/>
      <c r="F64" s="1910">
        <f>'Expenditures 15-22'!K206</f>
        <v>0</v>
      </c>
      <c r="G64" s="865"/>
    </row>
    <row r="65" spans="1:8" x14ac:dyDescent="0.2">
      <c r="A65" s="869" t="s">
        <v>461</v>
      </c>
      <c r="B65" s="869" t="s">
        <v>1886</v>
      </c>
      <c r="C65" s="886" t="s">
        <v>982</v>
      </c>
      <c r="D65" s="885" t="s">
        <v>1095</v>
      </c>
      <c r="E65" s="868"/>
      <c r="F65" s="1910">
        <f>'Expenditures 15-22'!G210</f>
        <v>0</v>
      </c>
      <c r="G65" s="865"/>
    </row>
    <row r="66" spans="1:8" x14ac:dyDescent="0.2">
      <c r="A66" s="869" t="s">
        <v>461</v>
      </c>
      <c r="B66" s="869" t="s">
        <v>1887</v>
      </c>
      <c r="C66" s="886" t="s">
        <v>982</v>
      </c>
      <c r="D66" s="885" t="s">
        <v>291</v>
      </c>
      <c r="E66" s="868"/>
      <c r="F66" s="1910">
        <f>'Expenditures 15-22'!I210</f>
        <v>0</v>
      </c>
      <c r="G66" s="865"/>
    </row>
    <row r="67" spans="1:8" x14ac:dyDescent="0.2">
      <c r="A67" s="869" t="s">
        <v>462</v>
      </c>
      <c r="B67" s="869" t="s">
        <v>1888</v>
      </c>
      <c r="C67" s="886" t="str">
        <f>'Expenditures 15-22'!B216</f>
        <v>1125</v>
      </c>
      <c r="D67" s="892" t="str">
        <f>'Expenditures 15-22'!A216</f>
        <v>Pre-K Programs</v>
      </c>
      <c r="E67" s="868"/>
      <c r="F67" s="1910">
        <f>'Expenditures 15-22'!K216</f>
        <v>5263</v>
      </c>
      <c r="G67" s="865"/>
    </row>
    <row r="68" spans="1:8" x14ac:dyDescent="0.2">
      <c r="A68" s="869" t="s">
        <v>462</v>
      </c>
      <c r="B68" s="869" t="s">
        <v>1479</v>
      </c>
      <c r="C68" s="886" t="str">
        <f>'Expenditures 15-22'!B218</f>
        <v>1225</v>
      </c>
      <c r="D68" s="892" t="str">
        <f>'Expenditures 15-22'!A218</f>
        <v>Special Education Programs - Pre-K</v>
      </c>
      <c r="E68" s="868"/>
      <c r="F68" s="1910">
        <f>'Expenditures 15-22'!K218</f>
        <v>12217</v>
      </c>
      <c r="G68" s="865"/>
    </row>
    <row r="69" spans="1:8" x14ac:dyDescent="0.2">
      <c r="A69" s="869" t="s">
        <v>462</v>
      </c>
      <c r="B69" s="869" t="s">
        <v>1889</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1890</v>
      </c>
      <c r="C70" s="886">
        <f>'Expenditures 15-22'!B221</f>
        <v>1300</v>
      </c>
      <c r="D70" s="887" t="str">
        <f>'Expenditures 15-22'!A221</f>
        <v>Adult/Continuing Education Programs</v>
      </c>
      <c r="E70" s="868"/>
      <c r="F70" s="1910">
        <f>'Expenditures 15-22'!K221</f>
        <v>0</v>
      </c>
      <c r="G70" s="865"/>
    </row>
    <row r="71" spans="1:8" x14ac:dyDescent="0.2">
      <c r="A71" s="869" t="s">
        <v>462</v>
      </c>
      <c r="B71" s="869" t="s">
        <v>1891</v>
      </c>
      <c r="C71" s="886">
        <f>'Expenditures 15-22'!B224</f>
        <v>1600</v>
      </c>
      <c r="D71" s="887" t="str">
        <f>'Expenditures 15-22'!A224</f>
        <v>Summer School Programs</v>
      </c>
      <c r="E71" s="868"/>
      <c r="F71" s="1910">
        <f>'Expenditures 15-22'!K224</f>
        <v>53</v>
      </c>
      <c r="G71" s="865"/>
    </row>
    <row r="72" spans="1:8" x14ac:dyDescent="0.2">
      <c r="A72" s="869" t="s">
        <v>462</v>
      </c>
      <c r="B72" s="869" t="s">
        <v>1892</v>
      </c>
      <c r="C72" s="886">
        <f>'Expenditures 15-22'!B280</f>
        <v>3000</v>
      </c>
      <c r="D72" s="876" t="s">
        <v>449</v>
      </c>
      <c r="E72" s="868"/>
      <c r="F72" s="1910">
        <f>'Expenditures 15-22'!K280</f>
        <v>564</v>
      </c>
      <c r="G72" s="865"/>
    </row>
    <row r="73" spans="1:8" x14ac:dyDescent="0.2">
      <c r="A73" s="869" t="s">
        <v>462</v>
      </c>
      <c r="B73" s="869" t="s">
        <v>1893</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1894</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1895</v>
      </c>
      <c r="E76" s="1772" t="s">
        <v>958</v>
      </c>
      <c r="F76" s="1776">
        <f>SUM(F18:F74)</f>
        <v>1014471</v>
      </c>
      <c r="G76" s="865"/>
    </row>
    <row r="77" spans="1:8" s="893" customFormat="1" ht="12" customHeight="1" thickTop="1" thickBot="1" x14ac:dyDescent="0.25">
      <c r="A77" s="1777"/>
      <c r="B77" s="1774"/>
      <c r="C77" s="1770"/>
      <c r="D77" s="1775" t="s">
        <v>1896</v>
      </c>
      <c r="E77" s="1772"/>
      <c r="F77" s="1778">
        <f>(F14-F76)</f>
        <v>11928554</v>
      </c>
      <c r="G77" s="869"/>
    </row>
    <row r="78" spans="1:8" s="893" customFormat="1" ht="12" customHeight="1" thickTop="1" x14ac:dyDescent="0.2">
      <c r="A78" s="1779"/>
      <c r="B78" s="1774"/>
      <c r="C78" s="1770"/>
      <c r="D78" s="1775" t="s">
        <v>2057</v>
      </c>
      <c r="E78" s="1772"/>
      <c r="F78" s="898">
        <v>971</v>
      </c>
      <c r="G78" s="899"/>
      <c r="H78" s="869"/>
    </row>
    <row r="79" spans="1:8" s="893" customFormat="1" ht="12" customHeight="1" thickBot="1" x14ac:dyDescent="0.25">
      <c r="A79" s="1780"/>
      <c r="B79" s="1774"/>
      <c r="C79" s="1770"/>
      <c r="D79" s="1775" t="s">
        <v>1897</v>
      </c>
      <c r="E79" s="1772" t="s">
        <v>958</v>
      </c>
      <c r="F79" s="1781">
        <f>IF(F78&gt;0,F77/F78," Complete Line 78")</f>
        <v>12284.81359423275</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9717</v>
      </c>
      <c r="G94" s="912"/>
    </row>
    <row r="95" spans="1:7" x14ac:dyDescent="0.2">
      <c r="A95" s="908" t="s">
        <v>140</v>
      </c>
      <c r="B95" s="908" t="s">
        <v>175</v>
      </c>
      <c r="C95" s="910">
        <v>1700</v>
      </c>
      <c r="D95" s="918" t="str">
        <f>'Revenues 9-14'!A82</f>
        <v>Total District/School Activity Income</v>
      </c>
      <c r="E95" s="906"/>
      <c r="F95" s="1787">
        <f>SUM('Revenues 9-14'!C82,'Revenues 9-14'!D82)</f>
        <v>21166</v>
      </c>
      <c r="G95" s="912"/>
    </row>
    <row r="96" spans="1:7" x14ac:dyDescent="0.2">
      <c r="A96" s="908" t="s">
        <v>459</v>
      </c>
      <c r="B96" s="908" t="s">
        <v>176</v>
      </c>
      <c r="C96" s="910">
        <f>'Revenues 9-14'!B84</f>
        <v>1811</v>
      </c>
      <c r="D96" s="911" t="str">
        <f>'Revenues 9-14'!A84</f>
        <v>Rentals - Regular Textbooks</v>
      </c>
      <c r="E96" s="906"/>
      <c r="F96" s="1787">
        <f>'Revenues 9-14'!C84</f>
        <v>26777</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80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1682</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1998</v>
      </c>
      <c r="C105" s="913">
        <v>3100</v>
      </c>
      <c r="D105" s="919" t="str">
        <f>'Revenues 9-14'!A132</f>
        <v>Total Special Education</v>
      </c>
      <c r="E105" s="906"/>
      <c r="F105" s="1787">
        <f>SUM('Revenues 9-14'!C132:D132,'Revenues 9-14'!F132)</f>
        <v>211873</v>
      </c>
      <c r="G105" s="912"/>
    </row>
    <row r="106" spans="1:7" x14ac:dyDescent="0.2">
      <c r="A106" s="908" t="s">
        <v>673</v>
      </c>
      <c r="B106" s="908" t="s">
        <v>1999</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2000</v>
      </c>
      <c r="C107" s="920">
        <v>3300</v>
      </c>
      <c r="D107" s="911" t="str">
        <f>'Revenues 9-14'!A145</f>
        <v>Total Bilingual Ed</v>
      </c>
      <c r="E107" s="906"/>
      <c r="F107" s="1787">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7">
        <f>'Revenues 9-14'!C146</f>
        <v>14356</v>
      </c>
      <c r="G108" s="912"/>
    </row>
    <row r="109" spans="1:7" x14ac:dyDescent="0.2">
      <c r="A109" s="908" t="s">
        <v>673</v>
      </c>
      <c r="B109" s="908" t="s">
        <v>2002</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7">
        <f>SUM('Revenues 9-14'!C148,'Revenues 9-14'!D148)</f>
        <v>0</v>
      </c>
      <c r="G110" s="912"/>
    </row>
    <row r="111" spans="1:7" x14ac:dyDescent="0.2">
      <c r="A111" s="908" t="s">
        <v>668</v>
      </c>
      <c r="B111" s="908" t="s">
        <v>2004</v>
      </c>
      <c r="C111" s="922">
        <v>3500</v>
      </c>
      <c r="D111" s="911" t="str">
        <f>'Revenues 9-14'!A155</f>
        <v>Total Transportation</v>
      </c>
      <c r="E111" s="906"/>
      <c r="F111" s="1787">
        <f>SUM('Revenues 9-14'!C155,'Revenues 9-14'!D155,'Revenues 9-14'!F155,'Revenues 9-14'!G155)</f>
        <v>128245</v>
      </c>
      <c r="G111" s="912"/>
    </row>
    <row r="112" spans="1:7" x14ac:dyDescent="0.2">
      <c r="A112" s="908" t="s">
        <v>459</v>
      </c>
      <c r="B112" s="908" t="s">
        <v>2005</v>
      </c>
      <c r="C112" s="920">
        <f>'Revenues 9-14'!B156</f>
        <v>3610</v>
      </c>
      <c r="D112" s="911" t="str">
        <f>'Revenues 9-14'!A156</f>
        <v>Learning Improvement - Change Grants</v>
      </c>
      <c r="E112" s="906"/>
      <c r="F112" s="1787">
        <f>'Revenues 9-14'!C156</f>
        <v>0</v>
      </c>
      <c r="G112" s="912"/>
    </row>
    <row r="113" spans="1:7" x14ac:dyDescent="0.2">
      <c r="A113" s="908" t="s">
        <v>668</v>
      </c>
      <c r="B113" s="908" t="s">
        <v>2006</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4">
        <f>SUM('Revenues 9-14'!C163:G163)</f>
        <v>0</v>
      </c>
      <c r="G118" s="912"/>
    </row>
    <row r="119" spans="1:7" x14ac:dyDescent="0.2">
      <c r="A119" s="923" t="s">
        <v>504</v>
      </c>
      <c r="B119" s="923" t="s">
        <v>2012</v>
      </c>
      <c r="C119" s="924">
        <f>'Revenues 9-14'!B164</f>
        <v>3815</v>
      </c>
      <c r="D119" s="925" t="str">
        <f>'Revenues 9-14'!A164</f>
        <v>State Charter Schools</v>
      </c>
      <c r="E119" s="906"/>
      <c r="F119" s="1904">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7">
        <f>'Revenues 9-14'!D167</f>
        <v>0</v>
      </c>
      <c r="G120" s="930"/>
    </row>
    <row r="121" spans="1:7" x14ac:dyDescent="0.2">
      <c r="A121" s="927" t="s">
        <v>500</v>
      </c>
      <c r="B121" s="927" t="s">
        <v>2014</v>
      </c>
      <c r="C121" s="928">
        <f>'Revenues 9-14'!B168</f>
        <v>3999</v>
      </c>
      <c r="D121" s="929" t="s">
        <v>543</v>
      </c>
      <c r="E121" s="931"/>
      <c r="F121" s="1787">
        <f>SUM('Revenues 9-14'!C168:G168,'Revenues 9-14'!J168)</f>
        <v>66955</v>
      </c>
      <c r="G121" s="930"/>
    </row>
    <row r="122" spans="1:7" x14ac:dyDescent="0.2">
      <c r="A122" s="927" t="s">
        <v>459</v>
      </c>
      <c r="B122" s="927" t="s">
        <v>2015</v>
      </c>
      <c r="C122" s="932">
        <f>'Revenues 9-14'!B177</f>
        <v>4045</v>
      </c>
      <c r="D122" s="929" t="str">
        <f>'Revenues 9-14'!A177 &amp; " (Subtract)"</f>
        <v>Head Start (Subtract)</v>
      </c>
      <c r="E122" s="906"/>
      <c r="F122" s="1787">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2017</v>
      </c>
      <c r="C124" s="932">
        <v>4100</v>
      </c>
      <c r="D124" s="933" t="str">
        <f>'Revenues 9-14'!A188</f>
        <v>Total Title V</v>
      </c>
      <c r="E124" s="906"/>
      <c r="F124" s="1787">
        <f>SUM('Revenues 9-14'!C188,'Revenues 9-14'!D188,'Revenues 9-14'!F188,'Revenues 9-14'!G188)</f>
        <v>11279</v>
      </c>
      <c r="G124" s="930"/>
    </row>
    <row r="125" spans="1:7" x14ac:dyDescent="0.2">
      <c r="A125" s="927" t="s">
        <v>664</v>
      </c>
      <c r="B125" s="927" t="s">
        <v>2018</v>
      </c>
      <c r="C125" s="932">
        <v>4200</v>
      </c>
      <c r="D125" s="929" t="str">
        <f>'Revenues 9-14'!A198</f>
        <v>Total Food Service</v>
      </c>
      <c r="E125" s="906"/>
      <c r="F125" s="1787">
        <f>SUM('Revenues 9-14'!C198,'Revenues 9-14'!G198)</f>
        <v>659431</v>
      </c>
      <c r="G125" s="930"/>
    </row>
    <row r="126" spans="1:7" x14ac:dyDescent="0.2">
      <c r="A126" s="927" t="s">
        <v>668</v>
      </c>
      <c r="B126" s="927" t="s">
        <v>2019</v>
      </c>
      <c r="C126" s="932">
        <v>4300</v>
      </c>
      <c r="D126" s="933" t="str">
        <f>'Revenues 9-14'!A204</f>
        <v>Total Title I</v>
      </c>
      <c r="E126" s="906"/>
      <c r="F126" s="1787">
        <f>SUM('Revenues 9-14'!C204,'Revenues 9-14'!D204,'Revenues 9-14'!F204,'Revenues 9-14'!G204)</f>
        <v>424858</v>
      </c>
      <c r="G126" s="930"/>
    </row>
    <row r="127" spans="1:7" x14ac:dyDescent="0.2">
      <c r="A127" s="927" t="s">
        <v>668</v>
      </c>
      <c r="B127" s="927" t="s">
        <v>2020</v>
      </c>
      <c r="C127" s="932">
        <v>4400</v>
      </c>
      <c r="D127" s="933" t="str">
        <f>'Revenues 9-14'!A209</f>
        <v>Total Title IV</v>
      </c>
      <c r="E127" s="906"/>
      <c r="F127" s="1787">
        <f>SUM('Revenues 9-14'!C209,'Revenues 9-14'!D209,'Revenues 9-14'!F209,'Revenues 9-14'!G209)</f>
        <v>41450</v>
      </c>
      <c r="G127" s="930"/>
    </row>
    <row r="128" spans="1:7" x14ac:dyDescent="0.2">
      <c r="A128" s="927" t="s">
        <v>668</v>
      </c>
      <c r="B128" s="927" t="s">
        <v>2021</v>
      </c>
      <c r="C128" s="932">
        <f>'Revenues 9-14'!B213</f>
        <v>4620</v>
      </c>
      <c r="D128" s="933" t="str">
        <f>'Revenues 9-14'!A213</f>
        <v>Fed - Spec Education - IDEA - Flow Through</v>
      </c>
      <c r="E128" s="906"/>
      <c r="F128" s="1787">
        <f>SUM('Revenues 9-14'!C213:D213,'Revenues 9-14'!F213:G213)</f>
        <v>364068</v>
      </c>
      <c r="G128" s="930"/>
    </row>
    <row r="129" spans="1:7" x14ac:dyDescent="0.2">
      <c r="A129" s="927" t="s">
        <v>668</v>
      </c>
      <c r="B129" s="927" t="s">
        <v>2022</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2024</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7">
        <v>0</v>
      </c>
      <c r="G138" s="905"/>
    </row>
    <row r="139" spans="1:7" s="867" customFormat="1" hidden="1" x14ac:dyDescent="0.2">
      <c r="A139" s="934" t="s">
        <v>206</v>
      </c>
      <c r="B139" s="934" t="s">
        <v>2031</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2039</v>
      </c>
      <c r="C157" s="940" t="s">
        <v>841</v>
      </c>
      <c r="D157" s="941" t="s">
        <v>777</v>
      </c>
      <c r="E157" s="942"/>
      <c r="F157" s="1787">
        <f>SUM(F133:F156)</f>
        <v>0</v>
      </c>
      <c r="G157" s="905"/>
    </row>
    <row r="158" spans="1:7" s="867" customFormat="1" x14ac:dyDescent="0.2">
      <c r="A158" s="938" t="s">
        <v>459</v>
      </c>
      <c r="B158" s="939" t="s">
        <v>2040</v>
      </c>
      <c r="C158" s="940" t="s">
        <v>1427</v>
      </c>
      <c r="D158" s="941" t="s">
        <v>1428</v>
      </c>
      <c r="E158" s="942"/>
      <c r="F158" s="1787">
        <f>SUM('Revenues 9-14'!C253)</f>
        <v>0</v>
      </c>
      <c r="G158" s="905"/>
    </row>
    <row r="159" spans="1:7" s="867" customFormat="1" x14ac:dyDescent="0.2">
      <c r="A159" s="938" t="s">
        <v>500</v>
      </c>
      <c r="B159" s="939" t="s">
        <v>2041</v>
      </c>
      <c r="C159" s="940" t="s">
        <v>1466</v>
      </c>
      <c r="D159" s="941" t="s">
        <v>1467</v>
      </c>
      <c r="E159" s="942"/>
      <c r="F159" s="1787">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4">
        <f>SUM('Revenues 9-14'!C259,'Revenues 9-14'!D259,'Revenues 9-14'!F259,'Revenues 9-14'!G259)</f>
        <v>68932</v>
      </c>
      <c r="G164" s="930"/>
    </row>
    <row r="165" spans="1:7" x14ac:dyDescent="0.2">
      <c r="A165" s="927" t="s">
        <v>668</v>
      </c>
      <c r="B165" s="927" t="s">
        <v>2047</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7">
        <f>SUM('Revenues 9-14'!C263:D263,'Revenues 9-14'!F263:G263)</f>
        <v>20297</v>
      </c>
      <c r="G168" s="947">
        <v>6320</v>
      </c>
    </row>
    <row r="169" spans="1:7" x14ac:dyDescent="0.2">
      <c r="A169" s="927" t="s">
        <v>668</v>
      </c>
      <c r="B169" s="927" t="s">
        <v>2049</v>
      </c>
      <c r="C169" s="932">
        <f>'Revenues 9-14'!B264</f>
        <v>4992</v>
      </c>
      <c r="D169" s="933" t="str">
        <f>'Revenues 9-14'!A264</f>
        <v>Medicaid Matching Funds - Fee-for-Service Program</v>
      </c>
      <c r="E169" s="906"/>
      <c r="F169" s="1787">
        <f>SUM('Revenues 9-14'!C264:D264,'Revenues 9-14'!F264:G264)</f>
        <v>38775</v>
      </c>
      <c r="G169" s="947"/>
    </row>
    <row r="170" spans="1:7" x14ac:dyDescent="0.2">
      <c r="A170" s="948" t="s">
        <v>668</v>
      </c>
      <c r="B170" s="944" t="s">
        <v>2050</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1916</v>
      </c>
      <c r="C171" s="1917">
        <v>3100</v>
      </c>
      <c r="D171" s="1918" t="s">
        <v>1918</v>
      </c>
      <c r="E171" s="906"/>
      <c r="F171" s="1903">
        <v>514187</v>
      </c>
      <c r="G171" s="927"/>
    </row>
    <row r="172" spans="1:7" x14ac:dyDescent="0.2">
      <c r="A172" s="1915" t="s">
        <v>664</v>
      </c>
      <c r="B172" s="1916" t="s">
        <v>1916</v>
      </c>
      <c r="C172" s="1917">
        <v>3300</v>
      </c>
      <c r="D172" s="1918" t="s">
        <v>1919</v>
      </c>
      <c r="E172" s="906"/>
      <c r="F172" s="1903">
        <v>144</v>
      </c>
      <c r="G172" s="927"/>
    </row>
    <row r="173" spans="1:7" ht="6" customHeight="1" x14ac:dyDescent="0.2">
      <c r="A173" s="927"/>
      <c r="B173" s="927"/>
      <c r="C173" s="949"/>
      <c r="D173" s="927"/>
      <c r="E173" s="906"/>
      <c r="F173" s="950"/>
      <c r="G173" s="947"/>
    </row>
    <row r="174" spans="1:7" x14ac:dyDescent="0.2">
      <c r="A174" s="1768"/>
      <c r="B174" s="1782"/>
      <c r="C174" s="1783"/>
      <c r="D174" s="1784" t="s">
        <v>2051</v>
      </c>
      <c r="E174" s="1785" t="s">
        <v>958</v>
      </c>
      <c r="F174" s="1786">
        <f>SUM(F84:F132,F157:F172)</f>
        <v>2624272</v>
      </c>
    </row>
    <row r="175" spans="1:7" ht="12" customHeight="1" x14ac:dyDescent="0.2">
      <c r="A175" s="1768"/>
      <c r="B175" s="1782"/>
      <c r="C175" s="1783"/>
      <c r="D175" s="1784" t="s">
        <v>2052</v>
      </c>
      <c r="E175" s="1785"/>
      <c r="F175" s="1787">
        <f>'PCTC-OEPP 27-28'!F77-F174</f>
        <v>9304282</v>
      </c>
    </row>
    <row r="176" spans="1:7" ht="12" customHeight="1" x14ac:dyDescent="0.2">
      <c r="A176" s="1768"/>
      <c r="B176" s="1782"/>
      <c r="C176" s="1783"/>
      <c r="D176" s="1784" t="s">
        <v>1814</v>
      </c>
      <c r="E176" s="1785"/>
      <c r="F176" s="1787">
        <f>'Cap Outlay Deprec 26'!I18</f>
        <v>620183</v>
      </c>
    </row>
    <row r="177" spans="1:7" ht="12" customHeight="1" x14ac:dyDescent="0.2">
      <c r="A177" s="1768"/>
      <c r="B177" s="1782"/>
      <c r="C177" s="1783"/>
      <c r="D177" s="1784" t="s">
        <v>2053</v>
      </c>
      <c r="E177" s="1785"/>
      <c r="F177" s="1787">
        <f>F175+F176</f>
        <v>9924465</v>
      </c>
    </row>
    <row r="178" spans="1:7" ht="12" customHeight="1" x14ac:dyDescent="0.2">
      <c r="A178" s="1768"/>
      <c r="B178" s="1788"/>
      <c r="C178" s="1783"/>
      <c r="D178" s="1784" t="str">
        <f>D78</f>
        <v>9 Month ADA from District Average Daily Attendance/Prior General State Aid Inquiry 2018-2019</v>
      </c>
      <c r="E178" s="1785"/>
      <c r="F178" s="1789">
        <f>'PCTC-OEPP 27-28'!F78</f>
        <v>971</v>
      </c>
      <c r="G178" s="930"/>
    </row>
    <row r="179" spans="1:7" ht="12" customHeight="1" thickBot="1" x14ac:dyDescent="0.25">
      <c r="A179" s="1768"/>
      <c r="B179" s="1788"/>
      <c r="C179" s="1783"/>
      <c r="D179" s="1784" t="s">
        <v>2054</v>
      </c>
      <c r="E179" s="1785" t="s">
        <v>1545</v>
      </c>
      <c r="F179" s="1790">
        <f>F177/F178</f>
        <v>10220.870236869207</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9" customFormat="1" ht="12.2" customHeight="1" x14ac:dyDescent="0.2">
      <c r="A182" s="1919" t="s">
        <v>1989</v>
      </c>
      <c r="B182" s="1920"/>
      <c r="C182" s="1921"/>
      <c r="D182" s="1920"/>
      <c r="E182" s="1921"/>
      <c r="F182" s="1920"/>
      <c r="G182" s="1920"/>
    </row>
    <row r="183" spans="1:7" s="1919" customFormat="1" ht="12.2" customHeight="1" x14ac:dyDescent="0.2">
      <c r="A183" s="1922" t="s">
        <v>1991</v>
      </c>
      <c r="C183" s="1921"/>
      <c r="D183" s="1920"/>
      <c r="E183" s="1921"/>
      <c r="F183" s="1920"/>
      <c r="G183" s="1920"/>
    </row>
    <row r="184" spans="1:7" ht="12" customHeight="1" x14ac:dyDescent="0.2">
      <c r="C184" s="949"/>
      <c r="D184" s="930"/>
      <c r="E184" s="949"/>
      <c r="F184" s="930"/>
      <c r="G184" s="930"/>
    </row>
    <row r="185" spans="1:7" x14ac:dyDescent="0.2">
      <c r="A185" s="1923" t="s">
        <v>1921</v>
      </c>
      <c r="B185" s="192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5"/>
  <sheetViews>
    <sheetView showGridLines="0" topLeftCell="A7" zoomScaleNormal="100" workbookViewId="0">
      <selection activeCell="J31" sqref="J3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76" t="s">
        <v>1815</v>
      </c>
      <c r="B4" s="2277"/>
      <c r="C4" s="2277"/>
      <c r="D4" s="2277"/>
      <c r="E4" s="2277"/>
      <c r="F4" s="2277"/>
      <c r="G4" s="2278"/>
    </row>
    <row r="5" spans="1:7" x14ac:dyDescent="0.25">
      <c r="A5" s="2279"/>
      <c r="B5" s="2280"/>
      <c r="C5" s="2280"/>
      <c r="D5" s="2280"/>
      <c r="E5" s="2280"/>
      <c r="F5" s="2280"/>
      <c r="G5" s="2281"/>
    </row>
    <row r="6" spans="1:7" ht="18.75" x14ac:dyDescent="0.25">
      <c r="A6" s="1534" t="s">
        <v>1816</v>
      </c>
      <c r="B6" s="1535"/>
      <c r="C6" s="1535"/>
      <c r="D6" s="1535"/>
      <c r="E6" s="1535"/>
      <c r="F6" s="1535"/>
      <c r="G6" s="1536"/>
    </row>
    <row r="7" spans="1:7" ht="30.75" customHeight="1" x14ac:dyDescent="0.25">
      <c r="A7" s="2282" t="s">
        <v>1928</v>
      </c>
      <c r="B7" s="2283"/>
      <c r="C7" s="2283"/>
      <c r="D7" s="2283"/>
      <c r="E7" s="2283"/>
      <c r="F7" s="2283"/>
      <c r="G7" s="2284"/>
    </row>
    <row r="8" spans="1:7" ht="15.75" customHeight="1" x14ac:dyDescent="0.25">
      <c r="A8" s="2285" t="s">
        <v>1903</v>
      </c>
      <c r="B8" s="2286"/>
      <c r="C8" s="2286"/>
      <c r="D8" s="2286"/>
      <c r="E8" s="2286"/>
      <c r="F8" s="2286"/>
      <c r="G8" s="2287"/>
    </row>
    <row r="9" spans="1:7" ht="35.25" customHeight="1" x14ac:dyDescent="0.25">
      <c r="A9" s="2282" t="s">
        <v>2060</v>
      </c>
      <c r="B9" s="2283"/>
      <c r="C9" s="2283"/>
      <c r="D9" s="2283"/>
      <c r="E9" s="2283"/>
      <c r="F9" s="2283"/>
      <c r="G9" s="2284"/>
    </row>
    <row r="10" spans="1:7" ht="15" customHeight="1" x14ac:dyDescent="0.25">
      <c r="A10" s="1537" t="s">
        <v>1817</v>
      </c>
      <c r="B10" s="1538"/>
      <c r="C10" s="1538"/>
      <c r="D10" s="1538"/>
      <c r="E10" s="1538"/>
      <c r="F10" s="1538"/>
      <c r="G10" s="1539"/>
    </row>
    <row r="11" spans="1:7" ht="17.25" customHeight="1" x14ac:dyDescent="0.25">
      <c r="A11" s="2282" t="s">
        <v>1930</v>
      </c>
      <c r="B11" s="2283"/>
      <c r="C11" s="2283"/>
      <c r="D11" s="2283"/>
      <c r="E11" s="2283"/>
      <c r="F11" s="2283"/>
      <c r="G11" s="2284"/>
    </row>
    <row r="12" spans="1:7" ht="15" customHeight="1" x14ac:dyDescent="0.25">
      <c r="A12" s="1537" t="s">
        <v>1822</v>
      </c>
      <c r="B12" s="1538"/>
      <c r="C12" s="1538"/>
      <c r="D12" s="1538"/>
      <c r="E12" s="1538"/>
      <c r="F12" s="1538"/>
      <c r="G12" s="1539"/>
    </row>
    <row r="13" spans="1:7" ht="32.25" customHeight="1" x14ac:dyDescent="0.25">
      <c r="A13" s="2273" t="s">
        <v>1971</v>
      </c>
      <c r="B13" s="2274"/>
      <c r="C13" s="2274"/>
      <c r="D13" s="2274"/>
      <c r="E13" s="2274"/>
      <c r="F13" s="2274"/>
      <c r="G13" s="2275"/>
    </row>
    <row r="14" spans="1:7" x14ac:dyDescent="0.25">
      <c r="A14" s="1659" t="s">
        <v>1830</v>
      </c>
      <c r="B14" s="1660"/>
      <c r="C14" s="1660"/>
      <c r="D14" s="1660"/>
      <c r="E14" s="1660"/>
      <c r="F14" s="1660"/>
      <c r="G14" s="1661"/>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2111</v>
      </c>
      <c r="B17" s="1938" t="s">
        <v>2112</v>
      </c>
      <c r="C17" s="1939" t="s">
        <v>2113</v>
      </c>
      <c r="D17" s="1841">
        <v>59510</v>
      </c>
      <c r="E17" s="1540">
        <f t="shared" ref="E17:E25" si="0">IF(D17&lt;=25000,D17,IF(D17&gt;25000,25000,0))</f>
        <v>25000</v>
      </c>
      <c r="F17" s="1929">
        <f t="shared" ref="F17"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1">
        <f>IF(F17=0,0,D17-F17)</f>
        <v>34510</v>
      </c>
      <c r="H17" s="1647"/>
    </row>
    <row r="18" spans="1:8" x14ac:dyDescent="0.25">
      <c r="A18" s="1937" t="s">
        <v>2111</v>
      </c>
      <c r="B18" s="1940" t="s">
        <v>2112</v>
      </c>
      <c r="C18" s="1939" t="s">
        <v>2114</v>
      </c>
      <c r="D18" s="1841">
        <v>25025</v>
      </c>
      <c r="E18" s="1540">
        <f t="shared" ref="E18" si="2">IF(D18&lt;=25000,D18,IF(D18&gt;25000,25000,0))</f>
        <v>25000</v>
      </c>
      <c r="F18" s="1929">
        <f t="shared" ref="F18:F24" si="3">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18,0)</f>
        <v>25000</v>
      </c>
      <c r="G18" s="1791">
        <f t="shared" ref="G18" si="4">IF(F18=0,0,D18-F18)</f>
        <v>25</v>
      </c>
    </row>
    <row r="19" spans="1:8" x14ac:dyDescent="0.25">
      <c r="A19" s="1653"/>
      <c r="B19" s="1665"/>
      <c r="C19" s="1654"/>
      <c r="D19" s="1841"/>
      <c r="E19" s="1540">
        <f t="shared" ref="E19:E23" si="5">IF(D19&lt;=25000,D19,IF(D19&gt;25000,25000,0))</f>
        <v>0</v>
      </c>
      <c r="F19" s="1929">
        <f t="shared" si="3"/>
        <v>0</v>
      </c>
      <c r="G19" s="1791">
        <f t="shared" ref="G19:G23" si="6">IF(F19=0,0,D19-F19)</f>
        <v>0</v>
      </c>
    </row>
    <row r="20" spans="1:8" x14ac:dyDescent="0.25">
      <c r="A20" s="1653"/>
      <c r="B20" s="1665"/>
      <c r="C20" s="1654"/>
      <c r="D20" s="1841"/>
      <c r="E20" s="1540">
        <f t="shared" si="5"/>
        <v>0</v>
      </c>
      <c r="F20" s="1929">
        <f t="shared" si="3"/>
        <v>0</v>
      </c>
      <c r="G20" s="1791">
        <f t="shared" si="6"/>
        <v>0</v>
      </c>
    </row>
    <row r="21" spans="1:8" x14ac:dyDescent="0.25">
      <c r="A21" s="1653"/>
      <c r="B21" s="1665"/>
      <c r="C21" s="1654"/>
      <c r="D21" s="1841"/>
      <c r="E21" s="1540">
        <f t="shared" si="5"/>
        <v>0</v>
      </c>
      <c r="F21" s="1929">
        <f t="shared" si="3"/>
        <v>0</v>
      </c>
      <c r="G21" s="1791">
        <f t="shared" si="6"/>
        <v>0</v>
      </c>
    </row>
    <row r="22" spans="1:8" x14ac:dyDescent="0.25">
      <c r="A22" s="1653"/>
      <c r="B22" s="1665"/>
      <c r="C22" s="1654"/>
      <c r="D22" s="1841"/>
      <c r="E22" s="1540">
        <f t="shared" si="5"/>
        <v>0</v>
      </c>
      <c r="F22" s="1929">
        <f t="shared" si="3"/>
        <v>0</v>
      </c>
      <c r="G22" s="1791">
        <f t="shared" si="6"/>
        <v>0</v>
      </c>
    </row>
    <row r="23" spans="1:8" x14ac:dyDescent="0.25">
      <c r="A23" s="1653"/>
      <c r="B23" s="1665"/>
      <c r="C23" s="1654"/>
      <c r="D23" s="1841"/>
      <c r="E23" s="1540">
        <f t="shared" si="5"/>
        <v>0</v>
      </c>
      <c r="F23" s="1929">
        <f t="shared" si="3"/>
        <v>0</v>
      </c>
      <c r="G23" s="1791">
        <f t="shared" si="6"/>
        <v>0</v>
      </c>
    </row>
    <row r="24" spans="1:8" x14ac:dyDescent="0.25">
      <c r="A24" s="1653"/>
      <c r="B24" s="1664"/>
      <c r="C24" s="1654"/>
      <c r="D24" s="1841"/>
      <c r="E24" s="1540">
        <f t="shared" ref="E24" si="7">IF(D24&lt;=25000,D24,IF(D24&gt;25000,25000,0))</f>
        <v>0</v>
      </c>
      <c r="F24" s="1929">
        <f t="shared" si="3"/>
        <v>0</v>
      </c>
      <c r="G24" s="1791">
        <f t="shared" ref="G24" si="8">IF(F24=0,0,D24-F24)</f>
        <v>0</v>
      </c>
    </row>
    <row r="25" spans="1:8" x14ac:dyDescent="0.25">
      <c r="A25" s="1794" t="s">
        <v>156</v>
      </c>
      <c r="B25" s="1795"/>
      <c r="C25" s="1796"/>
      <c r="D25" s="1792">
        <f>SUM(D17:D24)</f>
        <v>84535</v>
      </c>
      <c r="E25" s="1541">
        <f t="shared" si="0"/>
        <v>25000</v>
      </c>
      <c r="F25" s="1930">
        <f>SUM(F17:F24)</f>
        <v>50000</v>
      </c>
      <c r="G25" s="1793">
        <f>SUM(G17:G24)</f>
        <v>34535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topLeftCell="A10" colorId="8" zoomScale="110" zoomScaleNormal="110" workbookViewId="0">
      <selection activeCell="J31" sqref="J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v>6887</v>
      </c>
      <c r="F9" s="974"/>
      <c r="G9" s="975"/>
      <c r="H9" s="162"/>
      <c r="I9" s="162"/>
    </row>
    <row r="10" spans="1:9" s="668" customFormat="1" ht="12" customHeight="1" x14ac:dyDescent="0.2">
      <c r="A10" s="970" t="s">
        <v>1929</v>
      </c>
      <c r="B10" s="971"/>
      <c r="C10" s="976"/>
      <c r="D10" s="972"/>
      <c r="E10" s="973">
        <v>380364</v>
      </c>
      <c r="F10" s="974"/>
      <c r="G10" s="975"/>
      <c r="H10" s="162"/>
      <c r="I10" s="162"/>
    </row>
    <row r="11" spans="1:9" s="668" customFormat="1" ht="22.5" customHeight="1" x14ac:dyDescent="0.2">
      <c r="A11" s="2293" t="s">
        <v>1972</v>
      </c>
      <c r="B11" s="2294"/>
      <c r="C11" s="2294"/>
      <c r="D11" s="2295"/>
      <c r="E11" s="977">
        <v>55992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v>806</v>
      </c>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7618462</v>
      </c>
      <c r="F19" s="1797"/>
      <c r="G19" s="1799">
        <f>'Expenditures 15-22'!K33-SUM('Expenditures 15-22'!G33,'Expenditures 15-22'!I33)+'Expenditures 15-22'!D229</f>
        <v>7618462</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525701</v>
      </c>
      <c r="F21" s="1800"/>
      <c r="G21" s="1803">
        <f>'Expenditures 15-22'!K42-SUM('Expenditures 15-22'!G42,'Expenditures 15-22'!I42)+'Expenditures 15-22'!K120-SUM('Expenditures 15-22'!G120,'Expenditures 15-22'!I120)+'Expenditures 15-22'!K180-SUM('Expenditures 15-22'!G180,'Expenditures 15-22'!I180)+'Expenditures 15-22'!D238</f>
        <v>525701</v>
      </c>
      <c r="H21" s="987"/>
      <c r="I21" s="162"/>
    </row>
    <row r="22" spans="1:9" s="668" customFormat="1" ht="12" customHeight="1" x14ac:dyDescent="0.2">
      <c r="A22" s="994" t="s">
        <v>564</v>
      </c>
      <c r="B22" s="995"/>
      <c r="C22" s="993">
        <v>2200</v>
      </c>
      <c r="D22" s="1800"/>
      <c r="E22" s="1802">
        <f>'Expenditures 15-22'!K47-SUM('Expenditures 15-22'!G47,'Expenditures 15-22'!I47)+'Expenditures 15-22'!D243</f>
        <v>496265</v>
      </c>
      <c r="F22" s="1800"/>
      <c r="G22" s="1803">
        <f>'Expenditures 15-22'!K47-SUM('Expenditures 15-22'!G47,'Expenditures 15-22'!I47)+'Expenditures 15-22'!D243</f>
        <v>496265</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521797</v>
      </c>
      <c r="F23" s="1800"/>
      <c r="G23" s="1802">
        <f>'Expenditures 15-22'!K53-SUM('Expenditures 15-22'!G53,'Expenditures 15-22'!I53)+'Expenditures 15-22'!D257+'Expenditures 15-22'!K330-SUM('Expenditures 15-22'!G330,'Expenditures 15-22'!I330)</f>
        <v>521797</v>
      </c>
      <c r="H23" s="987"/>
      <c r="I23" s="162"/>
    </row>
    <row r="24" spans="1:9" s="668" customFormat="1" ht="12" customHeight="1" x14ac:dyDescent="0.2">
      <c r="A24" s="994" t="s">
        <v>566</v>
      </c>
      <c r="B24" s="995"/>
      <c r="C24" s="993">
        <v>2400</v>
      </c>
      <c r="D24" s="1800"/>
      <c r="E24" s="1802">
        <f>'Expenditures 15-22'!K57-SUM('Expenditures 15-22'!G57,'Expenditures 15-22'!I57)+'Expenditures 15-22'!D261</f>
        <v>609303</v>
      </c>
      <c r="F24" s="1800"/>
      <c r="G24" s="1803">
        <f>'Expenditures 15-22'!K57-SUM('Expenditures 15-22'!G57,'Expenditures 15-22'!I57)+'Expenditures 15-22'!D261</f>
        <v>609303</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125572</v>
      </c>
      <c r="E27" s="1802">
        <f>E8</f>
        <v>0</v>
      </c>
      <c r="F27" s="1802">
        <f>'Expenditures 15-22'!K60-SUM('Expenditures 15-22'!G60,'Expenditures 15-22'!I60)+'Expenditures 15-22'!D264-E8</f>
        <v>125572</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995656</v>
      </c>
      <c r="F28" s="1804">
        <f>'Expenditures 15-22'!K61-SUM('Expenditures 15-22'!G61,'Expenditures 15-22'!I61)+'Expenditures 15-22'!K124-SUM('Expenditures 15-22'!G124,'Expenditures 15-22'!I124)+'Expenditures 15-22'!D266-E9</f>
        <v>988769</v>
      </c>
      <c r="G28" s="1803">
        <f>E9</f>
        <v>6887</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267141</v>
      </c>
      <c r="F29" s="1800"/>
      <c r="G29" s="1803">
        <f>'Expenditures 15-22'!K62-SUM('Expenditures 15-22'!G62,'Expenditures 15-22'!I62)+'Expenditures 15-22'!K125-SUM('Expenditures 15-22'!G125,'Expenditures 15-22'!I125)+'Expenditures 15-22'!K182-SUM('Expenditures 15-22'!G182,'Expenditures 15-22'!I182)+'Expenditures 15-22'!D267</f>
        <v>267141</v>
      </c>
      <c r="H29" s="985"/>
    </row>
    <row r="30" spans="1:9" ht="12" customHeight="1" x14ac:dyDescent="0.2">
      <c r="A30" s="994" t="s">
        <v>100</v>
      </c>
      <c r="B30" s="997"/>
      <c r="C30" s="993">
        <v>2560</v>
      </c>
      <c r="D30" s="1800"/>
      <c r="E30" s="1802">
        <f>'Expenditures 15-22'!K63-SUM('Expenditures 15-22'!G63,'Expenditures 15-22'!I63)+'Expenditures 15-22'!D268-E10</f>
        <v>306247</v>
      </c>
      <c r="F30" s="1800"/>
      <c r="G30" s="1802">
        <f>'Expenditures 15-22'!K63-SUM('Expenditures 15-22'!G63,'Expenditures 15-22'!I63)+'Expenditures 15-22'!D268-E10</f>
        <v>306247</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775</v>
      </c>
      <c r="F34" s="1800"/>
      <c r="G34" s="1802">
        <f>'Expenditures 15-22'!K68-SUM('Expenditures 15-22'!G68,'Expenditures 15-22'!I68)+'Expenditures 15-22'!D273</f>
        <v>775</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806</v>
      </c>
      <c r="F36" s="1802">
        <f>'Expenditures 15-22'!K70-SUM('Expenditures 15-22'!G70,'Expenditures 15-22'!I70)+'Expenditures 15-22'!D275-E13</f>
        <v>0</v>
      </c>
      <c r="G36" s="1802">
        <f>E13</f>
        <v>806</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36151</v>
      </c>
      <c r="F39" s="1800"/>
      <c r="G39" s="1802">
        <f>'Expenditures 15-22'!K75-SUM('Expenditures 15-22'!G75,'Expenditures 15-22'!I75)+'Expenditures 15-22'!K130-SUM('Expenditures 15-22'!G130,'Expenditures 15-22'!I130)+'Expenditures 15-22'!K185-SUM('Expenditures 15-22'!G185,'Expenditures 15-22'!I185)+'Expenditures 15-22'!D280</f>
        <v>36151</v>
      </c>
    </row>
    <row r="40" spans="1:7" ht="12" customHeight="1" x14ac:dyDescent="0.2">
      <c r="A40" s="990" t="s">
        <v>1820</v>
      </c>
      <c r="B40" s="991"/>
      <c r="C40" s="993"/>
      <c r="D40" s="1800"/>
      <c r="E40" s="1804">
        <f>-'Contracts Paid in CY 29'!G25</f>
        <v>-34535</v>
      </c>
      <c r="F40" s="1800"/>
      <c r="G40" s="1804">
        <f>-'Contracts Paid in CY 29'!G25</f>
        <v>-34535</v>
      </c>
    </row>
    <row r="41" spans="1:7" ht="12" customHeight="1" x14ac:dyDescent="0.2">
      <c r="A41" s="998" t="s">
        <v>156</v>
      </c>
      <c r="B41" s="999"/>
      <c r="C41" s="1000"/>
      <c r="D41" s="1804">
        <f>SUM(D19:D39)</f>
        <v>125572</v>
      </c>
      <c r="E41" s="1804">
        <f>SUM(E19:E40)</f>
        <v>11343769</v>
      </c>
      <c r="F41" s="1804">
        <f>SUM(F19:F39)</f>
        <v>1114341</v>
      </c>
      <c r="G41" s="1804">
        <f>SUM(G19:G40)</f>
        <v>10355000</v>
      </c>
    </row>
    <row r="42" spans="1:7" x14ac:dyDescent="0.2">
      <c r="A42" s="987"/>
      <c r="B42" s="162"/>
      <c r="C42" s="1001"/>
      <c r="D42" s="2291" t="s">
        <v>522</v>
      </c>
      <c r="E42" s="2292"/>
      <c r="F42" s="1002" t="s">
        <v>523</v>
      </c>
      <c r="G42" s="1003"/>
    </row>
    <row r="43" spans="1:7" ht="12" customHeight="1" x14ac:dyDescent="0.2">
      <c r="A43" s="987"/>
      <c r="B43" s="162"/>
      <c r="C43" s="1001"/>
      <c r="D43" s="1805" t="s">
        <v>473</v>
      </c>
      <c r="E43" s="1806">
        <f>D41</f>
        <v>125572</v>
      </c>
      <c r="F43" s="1805" t="s">
        <v>473</v>
      </c>
      <c r="G43" s="1806">
        <f>F41</f>
        <v>1114341</v>
      </c>
    </row>
    <row r="44" spans="1:7" ht="12" customHeight="1" x14ac:dyDescent="0.2">
      <c r="A44" s="987"/>
      <c r="B44" s="162"/>
      <c r="C44" s="1001"/>
      <c r="D44" s="1805" t="s">
        <v>474</v>
      </c>
      <c r="E44" s="1806">
        <f>E41</f>
        <v>11343769</v>
      </c>
      <c r="F44" s="1805" t="s">
        <v>474</v>
      </c>
      <c r="G44" s="1806">
        <f>G41</f>
        <v>10355000</v>
      </c>
    </row>
    <row r="45" spans="1:7" ht="12" customHeight="1" x14ac:dyDescent="0.2">
      <c r="A45" s="987"/>
      <c r="B45" s="162"/>
      <c r="C45" s="162"/>
      <c r="D45" s="1807" t="s">
        <v>1006</v>
      </c>
      <c r="E45" s="1808">
        <f>(E43/E44)</f>
        <v>1.1069689448013266E-2</v>
      </c>
      <c r="F45" s="1807" t="s">
        <v>1006</v>
      </c>
      <c r="G45" s="1808">
        <f>(G43/G44)</f>
        <v>0.10761380975374216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95" bottom="0.55000000000000004" header="0.6" footer="0.3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J31" sqref="J31"/>
      <selection pane="bottomLeft" activeCell="J31" sqref="J3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0" t="s">
        <v>1379</v>
      </c>
      <c r="B1" s="2310"/>
      <c r="C1" s="2310"/>
      <c r="D1" s="2310"/>
      <c r="E1" s="2310"/>
      <c r="F1" s="2310"/>
    </row>
    <row r="2" spans="1:10" x14ac:dyDescent="0.2">
      <c r="A2" s="1884" t="s">
        <v>1908</v>
      </c>
      <c r="B2" s="1845"/>
      <c r="C2" s="1884"/>
      <c r="D2" s="1845"/>
      <c r="E2" s="1845"/>
      <c r="F2" s="1846"/>
    </row>
    <row r="3" spans="1:10" x14ac:dyDescent="0.2">
      <c r="A3" s="1884" t="s">
        <v>1973</v>
      </c>
      <c r="B3" s="1845"/>
      <c r="C3" s="1884"/>
      <c r="D3" s="1845"/>
      <c r="E3" s="1845"/>
      <c r="F3" s="1846"/>
    </row>
    <row r="4" spans="1:10" ht="3.75" customHeight="1" x14ac:dyDescent="0.2">
      <c r="A4" s="1845"/>
      <c r="B4" s="1845"/>
      <c r="C4" s="1845"/>
      <c r="D4" s="1845"/>
      <c r="E4" s="1845"/>
      <c r="F4" s="1846"/>
    </row>
    <row r="5" spans="1:10" ht="15" x14ac:dyDescent="0.25">
      <c r="A5" s="2311" t="s">
        <v>1546</v>
      </c>
      <c r="B5" s="2312"/>
      <c r="C5" s="2313"/>
      <c r="D5" s="2313"/>
      <c r="E5" s="2313"/>
      <c r="F5" s="2313"/>
    </row>
    <row r="6" spans="1:10" ht="12" customHeight="1" x14ac:dyDescent="0.25">
      <c r="A6" s="1847"/>
      <c r="B6" s="1848"/>
      <c r="C6" s="2314" t="str">
        <f>COVER!A17</f>
        <v>Lincoln ESD 27</v>
      </c>
      <c r="D6" s="2314"/>
      <c r="E6" s="2314"/>
      <c r="F6" s="1849"/>
    </row>
    <row r="7" spans="1:10" ht="11.25" customHeight="1" thickBot="1" x14ac:dyDescent="0.3">
      <c r="A7" s="1847"/>
      <c r="B7" s="1848"/>
      <c r="C7" s="2315">
        <f>COVER!A13</f>
        <v>17054027002</v>
      </c>
      <c r="D7" s="2315"/>
      <c r="E7" s="2315"/>
      <c r="F7" s="1849"/>
    </row>
    <row r="8" spans="1:10" ht="25.5" customHeight="1" thickBot="1" x14ac:dyDescent="0.25">
      <c r="A8" s="1890" t="s">
        <v>1904</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2061</v>
      </c>
      <c r="D24" s="1862" t="s">
        <v>2061</v>
      </c>
      <c r="E24" s="1865"/>
      <c r="F24" s="1864" t="s">
        <v>2115</v>
      </c>
      <c r="H24" s="1875">
        <f t="shared" si="0"/>
        <v>5</v>
      </c>
      <c r="I24" s="1875">
        <f t="shared" si="1"/>
        <v>5</v>
      </c>
      <c r="J24" s="1875">
        <f t="shared" si="2"/>
        <v>0</v>
      </c>
    </row>
    <row r="25" spans="1:12" ht="12" customHeight="1" x14ac:dyDescent="0.2">
      <c r="A25" s="1860" t="s">
        <v>1533</v>
      </c>
      <c r="B25" s="1861"/>
      <c r="C25" s="1862" t="s">
        <v>2061</v>
      </c>
      <c r="D25" s="1862" t="s">
        <v>2061</v>
      </c>
      <c r="E25" s="1865"/>
      <c r="F25" s="1864" t="s">
        <v>2116</v>
      </c>
      <c r="H25" s="1875">
        <f t="shared" si="0"/>
        <v>5</v>
      </c>
      <c r="I25" s="1875">
        <f t="shared" si="1"/>
        <v>5</v>
      </c>
      <c r="J25" s="1875">
        <f t="shared" si="2"/>
        <v>0</v>
      </c>
    </row>
    <row r="26" spans="1:12" ht="12" customHeight="1" x14ac:dyDescent="0.2">
      <c r="A26" s="1860" t="s">
        <v>1534</v>
      </c>
      <c r="B26" s="1861"/>
      <c r="C26" s="1862" t="s">
        <v>2061</v>
      </c>
      <c r="D26" s="1862" t="s">
        <v>2061</v>
      </c>
      <c r="E26" s="1865"/>
      <c r="F26" s="1864" t="s">
        <v>2163</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2061</v>
      </c>
      <c r="D28" s="1862" t="s">
        <v>2061</v>
      </c>
      <c r="E28" s="1865"/>
      <c r="F28" s="1864" t="s">
        <v>2117</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2061</v>
      </c>
      <c r="D30" s="1862"/>
      <c r="E30" s="1865"/>
      <c r="F30" s="1864" t="s">
        <v>2118</v>
      </c>
      <c r="H30" s="1875">
        <f t="shared" si="0"/>
        <v>5</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25</v>
      </c>
      <c r="I34" s="1875">
        <f>SUM(I11:I32)</f>
        <v>20</v>
      </c>
      <c r="J34" s="1875">
        <f>SUM(J11:J32)</f>
        <v>0</v>
      </c>
      <c r="K34" s="1875">
        <f>SUM(H34:J34)</f>
        <v>45</v>
      </c>
    </row>
    <row r="35" spans="1:11" ht="12" customHeight="1" x14ac:dyDescent="0.2">
      <c r="A35" s="1868" t="s">
        <v>1392</v>
      </c>
      <c r="B35" s="1869"/>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0"/>
      <c r="B39" s="1870"/>
      <c r="C39" s="1870"/>
      <c r="D39" s="1870"/>
      <c r="E39" s="1870"/>
      <c r="F39" s="1870"/>
    </row>
    <row r="40" spans="1:11" s="1867" customFormat="1" ht="12" customHeight="1" x14ac:dyDescent="0.25">
      <c r="A40" s="1871" t="s">
        <v>1391</v>
      </c>
      <c r="B40" s="1872"/>
      <c r="C40" s="2305"/>
      <c r="D40" s="2305"/>
      <c r="E40" s="2305"/>
      <c r="F40" s="2306"/>
      <c r="H40" s="1876"/>
      <c r="I40" s="1876"/>
      <c r="J40" s="1876"/>
      <c r="K40" s="1876"/>
    </row>
    <row r="41" spans="1:11" s="1867" customFormat="1" ht="12" customHeight="1" x14ac:dyDescent="0.25">
      <c r="A41" s="2307" t="s">
        <v>2119</v>
      </c>
      <c r="B41" s="2308"/>
      <c r="C41" s="2308"/>
      <c r="D41" s="2308"/>
      <c r="E41" s="2308"/>
      <c r="F41" s="2309"/>
      <c r="H41" s="1876"/>
      <c r="I41" s="1876"/>
      <c r="J41" s="1876"/>
      <c r="K41" s="1876"/>
    </row>
    <row r="42" spans="1:11" s="1867" customFormat="1" ht="12" customHeight="1" x14ac:dyDescent="0.25">
      <c r="A42" s="2307"/>
      <c r="B42" s="2308"/>
      <c r="C42" s="2308"/>
      <c r="D42" s="2308"/>
      <c r="E42" s="2308"/>
      <c r="F42" s="2309"/>
      <c r="H42" s="1876"/>
      <c r="I42" s="1876"/>
      <c r="J42" s="1876"/>
      <c r="K42" s="1876"/>
    </row>
    <row r="43" spans="1:11" s="1867" customFormat="1" ht="15" x14ac:dyDescent="0.25">
      <c r="A43" s="2296"/>
      <c r="B43" s="2297"/>
      <c r="C43" s="2297"/>
      <c r="D43" s="2297"/>
      <c r="E43" s="2297"/>
      <c r="F43" s="2298"/>
      <c r="H43" s="1876"/>
      <c r="I43" s="1876"/>
      <c r="J43" s="1876"/>
      <c r="K43" s="1876"/>
    </row>
    <row r="44" spans="1:11" s="1867" customFormat="1" ht="12" hidden="1" customHeight="1" x14ac:dyDescent="0.25">
      <c r="A44" s="2296"/>
      <c r="B44" s="2297"/>
      <c r="C44" s="2297"/>
      <c r="D44" s="2297"/>
      <c r="E44" s="2297"/>
      <c r="F44" s="229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5" right="0.2" top="0.9" bottom="0.37" header="0.48" footer="0.2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31" sqref="J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23" t="str">
        <f>COVER!A17</f>
        <v>Lincoln ESD 27</v>
      </c>
      <c r="J6" s="2324"/>
      <c r="Q6" s="1662"/>
    </row>
    <row r="7" spans="1:17" x14ac:dyDescent="0.2">
      <c r="A7" s="2325" t="s">
        <v>869</v>
      </c>
      <c r="B7" s="2326"/>
      <c r="C7" s="2326"/>
      <c r="D7" s="2326"/>
      <c r="E7" s="2327"/>
      <c r="F7" s="1017"/>
      <c r="G7" s="1009"/>
      <c r="H7" s="1016" t="s">
        <v>372</v>
      </c>
      <c r="I7" s="2328">
        <f>COVER!A13</f>
        <v>17054027002</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1974</v>
      </c>
      <c r="F9" s="1023"/>
      <c r="G9" s="1023"/>
      <c r="H9" s="1893"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234923</v>
      </c>
      <c r="F12" s="1039"/>
      <c r="G12" s="1809">
        <f t="shared" ref="G12:G18" si="0">SUM(E12:F12)</f>
        <v>234923</v>
      </c>
      <c r="H12" s="1040">
        <v>234060</v>
      </c>
      <c r="I12" s="1039"/>
      <c r="J12" s="1809">
        <f t="shared" ref="J12:J18" si="1">SUM(H12:I12)</f>
        <v>234060</v>
      </c>
    </row>
    <row r="13" spans="1:17" ht="15" customHeight="1" x14ac:dyDescent="0.2">
      <c r="A13" s="1035">
        <v>2</v>
      </c>
      <c r="B13" s="1036" t="s">
        <v>42</v>
      </c>
      <c r="C13" s="1037"/>
      <c r="D13" s="1038">
        <v>2330</v>
      </c>
      <c r="E13" s="1809">
        <f>'Expenditures 15-22'!K51</f>
        <v>66934</v>
      </c>
      <c r="F13" s="1039"/>
      <c r="G13" s="1809">
        <f t="shared" si="0"/>
        <v>66934</v>
      </c>
      <c r="H13" s="1040">
        <v>70950</v>
      </c>
      <c r="I13" s="1039"/>
      <c r="J13" s="1809">
        <f t="shared" si="1"/>
        <v>70950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32" t="s">
        <v>7</v>
      </c>
      <c r="C18" s="2333"/>
      <c r="D18" s="2334"/>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301857</v>
      </c>
      <c r="F19" s="1811">
        <f t="shared" si="2"/>
        <v>0</v>
      </c>
      <c r="G19" s="1811">
        <f t="shared" si="2"/>
        <v>301857</v>
      </c>
      <c r="H19" s="1811">
        <f t="shared" si="2"/>
        <v>305010</v>
      </c>
      <c r="I19" s="1811">
        <f t="shared" si="2"/>
        <v>0</v>
      </c>
      <c r="J19" s="1811">
        <f t="shared" si="2"/>
        <v>305010</v>
      </c>
    </row>
    <row r="20" spans="1:10" ht="13.5" thickTop="1" x14ac:dyDescent="0.2">
      <c r="A20" s="1035">
        <v>9</v>
      </c>
      <c r="B20" s="2335" t="s">
        <v>1976</v>
      </c>
      <c r="C20" s="2335"/>
      <c r="D20" s="2336"/>
      <c r="E20" s="1046"/>
      <c r="F20" s="1046"/>
      <c r="G20" s="1046"/>
      <c r="H20" s="1046"/>
      <c r="I20" s="1046"/>
      <c r="J20" s="1812">
        <f>IF(AND(G19&gt;0,J19&gt;0),(((J19-G19)/G19)),"Enter Budget Data")</f>
        <v>1.0445343324819369E-2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1978</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7" top="0.9" bottom="0.38" header="0.4"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7"/>
  <sheetViews>
    <sheetView showGridLines="0" topLeftCell="A16" zoomScale="110" zoomScaleNormal="110" workbookViewId="0">
      <selection activeCell="B34" sqref="B34"/>
    </sheetView>
  </sheetViews>
  <sheetFormatPr defaultRowHeight="12.75" x14ac:dyDescent="0.2"/>
  <cols>
    <col min="1" max="1" width="3" style="329" customWidth="1"/>
    <col min="2" max="2" width="80.140625" style="329" customWidth="1"/>
    <col min="3" max="3" width="11" style="329" customWidth="1"/>
    <col min="4" max="16384" width="9.140625" style="329"/>
  </cols>
  <sheetData>
    <row r="2" spans="1:3" x14ac:dyDescent="0.2">
      <c r="A2" s="389" t="s">
        <v>258</v>
      </c>
    </row>
    <row r="3" spans="1:3" x14ac:dyDescent="0.2">
      <c r="A3" s="329" t="s">
        <v>259</v>
      </c>
    </row>
    <row r="5" spans="1:3" x14ac:dyDescent="0.2">
      <c r="A5" s="1069">
        <v>1</v>
      </c>
      <c r="B5" s="329" t="s">
        <v>2164</v>
      </c>
    </row>
    <row r="6" spans="1:3" ht="13.5" thickBot="1" x14ac:dyDescent="0.25">
      <c r="A6" s="1068"/>
      <c r="B6" s="329" t="s">
        <v>2165</v>
      </c>
      <c r="C6" s="1942">
        <v>624</v>
      </c>
    </row>
    <row r="7" spans="1:3" ht="13.5" thickTop="1" x14ac:dyDescent="0.2">
      <c r="A7" s="1068"/>
      <c r="C7" s="1943"/>
    </row>
    <row r="8" spans="1:3" x14ac:dyDescent="0.2">
      <c r="A8" s="1069">
        <v>2</v>
      </c>
      <c r="B8" s="329" t="s">
        <v>2166</v>
      </c>
    </row>
    <row r="9" spans="1:3" ht="13.5" thickBot="1" x14ac:dyDescent="0.25">
      <c r="A9" s="1069"/>
      <c r="B9" s="329" t="s">
        <v>2167</v>
      </c>
      <c r="C9" s="1942">
        <v>59</v>
      </c>
    </row>
    <row r="10" spans="1:3" ht="13.5" thickTop="1" x14ac:dyDescent="0.2">
      <c r="A10" s="1069"/>
      <c r="C10" s="1943"/>
    </row>
    <row r="11" spans="1:3" x14ac:dyDescent="0.2">
      <c r="A11" s="1069">
        <v>3</v>
      </c>
      <c r="B11" s="329" t="s">
        <v>2168</v>
      </c>
    </row>
    <row r="12" spans="1:3" x14ac:dyDescent="0.2">
      <c r="A12" s="1069"/>
      <c r="B12" s="329" t="s">
        <v>2169</v>
      </c>
      <c r="C12" s="1943">
        <v>66725</v>
      </c>
    </row>
    <row r="13" spans="1:3" x14ac:dyDescent="0.2">
      <c r="A13" s="1069"/>
      <c r="B13" s="329" t="s">
        <v>2170</v>
      </c>
      <c r="C13" s="1946">
        <v>230</v>
      </c>
    </row>
    <row r="14" spans="1:3" ht="13.5" thickBot="1" x14ac:dyDescent="0.25">
      <c r="A14" s="1069"/>
      <c r="B14" s="329" t="s">
        <v>2171</v>
      </c>
      <c r="C14" s="1945">
        <v>66955</v>
      </c>
    </row>
    <row r="15" spans="1:3" ht="13.5" thickTop="1" x14ac:dyDescent="0.2">
      <c r="A15" s="1069"/>
      <c r="C15" s="1943"/>
    </row>
    <row r="16" spans="1:3" x14ac:dyDescent="0.2">
      <c r="A16" s="1069">
        <v>4</v>
      </c>
      <c r="B16" s="329" t="s">
        <v>2172</v>
      </c>
    </row>
    <row r="17" spans="1:3" ht="13.5" thickBot="1" x14ac:dyDescent="0.25">
      <c r="A17" s="1069"/>
      <c r="B17" s="329" t="s">
        <v>2173</v>
      </c>
      <c r="C17" s="1942">
        <v>2179</v>
      </c>
    </row>
    <row r="18" spans="1:3" ht="13.5" thickTop="1" x14ac:dyDescent="0.2">
      <c r="A18" s="1069"/>
      <c r="C18" s="1943"/>
    </row>
    <row r="19" spans="1:3" x14ac:dyDescent="0.2">
      <c r="A19" s="1069">
        <v>5</v>
      </c>
      <c r="B19" s="329" t="s">
        <v>2180</v>
      </c>
      <c r="C19" s="1943"/>
    </row>
    <row r="20" spans="1:3" ht="13.5" thickBot="1" x14ac:dyDescent="0.25">
      <c r="A20" s="1069"/>
      <c r="B20" s="329" t="s">
        <v>2181</v>
      </c>
      <c r="C20" s="1942">
        <v>15300</v>
      </c>
    </row>
    <row r="21" spans="1:3" ht="13.5" thickTop="1" x14ac:dyDescent="0.2">
      <c r="A21" s="1069"/>
    </row>
    <row r="22" spans="1:3" x14ac:dyDescent="0.2">
      <c r="A22" s="1069">
        <v>6</v>
      </c>
      <c r="B22" s="329" t="s">
        <v>2174</v>
      </c>
    </row>
    <row r="23" spans="1:3" x14ac:dyDescent="0.2">
      <c r="A23" s="1069"/>
      <c r="B23" s="329" t="s">
        <v>2175</v>
      </c>
      <c r="C23" s="1944">
        <v>4000</v>
      </c>
    </row>
    <row r="24" spans="1:3" x14ac:dyDescent="0.2">
      <c r="A24" s="1069"/>
      <c r="B24" s="329" t="s">
        <v>2176</v>
      </c>
      <c r="C24" s="1946">
        <v>31109</v>
      </c>
    </row>
    <row r="25" spans="1:3" ht="13.5" thickBot="1" x14ac:dyDescent="0.25">
      <c r="A25" s="1069"/>
      <c r="B25" s="329" t="s">
        <v>2177</v>
      </c>
      <c r="C25" s="1945">
        <v>35109</v>
      </c>
    </row>
    <row r="26" spans="1:3" ht="13.5" thickTop="1" x14ac:dyDescent="0.2">
      <c r="A26" s="1069"/>
    </row>
    <row r="27" spans="1:3" x14ac:dyDescent="0.2">
      <c r="A27" s="1069">
        <v>7</v>
      </c>
      <c r="B27" s="329" t="s">
        <v>2178</v>
      </c>
    </row>
    <row r="28" spans="1:3" ht="13.5" thickBot="1" x14ac:dyDescent="0.25">
      <c r="A28" s="1069"/>
      <c r="B28" s="329" t="s">
        <v>2179</v>
      </c>
      <c r="C28" s="1942">
        <v>500</v>
      </c>
    </row>
    <row r="29" spans="1:3" ht="13.5" thickTop="1" x14ac:dyDescent="0.2">
      <c r="A29" s="1069"/>
    </row>
    <row r="30" spans="1:3" x14ac:dyDescent="0.2">
      <c r="A30" s="1069">
        <v>8</v>
      </c>
      <c r="B30" s="329" t="s">
        <v>2182</v>
      </c>
    </row>
    <row r="31" spans="1:3" ht="13.5" thickBot="1" x14ac:dyDescent="0.25">
      <c r="A31" s="1069"/>
      <c r="B31" s="329" t="s">
        <v>2183</v>
      </c>
      <c r="C31" s="1942">
        <v>68</v>
      </c>
    </row>
    <row r="32" spans="1:3" ht="13.5" thickTop="1" x14ac:dyDescent="0.2">
      <c r="A32" s="1069"/>
    </row>
    <row r="33" spans="1:2" x14ac:dyDescent="0.2">
      <c r="A33" s="1069">
        <v>9</v>
      </c>
      <c r="B33" s="329" t="s">
        <v>2184</v>
      </c>
    </row>
    <row r="34" spans="1:2" x14ac:dyDescent="0.2">
      <c r="A34" s="1069"/>
    </row>
    <row r="35" spans="1:2" x14ac:dyDescent="0.2">
      <c r="A35" s="1069"/>
    </row>
    <row r="36" spans="1:2" x14ac:dyDescent="0.2">
      <c r="A36" s="1069"/>
    </row>
    <row r="37" spans="1:2" x14ac:dyDescent="0.2">
      <c r="A37" s="1069"/>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row>
    <row r="48" spans="1:2"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B66" s="258" t="str">
        <f>COVER!A17</f>
        <v>Lincoln ESD 27</v>
      </c>
    </row>
    <row r="67" spans="1:2" x14ac:dyDescent="0.2">
      <c r="B67" s="1070">
        <f>COVER!A13</f>
        <v>17054027002</v>
      </c>
    </row>
  </sheetData>
  <phoneticPr fontId="14" type="noConversion"/>
  <pageMargins left="0.6" right="0.25" top="0.75"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J31" sqref="J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4" t="s">
        <v>1611</v>
      </c>
    </row>
    <row r="23" spans="1:5" x14ac:dyDescent="0.2">
      <c r="A23" s="168"/>
      <c r="B23" s="162" t="s">
        <v>1853</v>
      </c>
      <c r="D23" s="167" t="s">
        <v>637</v>
      </c>
      <c r="E23" s="1834"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51" right="0.2" top="0.6" bottom="0.52" header="0.14000000000000001" footer="0.17"/>
  <pageSetup scale="7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4" sqref="B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5" right="0.2" top="1" bottom="1" header="0.5" footer="0.5"/>
  <pageSetup scale="82"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1647825</xdr:colOff>
                <xdr:row>2</xdr:row>
                <xdr:rowOff>28575</xdr:rowOff>
              </from>
              <to>
                <xdr:col>1</xdr:col>
                <xdr:colOff>2562225</xdr:colOff>
                <xdr:row>6</xdr:row>
                <xdr:rowOff>66675</xdr:rowOff>
              </to>
            </anchor>
          </objectPr>
        </oleObject>
      </mc:Choice>
      <mc:Fallback>
        <oleObject progId="Acrobat Document" dvAspect="DVASPECT_ICON" shapeId="3584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31" sqref="J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1982</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1983</v>
      </c>
      <c r="B4" s="2363"/>
      <c r="C4" s="2363"/>
      <c r="D4" s="2363"/>
      <c r="E4" s="2363"/>
      <c r="F4" s="2364"/>
      <c r="G4" s="1074"/>
      <c r="H4" s="1074"/>
    </row>
    <row r="5" spans="1:8" ht="14.25" customHeight="1" x14ac:dyDescent="0.2">
      <c r="A5" s="2365" t="s">
        <v>1979</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11865465</v>
      </c>
      <c r="C8" s="1813">
        <f>'Acct Summary 7-8'!D8</f>
        <v>653235</v>
      </c>
      <c r="D8" s="1813">
        <f>'Acct Summary 7-8'!F8</f>
        <v>257149</v>
      </c>
      <c r="E8" s="1813">
        <f>'Acct Summary 7-8'!I8</f>
        <v>12401</v>
      </c>
      <c r="F8" s="1813">
        <f>SUM(B8:E8)</f>
        <v>12788250</v>
      </c>
    </row>
    <row r="9" spans="1:8" s="1079" customFormat="1" ht="14.25" customHeight="1" thickBot="1" x14ac:dyDescent="0.25">
      <c r="A9" s="1078" t="s">
        <v>1369</v>
      </c>
      <c r="B9" s="1814">
        <f>'Acct Summary 7-8'!C17</f>
        <v>11057737</v>
      </c>
      <c r="C9" s="1814">
        <f>'Acct Summary 7-8'!D17</f>
        <v>522151</v>
      </c>
      <c r="D9" s="1814">
        <f>'Acct Summary 7-8'!F17</f>
        <v>263895</v>
      </c>
      <c r="E9" s="1813"/>
      <c r="F9" s="1813">
        <f>SUM(B9:E9)</f>
        <v>11843783</v>
      </c>
    </row>
    <row r="10" spans="1:8" s="1079" customFormat="1" ht="14.25" thickTop="1" thickBot="1" x14ac:dyDescent="0.25">
      <c r="A10" s="1080" t="s">
        <v>1370</v>
      </c>
      <c r="B10" s="1815">
        <f>(B8-B9)</f>
        <v>807728</v>
      </c>
      <c r="C10" s="1815">
        <f>(C8-C9)</f>
        <v>131084</v>
      </c>
      <c r="D10" s="1815">
        <f>(D8-D9)</f>
        <v>-6746</v>
      </c>
      <c r="E10" s="1814">
        <f>(E8-E9)</f>
        <v>12401</v>
      </c>
      <c r="F10" s="1816">
        <f>SUM(F8-F9)</f>
        <v>944467</v>
      </c>
    </row>
    <row r="11" spans="1:8" s="1079" customFormat="1" ht="14.25" thickTop="1" thickBot="1" x14ac:dyDescent="0.25">
      <c r="A11" s="1081" t="s">
        <v>1980</v>
      </c>
      <c r="B11" s="1817">
        <f>'Acct Summary 7-8'!C81</f>
        <v>7082934</v>
      </c>
      <c r="C11" s="1817">
        <f>'Acct Summary 7-8'!D81</f>
        <v>865881</v>
      </c>
      <c r="D11" s="1817">
        <f>'Acct Summary 7-8'!F81</f>
        <v>501766</v>
      </c>
      <c r="E11" s="1817">
        <f>'Acct Summary 7-8'!I81</f>
        <v>1443441</v>
      </c>
      <c r="F11" s="1818">
        <f>SUM(B11:E11)</f>
        <v>9894022</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J31" sqref="J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29'!D25&gt;0,"OK","PLEASE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17054027002</v>
      </c>
    </row>
    <row r="3" spans="1:2" x14ac:dyDescent="0.2">
      <c r="A3" t="s">
        <v>956</v>
      </c>
      <c r="B3" s="138" t="str">
        <f>COVER!A15</f>
        <v>LOGAN</v>
      </c>
    </row>
    <row r="4" spans="1:2" x14ac:dyDescent="0.2">
      <c r="A4" t="s">
        <v>1007</v>
      </c>
      <c r="B4" s="138" t="str">
        <f>COVER!A17</f>
        <v>Lincoln ESD 27</v>
      </c>
    </row>
    <row r="5" spans="1:2" x14ac:dyDescent="0.2">
      <c r="A5" t="s">
        <v>704</v>
      </c>
      <c r="B5" s="138" t="str">
        <f>COVER!A38</f>
        <v>KENT FROEBE</v>
      </c>
    </row>
    <row r="6" spans="1:2" x14ac:dyDescent="0.2">
      <c r="A6" t="s">
        <v>709</v>
      </c>
      <c r="B6" s="138">
        <f>COVER!P35</f>
        <v>0</v>
      </c>
    </row>
    <row r="7" spans="1:2" x14ac:dyDescent="0.2">
      <c r="A7" t="s">
        <v>705</v>
      </c>
      <c r="B7" s="138">
        <f>COVER!I38</f>
        <v>0</v>
      </c>
    </row>
    <row r="8" spans="1:2" x14ac:dyDescent="0.2">
      <c r="A8" t="s">
        <v>706</v>
      </c>
      <c r="B8" s="138" t="str">
        <f>COVER!T38</f>
        <v>MARK JONTRY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066-005243</v>
      </c>
    </row>
    <row r="16" spans="1:2" x14ac:dyDescent="0.2">
      <c r="A16" t="s">
        <v>422</v>
      </c>
      <c r="B16" s="138" t="str">
        <f>COVER!T13</f>
        <v>J.M. ABBOTT &amp; ASSOCIATES, LTD.</v>
      </c>
    </row>
    <row r="17" spans="1:2" x14ac:dyDescent="0.2">
      <c r="A17" t="s">
        <v>884</v>
      </c>
      <c r="B17" s="138" t="str">
        <f>COVER!T15</f>
        <v>DEBRA CURRY</v>
      </c>
    </row>
    <row r="18" spans="1:2" x14ac:dyDescent="0.2">
      <c r="A18" t="s">
        <v>1150</v>
      </c>
      <c r="B18" s="138" t="str">
        <f>COVER!T17</f>
        <v>207 S. MCLEAN ST.</v>
      </c>
    </row>
    <row r="19" spans="1:2" x14ac:dyDescent="0.2">
      <c r="A19" t="s">
        <v>886</v>
      </c>
      <c r="B19" s="138" t="str">
        <f>COVER!T25</f>
        <v>DEB@JMABBOTT.COM</v>
      </c>
    </row>
    <row r="20" spans="1:2" x14ac:dyDescent="0.2">
      <c r="A20" t="s">
        <v>887</v>
      </c>
      <c r="B20" s="138" t="str">
        <f>COVER!T19</f>
        <v>LINCOLN</v>
      </c>
    </row>
    <row r="21" spans="1:2" x14ac:dyDescent="0.2">
      <c r="A21" t="s">
        <v>479</v>
      </c>
      <c r="B21" s="138" t="str">
        <f>COVER!X19</f>
        <v>IL</v>
      </c>
    </row>
    <row r="22" spans="1:2" x14ac:dyDescent="0.2">
      <c r="A22" t="s">
        <v>888</v>
      </c>
      <c r="B22" s="138">
        <f>COVER!Z19</f>
        <v>62656</v>
      </c>
    </row>
    <row r="23" spans="1:2" x14ac:dyDescent="0.2">
      <c r="A23" t="s">
        <v>1152</v>
      </c>
      <c r="B23" s="138" t="str">
        <f>COVER!T21</f>
        <v>217-735-1576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3925361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7084514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1580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1580</v>
      </c>
      <c r="C91" s="2" t="s">
        <v>573</v>
      </c>
      <c r="D91" s="2" t="str">
        <f t="shared" si="0"/>
        <v>Error?</v>
      </c>
    </row>
    <row r="92" spans="1:4" x14ac:dyDescent="0.2">
      <c r="A92" s="5">
        <v>31</v>
      </c>
      <c r="B92" s="138">
        <f>'Assets-Liab 5-6'!C39</f>
        <v>6936095</v>
      </c>
      <c r="D92" s="2" t="str">
        <f t="shared" si="0"/>
        <v>Error?</v>
      </c>
    </row>
    <row r="93" spans="1:4" x14ac:dyDescent="0.2">
      <c r="A93" s="5">
        <v>32</v>
      </c>
      <c r="B93" s="138">
        <f>'Assets-Liab 5-6'!C41</f>
        <v>7084514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215625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865881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865881</v>
      </c>
      <c r="D123" s="2" t="str">
        <f t="shared" si="0"/>
        <v>Error?</v>
      </c>
    </row>
    <row r="124" spans="1:4" x14ac:dyDescent="0.2">
      <c r="A124" s="5">
        <v>63</v>
      </c>
      <c r="B124" s="138">
        <f>'Assets-Liab 5-6'!D41</f>
        <v>865881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4179</v>
      </c>
      <c r="D129" s="2" t="str">
        <f t="shared" si="1"/>
        <v>Error?</v>
      </c>
    </row>
    <row r="130" spans="1:4" x14ac:dyDescent="0.2">
      <c r="A130" s="5">
        <v>69</v>
      </c>
      <c r="B130" s="138">
        <f>'Assets-Liab 5-6'!E12</f>
        <v>0</v>
      </c>
      <c r="D130" s="2" t="str">
        <f t="shared" si="1"/>
        <v>Error?</v>
      </c>
    </row>
    <row r="131" spans="1:4" x14ac:dyDescent="0.2">
      <c r="A131" s="5">
        <v>70</v>
      </c>
      <c r="B131" s="138">
        <f>'Assets-Liab 5-6'!E13</f>
        <v>101910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101910</v>
      </c>
      <c r="D140" s="2" t="str">
        <f t="shared" si="1"/>
        <v>Error?</v>
      </c>
    </row>
    <row r="141" spans="1:4" x14ac:dyDescent="0.2">
      <c r="A141" s="5">
        <v>80</v>
      </c>
      <c r="B141" s="138">
        <f>'Assets-Liab 5-6'!E41</f>
        <v>101910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387964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501766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501766</v>
      </c>
      <c r="D170" s="2" t="str">
        <f t="shared" si="1"/>
        <v>Error?</v>
      </c>
    </row>
    <row r="171" spans="1:4" x14ac:dyDescent="0.2">
      <c r="A171" s="5">
        <v>110</v>
      </c>
      <c r="B171" s="138">
        <f>'Assets-Liab 5-6'!F41</f>
        <v>501766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199640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292800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132926</v>
      </c>
      <c r="D189" s="2" t="str">
        <f t="shared" si="1"/>
        <v>Error?</v>
      </c>
    </row>
    <row r="190" spans="1:4" x14ac:dyDescent="0.2">
      <c r="A190" s="5">
        <v>129</v>
      </c>
      <c r="B190" s="138">
        <f>'Assets-Liab 5-6'!G41</f>
        <v>292800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4469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4469</v>
      </c>
      <c r="D212" s="2" t="str">
        <f t="shared" si="2"/>
        <v>Error?</v>
      </c>
    </row>
    <row r="213" spans="1:4" x14ac:dyDescent="0.2">
      <c r="A213" s="12">
        <v>152</v>
      </c>
      <c r="B213" s="138">
        <f>'Assets-Liab 5-6'!H41</f>
        <v>4469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92931</v>
      </c>
      <c r="D273" s="2" t="str">
        <f t="shared" si="3"/>
        <v>Error?</v>
      </c>
    </row>
    <row r="274" spans="1:4" x14ac:dyDescent="0.2">
      <c r="A274" s="5">
        <v>213</v>
      </c>
      <c r="B274" s="138">
        <f>'Assets-Liab 5-6'!M17</f>
        <v>28859034</v>
      </c>
      <c r="D274" s="2" t="str">
        <f t="shared" si="3"/>
        <v>Error?</v>
      </c>
    </row>
    <row r="275" spans="1:4" x14ac:dyDescent="0.2">
      <c r="A275" s="5">
        <v>214</v>
      </c>
      <c r="B275" s="138">
        <f>'Assets-Liab 5-6'!M18</f>
        <v>4699892</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33651857</v>
      </c>
      <c r="C279" s="2" t="s">
        <v>573</v>
      </c>
      <c r="D279" s="2" t="str">
        <f t="shared" si="3"/>
        <v>Error?</v>
      </c>
    </row>
    <row r="280" spans="1:4" x14ac:dyDescent="0.2">
      <c r="A280" s="5">
        <v>219</v>
      </c>
      <c r="B280" s="138">
        <f>'Assets-Liab 5-6'!M40</f>
        <v>33651857</v>
      </c>
      <c r="D280" s="2" t="str">
        <f t="shared" si="3"/>
        <v>Error?</v>
      </c>
    </row>
    <row r="281" spans="1:4" x14ac:dyDescent="0.2">
      <c r="A281" s="5">
        <v>220</v>
      </c>
      <c r="B281" s="138">
        <f>'Assets-Liab 5-6'!M41</f>
        <v>33651857</v>
      </c>
      <c r="C281" s="2" t="s">
        <v>573</v>
      </c>
      <c r="D281" s="2" t="str">
        <f t="shared" si="3"/>
        <v>Error?</v>
      </c>
    </row>
    <row r="282" spans="1:4" x14ac:dyDescent="0.2">
      <c r="A282" s="5">
        <v>221</v>
      </c>
      <c r="B282" s="138">
        <f>'Assets-Liab 5-6'!N21</f>
        <v>101910</v>
      </c>
      <c r="D282" s="2" t="str">
        <f t="shared" si="3"/>
        <v>Error?</v>
      </c>
    </row>
    <row r="283" spans="1:4" x14ac:dyDescent="0.2">
      <c r="A283" s="5">
        <v>222</v>
      </c>
      <c r="B283" s="138">
        <f>'Assets-Liab 5-6'!N22</f>
        <v>8628090</v>
      </c>
      <c r="D283" s="2" t="str">
        <f t="shared" si="3"/>
        <v>Error?</v>
      </c>
    </row>
    <row r="284" spans="1:4" x14ac:dyDescent="0.2">
      <c r="A284" s="5">
        <v>223</v>
      </c>
      <c r="B284" s="138">
        <f>'Assets-Liab 5-6'!N23</f>
        <v>8730000</v>
      </c>
      <c r="C284" s="2" t="s">
        <v>573</v>
      </c>
      <c r="D284" s="2" t="str">
        <f t="shared" si="3"/>
        <v>Error?</v>
      </c>
    </row>
    <row r="285" spans="1:4" x14ac:dyDescent="0.2">
      <c r="A285" s="5">
        <v>224</v>
      </c>
      <c r="B285" s="138">
        <f>'Assets-Liab 5-6'!N36</f>
        <v>8730000</v>
      </c>
      <c r="D285" s="2" t="str">
        <f t="shared" si="3"/>
        <v>Error?</v>
      </c>
    </row>
    <row r="286" spans="1:4" x14ac:dyDescent="0.2">
      <c r="A286" s="10">
        <v>225</v>
      </c>
      <c r="D286" s="2" t="str">
        <f t="shared" si="3"/>
        <v>OK</v>
      </c>
    </row>
    <row r="287" spans="1:4" x14ac:dyDescent="0.2">
      <c r="A287" s="5">
        <v>226</v>
      </c>
      <c r="B287" s="138">
        <f>'Assets-Liab 5-6'!N37</f>
        <v>8730000</v>
      </c>
      <c r="C287" s="2" t="s">
        <v>573</v>
      </c>
      <c r="D287" s="2" t="str">
        <f t="shared" si="3"/>
        <v>Error?</v>
      </c>
    </row>
    <row r="288" spans="1:4" x14ac:dyDescent="0.2">
      <c r="A288" s="5">
        <v>227</v>
      </c>
      <c r="B288" s="138">
        <f>'Assets-Liab 5-6'!N41</f>
        <v>8730000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3494321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79233</v>
      </c>
      <c r="D718" s="2" t="str">
        <f t="shared" si="10"/>
        <v>Error?</v>
      </c>
    </row>
    <row r="719" spans="1:4" x14ac:dyDescent="0.2">
      <c r="A719" s="5">
        <v>658</v>
      </c>
      <c r="B719" s="138">
        <f>'Expenditures 15-22'!C15</f>
        <v>3624</v>
      </c>
      <c r="D719" s="2" t="str">
        <f t="shared" si="10"/>
        <v>Error?</v>
      </c>
    </row>
    <row r="720" spans="1:4" x14ac:dyDescent="0.2">
      <c r="A720" s="5">
        <v>659</v>
      </c>
      <c r="B720" s="138">
        <f>'Expenditures 15-22'!C33</f>
        <v>5443312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135410</v>
      </c>
      <c r="D722" s="2" t="str">
        <f t="shared" si="10"/>
        <v>Error?</v>
      </c>
    </row>
    <row r="723" spans="1:4" x14ac:dyDescent="0.2">
      <c r="A723" s="5">
        <v>662</v>
      </c>
      <c r="B723" s="138">
        <f>'Expenditures 15-22'!C38</f>
        <v>50640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213812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399862</v>
      </c>
      <c r="C727" s="2" t="s">
        <v>573</v>
      </c>
      <c r="D727" s="2" t="str">
        <f t="shared" si="10"/>
        <v>Error?</v>
      </c>
    </row>
    <row r="728" spans="1:4" x14ac:dyDescent="0.2">
      <c r="A728" s="5">
        <v>667</v>
      </c>
      <c r="B728" s="138">
        <f>'Expenditures 15-22'!C44</f>
        <v>213834</v>
      </c>
      <c r="D728" s="2" t="str">
        <f t="shared" si="10"/>
        <v>Error?</v>
      </c>
    </row>
    <row r="729" spans="1:4" x14ac:dyDescent="0.2">
      <c r="A729" s="5">
        <v>668</v>
      </c>
      <c r="B729" s="138">
        <f>'Expenditures 15-22'!C45</f>
        <v>72975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286809</v>
      </c>
      <c r="C731" s="2" t="s">
        <v>573</v>
      </c>
      <c r="D731" s="2" t="str">
        <f t="shared" si="10"/>
        <v>Error?</v>
      </c>
    </row>
    <row r="732" spans="1:4" x14ac:dyDescent="0.2">
      <c r="A732" s="5">
        <v>671</v>
      </c>
      <c r="B732" s="138">
        <f>'Expenditures 15-22'!C49</f>
        <v>5973</v>
      </c>
      <c r="D732" s="2" t="str">
        <f t="shared" si="10"/>
        <v>Error?</v>
      </c>
    </row>
    <row r="733" spans="1:4" x14ac:dyDescent="0.2">
      <c r="A733" s="5">
        <v>672</v>
      </c>
      <c r="B733" s="138">
        <f>'Expenditures 15-22'!C50</f>
        <v>176052</v>
      </c>
      <c r="D733" s="2" t="str">
        <f t="shared" si="10"/>
        <v>Error?</v>
      </c>
    </row>
    <row r="734" spans="1:4" x14ac:dyDescent="0.2">
      <c r="A734" s="5">
        <v>673</v>
      </c>
      <c r="B734" s="138">
        <f>'Expenditures 15-22'!C53</f>
        <v>234206</v>
      </c>
      <c r="C734" s="2" t="s">
        <v>573</v>
      </c>
      <c r="D734" s="2" t="str">
        <f t="shared" si="10"/>
        <v>Error?</v>
      </c>
    </row>
    <row r="735" spans="1:4" x14ac:dyDescent="0.2">
      <c r="A735" s="5">
        <v>674</v>
      </c>
      <c r="B735" s="138">
        <f>'Expenditures 15-22'!C55</f>
        <v>457941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457941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88546</v>
      </c>
      <c r="D739" s="2" t="str">
        <f t="shared" si="10"/>
        <v>Error?</v>
      </c>
    </row>
    <row r="740" spans="1:4" x14ac:dyDescent="0.2">
      <c r="A740" s="5">
        <v>679</v>
      </c>
      <c r="B740" s="138">
        <f>'Expenditures 15-22'!C61</f>
        <v>343577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228450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660573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2039391</v>
      </c>
      <c r="C755" s="2" t="s">
        <v>573</v>
      </c>
      <c r="D755" s="2" t="str">
        <f t="shared" si="10"/>
        <v>Error?</v>
      </c>
    </row>
    <row r="756" spans="1:4" x14ac:dyDescent="0.2">
      <c r="A756" s="5">
        <v>695</v>
      </c>
      <c r="B756" s="138">
        <f>'Expenditures 15-22'!C75</f>
        <v>9698</v>
      </c>
      <c r="D756" s="2" t="str">
        <f t="shared" si="10"/>
        <v>Error?</v>
      </c>
    </row>
    <row r="757" spans="1:4" x14ac:dyDescent="0.2">
      <c r="A757" s="5">
        <v>696</v>
      </c>
      <c r="B757" s="138">
        <f>'Expenditures 15-22'!C114</f>
        <v>7492401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992963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12018</v>
      </c>
      <c r="D776" s="2" t="str">
        <f t="shared" si="11"/>
        <v>Error?</v>
      </c>
    </row>
    <row r="777" spans="1:4" x14ac:dyDescent="0.2">
      <c r="A777" s="5">
        <v>716</v>
      </c>
      <c r="B777" s="138">
        <f>'Expenditures 15-22'!D15</f>
        <v>358</v>
      </c>
      <c r="D777" s="2" t="str">
        <f t="shared" si="11"/>
        <v>Error?</v>
      </c>
    </row>
    <row r="778" spans="1:4" x14ac:dyDescent="0.2">
      <c r="A778" s="5">
        <v>717</v>
      </c>
      <c r="B778" s="138">
        <f>'Expenditures 15-22'!D33</f>
        <v>1372700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36681</v>
      </c>
      <c r="D780" s="2" t="str">
        <f t="shared" si="11"/>
        <v>Error?</v>
      </c>
    </row>
    <row r="781" spans="1:4" x14ac:dyDescent="0.2">
      <c r="A781" s="5">
        <v>720</v>
      </c>
      <c r="B781" s="138">
        <f>'Expenditures 15-22'!D38</f>
        <v>9285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64016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109982</v>
      </c>
      <c r="C785" s="2" t="s">
        <v>573</v>
      </c>
      <c r="D785" s="2" t="str">
        <f t="shared" si="11"/>
        <v>Error?</v>
      </c>
    </row>
    <row r="786" spans="1:4" x14ac:dyDescent="0.2">
      <c r="A786" s="5">
        <v>725</v>
      </c>
      <c r="B786" s="138">
        <f>'Expenditures 15-22'!D44</f>
        <v>68339</v>
      </c>
      <c r="D786" s="2" t="str">
        <f t="shared" si="11"/>
        <v>Error?</v>
      </c>
    </row>
    <row r="787" spans="1:4" x14ac:dyDescent="0.2">
      <c r="A787" s="5">
        <v>726</v>
      </c>
      <c r="B787" s="138">
        <f>'Expenditures 15-22'!D45</f>
        <v>161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68500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57996</v>
      </c>
      <c r="D791" s="2" t="str">
        <f t="shared" si="11"/>
        <v>Error?</v>
      </c>
    </row>
    <row r="792" spans="1:4" x14ac:dyDescent="0.2">
      <c r="A792" s="5">
        <v>731</v>
      </c>
      <c r="B792" s="138">
        <f>'Expenditures 15-22'!D53</f>
        <v>67657</v>
      </c>
      <c r="C792" s="2" t="s">
        <v>573</v>
      </c>
      <c r="D792" s="2" t="str">
        <f t="shared" si="11"/>
        <v>Error?</v>
      </c>
    </row>
    <row r="793" spans="1:4" x14ac:dyDescent="0.2">
      <c r="A793" s="5">
        <v>732</v>
      </c>
      <c r="B793" s="138">
        <f>'Expenditures 15-22'!D55</f>
        <v>124605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124605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9741</v>
      </c>
      <c r="D797" s="2" t="str">
        <f t="shared" si="11"/>
        <v>Error?</v>
      </c>
    </row>
    <row r="798" spans="1:4" x14ac:dyDescent="0.2">
      <c r="A798" s="5">
        <v>737</v>
      </c>
      <c r="B798" s="138">
        <f>'Expenditures 15-22'!D61</f>
        <v>71170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38669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119580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490324</v>
      </c>
      <c r="C813" s="2" t="s">
        <v>573</v>
      </c>
      <c r="D813" s="2" t="str">
        <f t="shared" si="11"/>
        <v>Error?</v>
      </c>
    </row>
    <row r="814" spans="1:4" x14ac:dyDescent="0.2">
      <c r="A814" s="5">
        <v>753</v>
      </c>
      <c r="B814" s="138">
        <f>'Expenditures 15-22'!D75</f>
        <v>727</v>
      </c>
      <c r="D814" s="2" t="str">
        <f t="shared" si="11"/>
        <v>Error?</v>
      </c>
    </row>
    <row r="815" spans="1:4" x14ac:dyDescent="0.2">
      <c r="A815" s="5">
        <v>754</v>
      </c>
      <c r="B815" s="138">
        <f>'Expenditures 15-22'!D114</f>
        <v>1863751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183672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10267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217496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487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550</v>
      </c>
      <c r="C843" s="2" t="s">
        <v>573</v>
      </c>
      <c r="D843" s="2" t="str">
        <f t="shared" si="12"/>
        <v>Error?</v>
      </c>
    </row>
    <row r="844" spans="1:4" x14ac:dyDescent="0.2">
      <c r="A844" s="5">
        <v>783</v>
      </c>
      <c r="B844" s="138">
        <f>'Expenditures 15-22'!E44</f>
        <v>67465</v>
      </c>
      <c r="D844" s="2" t="str">
        <f t="shared" si="12"/>
        <v>Error?</v>
      </c>
    </row>
    <row r="845" spans="1:4" x14ac:dyDescent="0.2">
      <c r="A845" s="5">
        <v>784</v>
      </c>
      <c r="B845" s="138">
        <f>'Expenditures 15-22'!E45</f>
        <v>4734</v>
      </c>
      <c r="D845" s="2" t="str">
        <f t="shared" si="12"/>
        <v>Error?</v>
      </c>
    </row>
    <row r="846" spans="1:4" x14ac:dyDescent="0.2">
      <c r="A846" s="5">
        <v>785</v>
      </c>
      <c r="B846" s="138">
        <f>'Expenditures 15-22'!E46</f>
        <v>22595</v>
      </c>
      <c r="D846" s="2" t="str">
        <f t="shared" si="12"/>
        <v>Error?</v>
      </c>
    </row>
    <row r="847" spans="1:4" x14ac:dyDescent="0.2">
      <c r="A847" s="5">
        <v>786</v>
      </c>
      <c r="B847" s="138">
        <f>'Expenditures 15-22'!E47</f>
        <v>94794</v>
      </c>
      <c r="C847" s="2" t="s">
        <v>573</v>
      </c>
      <c r="D847" s="2" t="str">
        <f t="shared" si="12"/>
        <v>Error?</v>
      </c>
    </row>
    <row r="848" spans="1:4" x14ac:dyDescent="0.2">
      <c r="A848" s="5">
        <v>787</v>
      </c>
      <c r="B848" s="138">
        <f>'Expenditures 15-22'!E49</f>
        <v>174881</v>
      </c>
      <c r="D848" s="2" t="str">
        <f t="shared" si="12"/>
        <v>Error?</v>
      </c>
    </row>
    <row r="849" spans="1:4" x14ac:dyDescent="0.2">
      <c r="A849" s="5">
        <v>788</v>
      </c>
      <c r="B849" s="138">
        <f>'Expenditures 15-22'!E50</f>
        <v>664</v>
      </c>
      <c r="D849" s="2" t="str">
        <f t="shared" si="12"/>
        <v>Error?</v>
      </c>
    </row>
    <row r="850" spans="1:4" x14ac:dyDescent="0.2">
      <c r="A850" s="5">
        <v>789</v>
      </c>
      <c r="B850" s="138">
        <f>'Expenditures 15-22'!E53</f>
        <v>177376</v>
      </c>
      <c r="C850" s="2" t="s">
        <v>573</v>
      </c>
      <c r="D850" s="2" t="str">
        <f t="shared" si="12"/>
        <v>Error?</v>
      </c>
    </row>
    <row r="851" spans="1:4" x14ac:dyDescent="0.2">
      <c r="A851" s="5">
        <v>790</v>
      </c>
      <c r="B851" s="138">
        <f>'Expenditures 15-22'!E55</f>
        <v>326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10100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22243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32343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75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806</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881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306270</v>
      </c>
      <c r="C871" s="2" t="s">
        <v>573</v>
      </c>
      <c r="D871" s="2" t="str">
        <f t="shared" si="12"/>
        <v>Error?</v>
      </c>
    </row>
    <row r="872" spans="1:4" x14ac:dyDescent="0.2">
      <c r="A872" s="5">
        <v>811</v>
      </c>
      <c r="B872" s="138">
        <f>'Expenditures 15-22'!E75</f>
        <v>16623</v>
      </c>
      <c r="D872" s="2" t="str">
        <f t="shared" si="12"/>
        <v>Error?</v>
      </c>
    </row>
    <row r="873" spans="1:4" x14ac:dyDescent="0.2">
      <c r="A873" s="5">
        <v>812</v>
      </c>
      <c r="B873" s="138">
        <f>'Expenditures 15-22'!E114</f>
        <v>814424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124954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1077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194673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150</v>
      </c>
      <c r="D896" s="2" t="str">
        <f t="shared" si="13"/>
        <v>Error?</v>
      </c>
    </row>
    <row r="897" spans="1:4" x14ac:dyDescent="0.2">
      <c r="A897" s="5">
        <v>836</v>
      </c>
      <c r="B897" s="138">
        <f>'Expenditures 15-22'!F38</f>
        <v>646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796</v>
      </c>
      <c r="C901" s="2" t="s">
        <v>573</v>
      </c>
      <c r="D901" s="2" t="str">
        <f t="shared" si="13"/>
        <v>Error?</v>
      </c>
    </row>
    <row r="902" spans="1:4" x14ac:dyDescent="0.2">
      <c r="A902" s="5">
        <v>841</v>
      </c>
      <c r="B902" s="138">
        <f>'Expenditures 15-22'!F44</f>
        <v>3842</v>
      </c>
      <c r="D902" s="2" t="str">
        <f t="shared" si="13"/>
        <v>Error?</v>
      </c>
    </row>
    <row r="903" spans="1:4" x14ac:dyDescent="0.2">
      <c r="A903" s="5">
        <v>842</v>
      </c>
      <c r="B903" s="138">
        <f>'Expenditures 15-22'!F45</f>
        <v>25340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29182</v>
      </c>
      <c r="C905" s="2" t="s">
        <v>573</v>
      </c>
      <c r="D905" s="2" t="str">
        <f t="shared" si="13"/>
        <v>Error?</v>
      </c>
    </row>
    <row r="906" spans="1:4" x14ac:dyDescent="0.2">
      <c r="A906" s="5">
        <v>845</v>
      </c>
      <c r="B906" s="138">
        <f>'Expenditures 15-22'!F49</f>
        <v>2865</v>
      </c>
      <c r="D906" s="2" t="str">
        <f t="shared" si="13"/>
        <v>Error?</v>
      </c>
    </row>
    <row r="907" spans="1:4" x14ac:dyDescent="0.2">
      <c r="A907" s="5">
        <v>846</v>
      </c>
      <c r="B907" s="138">
        <f>'Expenditures 15-22'!F50</f>
        <v>211</v>
      </c>
      <c r="D907" s="2" t="str">
        <f t="shared" si="13"/>
        <v>Error?</v>
      </c>
    </row>
    <row r="908" spans="1:4" x14ac:dyDescent="0.2">
      <c r="A908" s="5">
        <v>847</v>
      </c>
      <c r="B908" s="138">
        <f>'Expenditures 15-22'!F53</f>
        <v>3232</v>
      </c>
      <c r="C908" s="2" t="s">
        <v>573</v>
      </c>
      <c r="D908" s="2" t="str">
        <f t="shared" si="13"/>
        <v>Error?</v>
      </c>
    </row>
    <row r="909" spans="1:4" x14ac:dyDescent="0.2">
      <c r="A909" s="5">
        <v>848</v>
      </c>
      <c r="B909" s="138">
        <f>'Expenditures 15-22'!F55</f>
        <v>438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291</v>
      </c>
      <c r="D913" s="2" t="str">
        <f t="shared" si="13"/>
        <v>Error?</v>
      </c>
    </row>
    <row r="914" spans="1:4" x14ac:dyDescent="0.2">
      <c r="A914" s="5">
        <v>853</v>
      </c>
      <c r="B914" s="138">
        <f>'Expenditures 15-22'!F61</f>
        <v>23864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358121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382276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700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700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416624</v>
      </c>
      <c r="C929" s="2" t="s">
        <v>573</v>
      </c>
      <c r="D929" s="2" t="str">
        <f t="shared" si="13"/>
        <v>Error?</v>
      </c>
    </row>
    <row r="930" spans="1:4" x14ac:dyDescent="0.2">
      <c r="A930" s="5">
        <v>869</v>
      </c>
      <c r="B930" s="138">
        <f>'Expenditures 15-22'!F75</f>
        <v>8539</v>
      </c>
      <c r="D930" s="2" t="str">
        <f t="shared" si="13"/>
        <v>Error?</v>
      </c>
    </row>
    <row r="931" spans="1:4" x14ac:dyDescent="0.2">
      <c r="A931" s="5">
        <v>870</v>
      </c>
      <c r="B931" s="138">
        <f>'Expenditures 15-22'!F114</f>
        <v>619836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15735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46219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2400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2400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9133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9133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11533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57752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2841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190064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16404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19509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19509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209573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4811721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105436</v>
      </c>
      <c r="C1106" s="2" t="s">
        <v>573</v>
      </c>
      <c r="D1106" s="2" t="str">
        <f t="shared" si="16"/>
        <v>Error?</v>
      </c>
    </row>
    <row r="1107" spans="1:4" x14ac:dyDescent="0.2">
      <c r="A1107" s="5">
        <v>1046</v>
      </c>
      <c r="B1107" s="138">
        <f>'Expenditures 15-22'!K15</f>
        <v>3982</v>
      </c>
      <c r="C1107" s="2" t="s">
        <v>573</v>
      </c>
      <c r="D1107" s="2" t="str">
        <f t="shared" si="16"/>
        <v>Error?</v>
      </c>
    </row>
    <row r="1108" spans="1:4" x14ac:dyDescent="0.2">
      <c r="A1108" s="5">
        <v>1047</v>
      </c>
      <c r="B1108" s="138">
        <f>'Expenditures 15-22'!K33</f>
        <v>7464464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172241</v>
      </c>
      <c r="C1110" s="2" t="s">
        <v>573</v>
      </c>
      <c r="D1110" s="2" t="str">
        <f t="shared" si="16"/>
        <v>Error?</v>
      </c>
    </row>
    <row r="1111" spans="1:4" x14ac:dyDescent="0.2">
      <c r="A1111" s="5">
        <v>1050</v>
      </c>
      <c r="B1111" s="138">
        <f>'Expenditures 15-22'!K38</f>
        <v>60634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278315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511190</v>
      </c>
      <c r="C1115" s="2" t="s">
        <v>573</v>
      </c>
      <c r="D1115" s="2" t="str">
        <f t="shared" si="16"/>
        <v>Error?</v>
      </c>
    </row>
    <row r="1116" spans="1:4" x14ac:dyDescent="0.2">
      <c r="A1116" s="5">
        <v>1055</v>
      </c>
      <c r="B1116" s="138">
        <f>'Expenditures 15-22'!K44</f>
        <v>353480</v>
      </c>
      <c r="C1116" s="2" t="s">
        <v>573</v>
      </c>
      <c r="D1116" s="2" t="str">
        <f t="shared" si="16"/>
        <v>Error?</v>
      </c>
    </row>
    <row r="1117" spans="1:4" x14ac:dyDescent="0.2">
      <c r="A1117" s="5">
        <v>1056</v>
      </c>
      <c r="B1117" s="138">
        <f>'Expenditures 15-22'!K45</f>
        <v>105610</v>
      </c>
      <c r="C1117" s="2" t="s">
        <v>573</v>
      </c>
      <c r="D1117" s="2" t="str">
        <f t="shared" si="16"/>
        <v>Error?</v>
      </c>
    </row>
    <row r="1118" spans="1:4" x14ac:dyDescent="0.2">
      <c r="A1118" s="5">
        <v>1057</v>
      </c>
      <c r="B1118" s="138">
        <f>'Expenditures 15-22'!K46</f>
        <v>22595</v>
      </c>
      <c r="C1118" s="2" t="s">
        <v>573</v>
      </c>
      <c r="D1118" s="2" t="str">
        <f t="shared" si="16"/>
        <v>Error?</v>
      </c>
    </row>
    <row r="1119" spans="1:4" x14ac:dyDescent="0.2">
      <c r="A1119" s="5">
        <v>1058</v>
      </c>
      <c r="B1119" s="138">
        <f>'Expenditures 15-22'!K47</f>
        <v>481685</v>
      </c>
      <c r="C1119" s="2" t="s">
        <v>573</v>
      </c>
      <c r="D1119" s="2" t="str">
        <f t="shared" si="16"/>
        <v>Error?</v>
      </c>
    </row>
    <row r="1120" spans="1:4" x14ac:dyDescent="0.2">
      <c r="A1120" s="5">
        <v>1059</v>
      </c>
      <c r="B1120" s="138">
        <f>'Expenditures 15-22'!K49</f>
        <v>200123</v>
      </c>
      <c r="C1120" s="2" t="s">
        <v>573</v>
      </c>
      <c r="D1120" s="2" t="str">
        <f t="shared" si="16"/>
        <v>Error?</v>
      </c>
    </row>
    <row r="1121" spans="1:4" x14ac:dyDescent="0.2">
      <c r="A1121" s="5">
        <v>1060</v>
      </c>
      <c r="B1121" s="138">
        <f>'Expenditures 15-22'!K50</f>
        <v>234923</v>
      </c>
      <c r="C1121" s="2" t="s">
        <v>573</v>
      </c>
      <c r="D1121" s="2" t="str">
        <f t="shared" si="16"/>
        <v>Error?</v>
      </c>
    </row>
    <row r="1122" spans="1:4" x14ac:dyDescent="0.2">
      <c r="A1122" s="5">
        <v>1061</v>
      </c>
      <c r="B1122" s="138">
        <f>'Expenditures 15-22'!K53</f>
        <v>501980</v>
      </c>
      <c r="C1122" s="2" t="s">
        <v>573</v>
      </c>
      <c r="D1122" s="2" t="str">
        <f t="shared" si="16"/>
        <v>Error?</v>
      </c>
    </row>
    <row r="1123" spans="1:4" x14ac:dyDescent="0.2">
      <c r="A1123" s="5">
        <v>1062</v>
      </c>
      <c r="B1123" s="138">
        <f>'Expenditures 15-22'!K55</f>
        <v>583310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583310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108678</v>
      </c>
      <c r="C1127" s="2" t="s">
        <v>573</v>
      </c>
      <c r="D1127" s="2" t="str">
        <f t="shared" si="16"/>
        <v>Error?</v>
      </c>
    </row>
    <row r="1128" spans="1:4" x14ac:dyDescent="0.2">
      <c r="A1128" s="5">
        <v>1067</v>
      </c>
      <c r="B1128" s="138">
        <f>'Expenditures 15-22'!K61</f>
        <v>438611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656616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1203905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775</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806</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1581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3283651</v>
      </c>
      <c r="C1143" s="2" t="s">
        <v>573</v>
      </c>
      <c r="D1143" s="2" t="str">
        <f t="shared" si="16"/>
        <v>Error?</v>
      </c>
    </row>
    <row r="1144" spans="1:4" x14ac:dyDescent="0.2">
      <c r="A1144" s="5">
        <v>1083</v>
      </c>
      <c r="B1144" s="138">
        <f>'Expenditures 15-22'!K75</f>
        <v>35587</v>
      </c>
      <c r="C1144" s="2" t="s">
        <v>573</v>
      </c>
      <c r="D1144" s="2" t="str">
        <f t="shared" si="16"/>
        <v>Error?</v>
      </c>
    </row>
    <row r="1145" spans="1:4" x14ac:dyDescent="0.2">
      <c r="A1145" s="5">
        <v>1084</v>
      </c>
      <c r="B1145" s="138">
        <f>'Expenditures 15-22'!K102</f>
        <v>274035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11057737</v>
      </c>
      <c r="C1152" s="2" t="s">
        <v>573</v>
      </c>
      <c r="D1152" s="2" t="str">
        <f t="shared" si="17"/>
        <v>Error?</v>
      </c>
    </row>
    <row r="1153" spans="1:4" x14ac:dyDescent="0.2">
      <c r="A1153" s="5">
        <v>1092</v>
      </c>
      <c r="B1153" s="138">
        <f>'Expenditures 15-22'!K115</f>
        <v>807728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156920</v>
      </c>
      <c r="D1237" s="2" t="str">
        <f t="shared" si="18"/>
        <v>Error?</v>
      </c>
    </row>
    <row r="1238" spans="1:4" x14ac:dyDescent="0.2">
      <c r="A1238" s="10">
        <v>1177</v>
      </c>
      <c r="D1238" s="2" t="str">
        <f t="shared" si="18"/>
        <v>OK</v>
      </c>
    </row>
    <row r="1239" spans="1:4" x14ac:dyDescent="0.2">
      <c r="A1239" s="5">
        <v>1178</v>
      </c>
      <c r="B1239" s="138">
        <f>'Expenditures 15-22'!E127</f>
        <v>156920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156920</v>
      </c>
      <c r="C1241" s="2" t="s">
        <v>573</v>
      </c>
      <c r="D1241" s="2" t="str">
        <f t="shared" si="18"/>
        <v>Error?</v>
      </c>
    </row>
    <row r="1242" spans="1:4" x14ac:dyDescent="0.2">
      <c r="A1242" s="5">
        <v>1181</v>
      </c>
      <c r="B1242" s="138">
        <f>'Expenditures 15-22'!E151</f>
        <v>156920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335184</v>
      </c>
      <c r="D1245" s="2" t="str">
        <f t="shared" si="18"/>
        <v>Error?</v>
      </c>
    </row>
    <row r="1246" spans="1:4" x14ac:dyDescent="0.2">
      <c r="A1246" s="10">
        <v>1185</v>
      </c>
      <c r="D1246" s="2" t="str">
        <f t="shared" si="18"/>
        <v>OK</v>
      </c>
    </row>
    <row r="1247" spans="1:4" x14ac:dyDescent="0.2">
      <c r="A1247" s="5">
        <v>1186</v>
      </c>
      <c r="B1247" s="138">
        <f>'Expenditures 15-22'!F127</f>
        <v>335184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335184</v>
      </c>
      <c r="C1249" s="2" t="s">
        <v>573</v>
      </c>
      <c r="D1249" s="2" t="str">
        <f t="shared" si="18"/>
        <v>Error?</v>
      </c>
    </row>
    <row r="1250" spans="1:4" x14ac:dyDescent="0.2">
      <c r="A1250" s="5">
        <v>1189</v>
      </c>
      <c r="B1250" s="138">
        <f>'Expenditures 15-22'!F151</f>
        <v>335184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30047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30047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30047</v>
      </c>
      <c r="C1258" s="2" t="s">
        <v>573</v>
      </c>
      <c r="D1258" s="2" t="str">
        <f t="shared" si="18"/>
        <v>Error?</v>
      </c>
    </row>
    <row r="1259" spans="1:4" x14ac:dyDescent="0.2">
      <c r="A1259" s="5">
        <v>1198</v>
      </c>
      <c r="B1259" s="138">
        <f>'Expenditures 15-22'!G151</f>
        <v>30047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522151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522151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522151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522151</v>
      </c>
      <c r="C1288" s="2" t="s">
        <v>573</v>
      </c>
      <c r="D1288" s="2" t="str">
        <f t="shared" si="19"/>
        <v>Error?</v>
      </c>
    </row>
    <row r="1289" spans="1:4" x14ac:dyDescent="0.2">
      <c r="A1289" s="5">
        <v>1228</v>
      </c>
      <c r="B1289" s="138">
        <f>'Expenditures 15-22'!K152</f>
        <v>131084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421383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275000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696883</v>
      </c>
      <c r="C1317" s="2" t="s">
        <v>573</v>
      </c>
      <c r="D1317" s="2" t="str">
        <f t="shared" si="19"/>
        <v>Error?</v>
      </c>
    </row>
    <row r="1318" spans="1:4" x14ac:dyDescent="0.2">
      <c r="A1318" s="5">
        <v>1257</v>
      </c>
      <c r="B1318" s="138">
        <f>'Expenditures 15-22'!H174</f>
        <v>696883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421383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275000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696883</v>
      </c>
      <c r="C1331" s="2" t="s">
        <v>573</v>
      </c>
      <c r="D1331" s="2" t="str">
        <f t="shared" si="19"/>
        <v>Error?</v>
      </c>
    </row>
    <row r="1332" spans="1:4" x14ac:dyDescent="0.2">
      <c r="A1332" s="5">
        <v>1271</v>
      </c>
      <c r="B1332" s="138">
        <f>'Expenditures 15-22'!K174</f>
        <v>696883</v>
      </c>
      <c r="C1332" s="2" t="s">
        <v>573</v>
      </c>
      <c r="D1332" s="2" t="str">
        <f t="shared" si="19"/>
        <v>Error?</v>
      </c>
    </row>
    <row r="1333" spans="1:4" x14ac:dyDescent="0.2">
      <c r="A1333" s="5">
        <v>1272</v>
      </c>
      <c r="B1333" s="138">
        <f>'Expenditures 15-22'!K175</f>
        <v>-154037</v>
      </c>
      <c r="C1333" s="2" t="s">
        <v>573</v>
      </c>
      <c r="D1333" s="2" t="str">
        <f t="shared" si="19"/>
        <v>Error?</v>
      </c>
    </row>
    <row r="1334" spans="1:4" x14ac:dyDescent="0.2">
      <c r="A1334" s="10">
        <v>1273</v>
      </c>
      <c r="D1334" s="2" t="str">
        <f t="shared" si="19"/>
        <v>OK</v>
      </c>
    </row>
    <row r="1335" spans="1:4" x14ac:dyDescent="0.2">
      <c r="A1335" s="5">
        <v>1274</v>
      </c>
      <c r="B1335" s="138">
        <f>'Expenditures 15-22'!C182</f>
        <v>17462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17462</v>
      </c>
      <c r="C1339" s="2" t="s">
        <v>573</v>
      </c>
      <c r="D1339" s="2" t="str">
        <f t="shared" si="19"/>
        <v>Error?</v>
      </c>
    </row>
    <row r="1340" spans="1:4" x14ac:dyDescent="0.2">
      <c r="A1340" s="5">
        <v>1279</v>
      </c>
      <c r="B1340" s="138">
        <f>'Expenditures 15-22'!C210</f>
        <v>17462</v>
      </c>
      <c r="C1340" s="2" t="s">
        <v>573</v>
      </c>
      <c r="D1340" s="2" t="str">
        <f t="shared" si="19"/>
        <v>Error?</v>
      </c>
    </row>
    <row r="1341" spans="1:4" x14ac:dyDescent="0.2">
      <c r="A1341" s="5">
        <v>1280</v>
      </c>
      <c r="B1341" s="138">
        <f>'Expenditures 15-22'!D182</f>
        <v>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v>
      </c>
      <c r="C1345" s="2" t="s">
        <v>573</v>
      </c>
      <c r="D1345" s="2" t="str">
        <f t="shared" si="20"/>
        <v>Error?</v>
      </c>
    </row>
    <row r="1346" spans="1:4" x14ac:dyDescent="0.2">
      <c r="A1346" s="5">
        <v>1285</v>
      </c>
      <c r="B1346" s="138">
        <f>'Expenditures 15-22'!D210</f>
        <v>29</v>
      </c>
      <c r="C1346" s="2" t="s">
        <v>573</v>
      </c>
      <c r="D1346" s="2" t="str">
        <f t="shared" si="20"/>
        <v>Error?</v>
      </c>
    </row>
    <row r="1347" spans="1:4" x14ac:dyDescent="0.2">
      <c r="A1347" s="5">
        <v>1286</v>
      </c>
      <c r="B1347" s="138">
        <f>'Expenditures 15-22'!E182</f>
        <v>225947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225947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225947</v>
      </c>
      <c r="C1353" s="2" t="s">
        <v>573</v>
      </c>
      <c r="D1353" s="2" t="str">
        <f t="shared" si="20"/>
        <v>Error?</v>
      </c>
    </row>
    <row r="1354" spans="1:4" x14ac:dyDescent="0.2">
      <c r="A1354" s="5">
        <v>1293</v>
      </c>
      <c r="B1354" s="138">
        <f>'Expenditures 15-22'!F182</f>
        <v>20389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20389</v>
      </c>
      <c r="C1358" s="2" t="s">
        <v>573</v>
      </c>
      <c r="D1358" s="2" t="str">
        <f t="shared" si="20"/>
        <v>Error?</v>
      </c>
    </row>
    <row r="1359" spans="1:4" x14ac:dyDescent="0.2">
      <c r="A1359" s="5">
        <v>1298</v>
      </c>
      <c r="B1359" s="138">
        <f>'Expenditures 15-22'!F210</f>
        <v>20389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68</v>
      </c>
      <c r="C1376" s="2" t="s">
        <v>573</v>
      </c>
      <c r="D1376" s="2" t="str">
        <f t="shared" si="20"/>
        <v>Error?</v>
      </c>
    </row>
    <row r="1377" spans="1:4" x14ac:dyDescent="0.2">
      <c r="A1377" s="5">
        <v>1316</v>
      </c>
      <c r="B1377" s="138">
        <f>'Expenditures 15-22'!K182</f>
        <v>263827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263827</v>
      </c>
      <c r="C1381" s="2" t="s">
        <v>573</v>
      </c>
      <c r="D1381" s="2" t="str">
        <f t="shared" si="20"/>
        <v>Error?</v>
      </c>
    </row>
    <row r="1382" spans="1:4" x14ac:dyDescent="0.2">
      <c r="A1382" s="5">
        <v>1321</v>
      </c>
      <c r="B1382" s="138">
        <f>'Expenditures 15-22'!K196</f>
        <v>68</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263895</v>
      </c>
      <c r="C1388" s="2" t="s">
        <v>573</v>
      </c>
      <c r="D1388" s="2" t="str">
        <f t="shared" si="20"/>
        <v>Error?</v>
      </c>
    </row>
    <row r="1389" spans="1:4" x14ac:dyDescent="0.2">
      <c r="A1389" s="5">
        <v>1328</v>
      </c>
      <c r="B1389" s="138">
        <f>'Expenditures 15-22'!K211</f>
        <v>-6746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2947</v>
      </c>
      <c r="D1408" s="2" t="str">
        <f t="shared" si="21"/>
        <v>Error?</v>
      </c>
    </row>
    <row r="1409" spans="1:4" x14ac:dyDescent="0.2">
      <c r="A1409" s="5">
        <v>1348</v>
      </c>
      <c r="B1409" s="138">
        <f>'Expenditures 15-22'!D224</f>
        <v>53</v>
      </c>
      <c r="D1409" s="2" t="str">
        <f t="shared" si="21"/>
        <v>Error?</v>
      </c>
    </row>
    <row r="1410" spans="1:4" x14ac:dyDescent="0.2">
      <c r="A1410" s="5">
        <v>1349</v>
      </c>
      <c r="B1410" s="138">
        <f>'Expenditures 15-22'!D229</f>
        <v>200217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1941</v>
      </c>
      <c r="D1412" s="2" t="str">
        <f t="shared" si="21"/>
        <v>Error?</v>
      </c>
    </row>
    <row r="1413" spans="1:4" x14ac:dyDescent="0.2">
      <c r="A1413" s="5">
        <v>1352</v>
      </c>
      <c r="B1413" s="138">
        <f>'Expenditures 15-22'!D234</f>
        <v>9619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2951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14511</v>
      </c>
      <c r="C1417" s="2" t="s">
        <v>573</v>
      </c>
      <c r="D1417" s="2" t="str">
        <f t="shared" si="21"/>
        <v>Error?</v>
      </c>
    </row>
    <row r="1418" spans="1:4" x14ac:dyDescent="0.2">
      <c r="A1418" s="5">
        <v>1357</v>
      </c>
      <c r="B1418" s="138">
        <f>'Expenditures 15-22'!D240</f>
        <v>3030</v>
      </c>
      <c r="D1418" s="2" t="str">
        <f t="shared" si="21"/>
        <v>Error?</v>
      </c>
    </row>
    <row r="1419" spans="1:4" x14ac:dyDescent="0.2">
      <c r="A1419" s="5">
        <v>1358</v>
      </c>
      <c r="B1419" s="138">
        <f>'Expenditures 15-22'!D241</f>
        <v>13950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16980</v>
      </c>
      <c r="C1421" s="2" t="s">
        <v>573</v>
      </c>
      <c r="D1421" s="2" t="str">
        <f t="shared" si="21"/>
        <v>Error?</v>
      </c>
    </row>
    <row r="1422" spans="1:4" x14ac:dyDescent="0.2">
      <c r="A1422" s="5">
        <v>1361</v>
      </c>
      <c r="B1422" s="138">
        <f>'Expenditures 15-22'!D245</f>
        <v>457</v>
      </c>
      <c r="D1422" s="2" t="str">
        <f t="shared" si="21"/>
        <v>Error?</v>
      </c>
    </row>
    <row r="1423" spans="1:4" x14ac:dyDescent="0.2">
      <c r="A1423" s="5">
        <v>1362</v>
      </c>
      <c r="B1423" s="138">
        <f>'Expenditures 15-22'!D246</f>
        <v>9807</v>
      </c>
      <c r="D1423" s="2" t="str">
        <f t="shared" si="21"/>
        <v>Error?</v>
      </c>
    </row>
    <row r="1424" spans="1:4" x14ac:dyDescent="0.2">
      <c r="A1424" s="5">
        <v>1363</v>
      </c>
      <c r="B1424" s="138">
        <f>'Expenditures 15-22'!D257</f>
        <v>19817</v>
      </c>
      <c r="C1424" s="2" t="s">
        <v>573</v>
      </c>
      <c r="D1424" s="2" t="str">
        <f t="shared" si="21"/>
        <v>Error?</v>
      </c>
    </row>
    <row r="1425" spans="1:4" x14ac:dyDescent="0.2">
      <c r="A1425" s="5">
        <v>1364</v>
      </c>
      <c r="B1425" s="138">
        <f>'Expenditures 15-22'!D259</f>
        <v>25993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25993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16894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64941</v>
      </c>
      <c r="D1431" s="2" t="str">
        <f t="shared" si="21"/>
        <v>Error?</v>
      </c>
    </row>
    <row r="1432" spans="1:4" x14ac:dyDescent="0.2">
      <c r="A1432" s="5">
        <v>1371</v>
      </c>
      <c r="B1432" s="138">
        <f>'Expenditures 15-22'!D267</f>
        <v>3314</v>
      </c>
      <c r="D1432" s="2" t="str">
        <f t="shared" si="21"/>
        <v>Error?</v>
      </c>
    </row>
    <row r="1433" spans="1:4" x14ac:dyDescent="0.2">
      <c r="A1433" s="5">
        <v>1372</v>
      </c>
      <c r="B1433" s="138">
        <f>'Expenditures 15-22'!D268</f>
        <v>39128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124277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201578</v>
      </c>
      <c r="C1446" s="2" t="s">
        <v>573</v>
      </c>
      <c r="D1446" s="2" t="str">
        <f t="shared" si="21"/>
        <v>Error?</v>
      </c>
    </row>
    <row r="1447" spans="1:4" x14ac:dyDescent="0.2">
      <c r="A1447" s="5">
        <v>1386</v>
      </c>
      <c r="B1447" s="138">
        <f>'Expenditures 15-22'!D280</f>
        <v>564</v>
      </c>
      <c r="D1447" s="2" t="str">
        <f t="shared" si="21"/>
        <v>Error?</v>
      </c>
    </row>
    <row r="1448" spans="1:4" x14ac:dyDescent="0.2">
      <c r="A1448" s="5">
        <v>1387</v>
      </c>
      <c r="B1448" s="138">
        <f>'Expenditures 15-22'!D295</f>
        <v>402359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2947</v>
      </c>
      <c r="C1472" s="2" t="s">
        <v>573</v>
      </c>
      <c r="D1472" s="2" t="str">
        <f t="shared" si="22"/>
        <v>Error?</v>
      </c>
    </row>
    <row r="1473" spans="1:4" x14ac:dyDescent="0.2">
      <c r="A1473" s="5">
        <v>1412</v>
      </c>
      <c r="B1473" s="138">
        <f>'Expenditures 15-22'!K224</f>
        <v>53</v>
      </c>
      <c r="C1473" s="2" t="s">
        <v>573</v>
      </c>
      <c r="D1473" s="2" t="str">
        <f t="shared" si="22"/>
        <v>Error?</v>
      </c>
    </row>
    <row r="1474" spans="1:4" x14ac:dyDescent="0.2">
      <c r="A1474" s="5">
        <v>1413</v>
      </c>
      <c r="B1474" s="138">
        <f>'Expenditures 15-22'!K229</f>
        <v>200217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1941</v>
      </c>
      <c r="C1476" s="2" t="s">
        <v>573</v>
      </c>
      <c r="D1476" s="2" t="str">
        <f t="shared" si="22"/>
        <v>Error?</v>
      </c>
    </row>
    <row r="1477" spans="1:4" x14ac:dyDescent="0.2">
      <c r="A1477" s="5">
        <v>1416</v>
      </c>
      <c r="B1477" s="138">
        <f>'Expenditures 15-22'!K234</f>
        <v>9619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2951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14511</v>
      </c>
      <c r="C1481" s="2" t="s">
        <v>573</v>
      </c>
      <c r="D1481" s="2" t="str">
        <f t="shared" si="22"/>
        <v>Error?</v>
      </c>
    </row>
    <row r="1482" spans="1:4" x14ac:dyDescent="0.2">
      <c r="A1482" s="5">
        <v>1421</v>
      </c>
      <c r="B1482" s="138">
        <f>'Expenditures 15-22'!K240</f>
        <v>3030</v>
      </c>
      <c r="C1482" s="2" t="s">
        <v>573</v>
      </c>
      <c r="D1482" s="2" t="str">
        <f t="shared" si="22"/>
        <v>Error?</v>
      </c>
    </row>
    <row r="1483" spans="1:4" x14ac:dyDescent="0.2">
      <c r="A1483" s="5">
        <v>1422</v>
      </c>
      <c r="B1483" s="138">
        <f>'Expenditures 15-22'!K241</f>
        <v>13950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16980</v>
      </c>
      <c r="C1485" s="2" t="s">
        <v>573</v>
      </c>
      <c r="D1485" s="2" t="str">
        <f t="shared" si="22"/>
        <v>Error?</v>
      </c>
    </row>
    <row r="1486" spans="1:4" x14ac:dyDescent="0.2">
      <c r="A1486" s="5">
        <v>1425</v>
      </c>
      <c r="B1486" s="138">
        <f>'Expenditures 15-22'!K245</f>
        <v>457</v>
      </c>
      <c r="C1486" s="2" t="s">
        <v>573</v>
      </c>
      <c r="D1486" s="2" t="str">
        <f t="shared" si="22"/>
        <v>Error?</v>
      </c>
    </row>
    <row r="1487" spans="1:4" x14ac:dyDescent="0.2">
      <c r="A1487" s="5">
        <v>1426</v>
      </c>
      <c r="B1487" s="138">
        <f>'Expenditures 15-22'!K246</f>
        <v>9807</v>
      </c>
      <c r="C1487" s="2" t="s">
        <v>573</v>
      </c>
      <c r="D1487" s="2" t="str">
        <f t="shared" si="22"/>
        <v>Error?</v>
      </c>
    </row>
    <row r="1488" spans="1:4" x14ac:dyDescent="0.2">
      <c r="A1488" s="5">
        <v>1427</v>
      </c>
      <c r="B1488" s="138">
        <f>'Expenditures 15-22'!K257</f>
        <v>19817</v>
      </c>
      <c r="C1488" s="2" t="s">
        <v>573</v>
      </c>
      <c r="D1488" s="2" t="str">
        <f t="shared" si="22"/>
        <v>Error?</v>
      </c>
    </row>
    <row r="1489" spans="1:4" x14ac:dyDescent="0.2">
      <c r="A1489" s="5">
        <v>1428</v>
      </c>
      <c r="B1489" s="138">
        <f>'Expenditures 15-22'!K259</f>
        <v>25993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25993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16894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64941</v>
      </c>
      <c r="C1495" s="2" t="s">
        <v>573</v>
      </c>
      <c r="D1495" s="2" t="str">
        <f t="shared" si="22"/>
        <v>Error?</v>
      </c>
    </row>
    <row r="1496" spans="1:4" x14ac:dyDescent="0.2">
      <c r="A1496" s="5">
        <v>1435</v>
      </c>
      <c r="B1496" s="138">
        <f>'Expenditures 15-22'!K267</f>
        <v>3314</v>
      </c>
      <c r="C1496" s="2" t="s">
        <v>573</v>
      </c>
      <c r="D1496" s="2" t="str">
        <f t="shared" si="22"/>
        <v>Error?</v>
      </c>
    </row>
    <row r="1497" spans="1:4" x14ac:dyDescent="0.2">
      <c r="A1497" s="5">
        <v>1436</v>
      </c>
      <c r="B1497" s="138">
        <f>'Expenditures 15-22'!K268</f>
        <v>39128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124277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201578</v>
      </c>
      <c r="C1510" s="2" t="s">
        <v>573</v>
      </c>
      <c r="D1510" s="2" t="str">
        <f t="shared" si="22"/>
        <v>Error?</v>
      </c>
    </row>
    <row r="1511" spans="1:4" x14ac:dyDescent="0.2">
      <c r="A1511" s="5">
        <v>1450</v>
      </c>
      <c r="B1511" s="138">
        <f>'Expenditures 15-22'!K280</f>
        <v>564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402359</v>
      </c>
      <c r="C1517" s="2" t="s">
        <v>573</v>
      </c>
      <c r="D1517" s="2" t="str">
        <f t="shared" si="22"/>
        <v>Error?</v>
      </c>
    </row>
    <row r="1518" spans="1:4" x14ac:dyDescent="0.2">
      <c r="A1518" s="5">
        <v>1457</v>
      </c>
      <c r="B1518" s="138">
        <f>'Expenditures 15-22'!K296</f>
        <v>239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2044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2044</v>
      </c>
      <c r="C1547" s="2" t="s">
        <v>573</v>
      </c>
      <c r="D1547" s="2" t="str">
        <f t="shared" si="23"/>
        <v>Error?</v>
      </c>
    </row>
    <row r="1548" spans="1:4" x14ac:dyDescent="0.2">
      <c r="A1548" s="5">
        <v>1487</v>
      </c>
      <c r="B1548" s="138">
        <f>'Expenditures 15-22'!G312</f>
        <v>2044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2044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2044</v>
      </c>
      <c r="C1559" s="2" t="s">
        <v>573</v>
      </c>
      <c r="D1559" s="2" t="str">
        <f t="shared" si="23"/>
        <v>Error?</v>
      </c>
    </row>
    <row r="1560" spans="1:4" x14ac:dyDescent="0.2">
      <c r="A1560" s="5">
        <v>1499</v>
      </c>
      <c r="B1560" s="138">
        <f>'Expenditures 15-22'!K312</f>
        <v>2044</v>
      </c>
      <c r="C1560" s="2" t="s">
        <v>573</v>
      </c>
      <c r="D1560" s="2" t="str">
        <f t="shared" si="23"/>
        <v>Error?</v>
      </c>
    </row>
    <row r="1561" spans="1:4" x14ac:dyDescent="0.2">
      <c r="A1561" s="5">
        <v>1500</v>
      </c>
      <c r="B1561" s="138">
        <f>'Expenditures 15-22'!K313</f>
        <v>-2036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6274606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7082934</v>
      </c>
      <c r="C1630" s="2" t="s">
        <v>573</v>
      </c>
      <c r="D1630" s="2" t="str">
        <f t="shared" si="24"/>
        <v>Error?</v>
      </c>
    </row>
    <row r="1631" spans="1:4" x14ac:dyDescent="0.2">
      <c r="A1631" s="5">
        <v>1570</v>
      </c>
      <c r="B1631" s="138">
        <f>'Acct Summary 7-8'!D79</f>
        <v>894797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865881</v>
      </c>
      <c r="C1644" s="2" t="s">
        <v>573</v>
      </c>
      <c r="D1644" s="2" t="str">
        <f t="shared" si="24"/>
        <v>Error?</v>
      </c>
    </row>
    <row r="1645" spans="1:4" x14ac:dyDescent="0.2">
      <c r="A1645" s="5">
        <v>1584</v>
      </c>
      <c r="B1645" s="138">
        <f>'Acct Summary 7-8'!E79</f>
        <v>95947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101910</v>
      </c>
      <c r="C1658" s="2" t="s">
        <v>573</v>
      </c>
      <c r="D1658" s="2" t="str">
        <f t="shared" si="24"/>
        <v>Error?</v>
      </c>
    </row>
    <row r="1659" spans="1:4" x14ac:dyDescent="0.2">
      <c r="A1659" s="5">
        <v>1598</v>
      </c>
      <c r="B1659" s="138">
        <f>'Acct Summary 7-8'!F79</f>
        <v>508512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501766</v>
      </c>
      <c r="C1672" s="2" t="s">
        <v>573</v>
      </c>
      <c r="D1672" s="2" t="str">
        <f t="shared" si="25"/>
        <v>Error?</v>
      </c>
    </row>
    <row r="1673" spans="1:4" x14ac:dyDescent="0.2">
      <c r="A1673" s="5">
        <v>1612</v>
      </c>
      <c r="B1673" s="138">
        <f>'Acct Summary 7-8'!G79</f>
        <v>292561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292800</v>
      </c>
      <c r="C1686" s="2" t="s">
        <v>573</v>
      </c>
      <c r="D1686" s="2" t="str">
        <f t="shared" si="25"/>
        <v>Error?</v>
      </c>
    </row>
    <row r="1687" spans="1:4" x14ac:dyDescent="0.2">
      <c r="A1687" s="5">
        <v>1626</v>
      </c>
      <c r="B1687" s="138">
        <f>'Acct Summary 7-8'!H79</f>
        <v>6505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4469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3165942</v>
      </c>
      <c r="C1744" s="2" t="s">
        <v>573</v>
      </c>
      <c r="D1744" s="2" t="str">
        <f t="shared" si="26"/>
        <v>Error?</v>
      </c>
    </row>
    <row r="1745" spans="1:5" x14ac:dyDescent="0.2">
      <c r="A1745" s="5">
        <v>1684</v>
      </c>
      <c r="B1745" s="138">
        <f>'Tax Sched 23'!B5</f>
        <v>406708</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102426</v>
      </c>
      <c r="C1747" s="2" t="s">
        <v>573</v>
      </c>
      <c r="D1747" s="2" t="str">
        <f t="shared" si="26"/>
        <v>Error?</v>
      </c>
    </row>
    <row r="1748" spans="1:5" x14ac:dyDescent="0.2">
      <c r="A1748" s="5">
        <v>1687</v>
      </c>
      <c r="B1748" s="138">
        <f>'Tax Sched 23'!B8</f>
        <v>152646</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57798</v>
      </c>
      <c r="C1753" s="2" t="s">
        <v>573</v>
      </c>
      <c r="D1753" s="2" t="str">
        <f t="shared" si="26"/>
        <v>Error?</v>
      </c>
    </row>
    <row r="1754" spans="1:5" x14ac:dyDescent="0.2">
      <c r="A1754" s="5">
        <v>1693</v>
      </c>
      <c r="B1754" s="138">
        <f>'Tax Sched 23'!B14</f>
        <v>22659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4060825</v>
      </c>
      <c r="C1759" s="2" t="s">
        <v>573</v>
      </c>
      <c r="D1759" s="2" t="str">
        <f t="shared" si="26"/>
        <v>Error?</v>
      </c>
    </row>
    <row r="1760" spans="1:5" x14ac:dyDescent="0.2">
      <c r="A1760" s="5">
        <v>1699</v>
      </c>
      <c r="B1760" s="138">
        <f>'Tax Sched 23'!D4</f>
        <v>3165942</v>
      </c>
      <c r="C1760" s="2" t="s">
        <v>573</v>
      </c>
      <c r="D1760" s="2" t="str">
        <f t="shared" si="26"/>
        <v>Error?</v>
      </c>
    </row>
    <row r="1761" spans="1:5" x14ac:dyDescent="0.2">
      <c r="A1761" s="5">
        <v>1700</v>
      </c>
      <c r="B1761" s="138">
        <f>'Tax Sched 23'!D5</f>
        <v>406708</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102426</v>
      </c>
      <c r="C1763" s="2" t="s">
        <v>573</v>
      </c>
      <c r="D1763" s="2" t="str">
        <f t="shared" si="26"/>
        <v>Error?</v>
      </c>
    </row>
    <row r="1764" spans="1:5" x14ac:dyDescent="0.2">
      <c r="A1764" s="5">
        <v>1703</v>
      </c>
      <c r="B1764" s="138">
        <f>'Tax Sched 23'!D8</f>
        <v>152646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57798</v>
      </c>
      <c r="C1769" s="2" t="s">
        <v>573</v>
      </c>
      <c r="D1769" s="2" t="str">
        <f t="shared" si="26"/>
        <v>Error?</v>
      </c>
    </row>
    <row r="1770" spans="1:5" x14ac:dyDescent="0.2">
      <c r="A1770" s="5">
        <v>1709</v>
      </c>
      <c r="B1770" s="138">
        <f>'Tax Sched 23'!D14</f>
        <v>22659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4060825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3275507</v>
      </c>
      <c r="C1792" s="2" t="s">
        <v>573</v>
      </c>
      <c r="D1792" s="2" t="str">
        <f t="shared" si="27"/>
        <v>Error?</v>
      </c>
    </row>
    <row r="1793" spans="1:4" x14ac:dyDescent="0.2">
      <c r="A1793" s="5">
        <v>1732</v>
      </c>
      <c r="B1793" s="138">
        <f>'Tax Sched 23'!F5</f>
        <v>425501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105009</v>
      </c>
      <c r="C1795" s="2" t="s">
        <v>573</v>
      </c>
      <c r="D1795" s="2" t="str">
        <f t="shared" si="27"/>
        <v>Error?</v>
      </c>
    </row>
    <row r="1796" spans="1:4" x14ac:dyDescent="0.2">
      <c r="A1796" s="5">
        <v>1735</v>
      </c>
      <c r="B1796" s="138">
        <f>'Tax Sched 23'!F8</f>
        <v>150003</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45006</v>
      </c>
      <c r="C1801" s="2" t="s">
        <v>573</v>
      </c>
      <c r="D1801" s="2" t="str">
        <f t="shared" si="27"/>
        <v>Error?</v>
      </c>
    </row>
    <row r="1802" spans="1:4" x14ac:dyDescent="0.2">
      <c r="A1802" s="5">
        <v>1741</v>
      </c>
      <c r="B1802" s="138">
        <f>'Tax Sched 23'!F14</f>
        <v>23007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4174036</v>
      </c>
      <c r="C1807" s="2" t="s">
        <v>573</v>
      </c>
      <c r="D1807" s="2" t="str">
        <f t="shared" si="27"/>
        <v>Error?</v>
      </c>
    </row>
    <row r="1808" spans="1:4" x14ac:dyDescent="0.2">
      <c r="A1808" s="5">
        <v>1747</v>
      </c>
      <c r="B1808" s="138">
        <f>'Tax Sched 23'!E4</f>
        <v>3275507</v>
      </c>
      <c r="D1808" s="2" t="str">
        <f t="shared" si="27"/>
        <v>Error?</v>
      </c>
    </row>
    <row r="1809" spans="1:4" x14ac:dyDescent="0.2">
      <c r="A1809" s="5">
        <v>1748</v>
      </c>
      <c r="B1809" s="138">
        <f>'Tax Sched 23'!E5</f>
        <v>425501</v>
      </c>
      <c r="D1809" s="2" t="str">
        <f t="shared" si="27"/>
        <v>Error?</v>
      </c>
    </row>
    <row r="1810" spans="1:4" x14ac:dyDescent="0.2">
      <c r="A1810" s="5">
        <v>1749</v>
      </c>
      <c r="B1810" s="138">
        <f>'Tax Sched 23'!E6</f>
        <v>0</v>
      </c>
      <c r="D1810" s="2" t="str">
        <f t="shared" si="27"/>
        <v>Error?</v>
      </c>
    </row>
    <row r="1811" spans="1:4" x14ac:dyDescent="0.2">
      <c r="A1811" s="5">
        <v>1750</v>
      </c>
      <c r="B1811" s="138">
        <f>'Tax Sched 23'!E7</f>
        <v>105009</v>
      </c>
      <c r="D1811" s="2" t="str">
        <f t="shared" si="27"/>
        <v>Error?</v>
      </c>
    </row>
    <row r="1812" spans="1:4" x14ac:dyDescent="0.2">
      <c r="A1812" s="5">
        <v>1751</v>
      </c>
      <c r="B1812" s="138">
        <f>'Tax Sched 23'!E8</f>
        <v>150003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45006</v>
      </c>
      <c r="D1817" s="2" t="str">
        <f t="shared" si="27"/>
        <v>Error?</v>
      </c>
    </row>
    <row r="1818" spans="1:4" x14ac:dyDescent="0.2">
      <c r="A1818" s="5">
        <v>1757</v>
      </c>
      <c r="B1818" s="138">
        <f>'Tax Sched 23'!E14</f>
        <v>23007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4174036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9005000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22659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22659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22659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92931</v>
      </c>
      <c r="D2008" s="2" t="str">
        <f t="shared" si="30"/>
        <v>Error?</v>
      </c>
    </row>
    <row r="2009" spans="1:4" x14ac:dyDescent="0.2">
      <c r="A2009" s="5">
        <v>1948</v>
      </c>
      <c r="B2009" s="138">
        <f>'Cap Outlay Deprec 26'!C8</f>
        <v>28348286</v>
      </c>
      <c r="D2009" s="2" t="str">
        <f t="shared" si="30"/>
        <v>Error?</v>
      </c>
    </row>
    <row r="2010" spans="1:4" x14ac:dyDescent="0.2">
      <c r="A2010" s="5">
        <v>1949</v>
      </c>
      <c r="B2010" s="138">
        <f>'Cap Outlay Deprec 26'!C10</f>
        <v>444537</v>
      </c>
      <c r="D2010" s="2" t="str">
        <f t="shared" si="30"/>
        <v>Error?</v>
      </c>
    </row>
    <row r="2011" spans="1:4" x14ac:dyDescent="0.2">
      <c r="A2011" s="5">
        <v>1950</v>
      </c>
      <c r="B2011" s="138">
        <f>'Cap Outlay Deprec 26'!C12</f>
        <v>4429621</v>
      </c>
      <c r="D2011" s="2" t="str">
        <f t="shared" si="30"/>
        <v>Error?</v>
      </c>
    </row>
    <row r="2012" spans="1:4" x14ac:dyDescent="0.2">
      <c r="A2012" s="5">
        <v>1951</v>
      </c>
      <c r="B2012" s="138">
        <f>'Cap Outlay Deprec 26'!C13</f>
        <v>190086</v>
      </c>
      <c r="D2012" s="2" t="str">
        <f t="shared" si="30"/>
        <v>Error?</v>
      </c>
    </row>
    <row r="2013" spans="1:4" x14ac:dyDescent="0.2">
      <c r="A2013" s="5">
        <v>1952</v>
      </c>
      <c r="B2013" s="138">
        <f>'Cap Outlay Deprec 26'!C16</f>
        <v>33511785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60446</v>
      </c>
      <c r="D2015" s="2" t="str">
        <f t="shared" si="30"/>
        <v>Error?</v>
      </c>
    </row>
    <row r="2016" spans="1:4" x14ac:dyDescent="0.2">
      <c r="A2016" s="5">
        <v>1955</v>
      </c>
      <c r="B2016" s="138">
        <f>'Cap Outlay Deprec 26'!D10</f>
        <v>5765</v>
      </c>
      <c r="D2016" s="2" t="str">
        <f t="shared" si="30"/>
        <v>Error?</v>
      </c>
    </row>
    <row r="2017" spans="1:4" x14ac:dyDescent="0.2">
      <c r="A2017" s="5">
        <v>1956</v>
      </c>
      <c r="B2017" s="138">
        <f>'Cap Outlay Deprec 26'!D12</f>
        <v>49879</v>
      </c>
      <c r="D2017" s="2" t="str">
        <f t="shared" si="30"/>
        <v>Error?</v>
      </c>
    </row>
    <row r="2018" spans="1:4" x14ac:dyDescent="0.2">
      <c r="A2018" s="5">
        <v>1957</v>
      </c>
      <c r="B2018" s="138">
        <f>'Cap Outlay Deprec 26'!D13</f>
        <v>23982</v>
      </c>
      <c r="D2018" s="2" t="str">
        <f t="shared" si="30"/>
        <v>Error?</v>
      </c>
    </row>
    <row r="2019" spans="1:4" x14ac:dyDescent="0.2">
      <c r="A2019" s="5">
        <v>1958</v>
      </c>
      <c r="B2019" s="138">
        <f>'Cap Outlay Deprec 26'!D16</f>
        <v>140072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92931</v>
      </c>
      <c r="C2026" s="2" t="s">
        <v>573</v>
      </c>
      <c r="D2026" s="2" t="str">
        <f t="shared" si="30"/>
        <v>Error?</v>
      </c>
    </row>
    <row r="2027" spans="1:4" x14ac:dyDescent="0.2">
      <c r="A2027" s="5">
        <v>1966</v>
      </c>
      <c r="B2027" s="138">
        <f>'Cap Outlay Deprec 26'!F8</f>
        <v>28408732</v>
      </c>
      <c r="C2027" s="2" t="s">
        <v>573</v>
      </c>
      <c r="D2027" s="2" t="str">
        <f t="shared" si="30"/>
        <v>Error?</v>
      </c>
    </row>
    <row r="2028" spans="1:4" x14ac:dyDescent="0.2">
      <c r="A2028" s="5">
        <v>1967</v>
      </c>
      <c r="B2028" s="138">
        <f>'Cap Outlay Deprec 26'!F10</f>
        <v>450302</v>
      </c>
      <c r="C2028" s="2" t="s">
        <v>573</v>
      </c>
      <c r="D2028" s="2" t="str">
        <f t="shared" si="30"/>
        <v>Error?</v>
      </c>
    </row>
    <row r="2029" spans="1:4" x14ac:dyDescent="0.2">
      <c r="A2029" s="5">
        <v>1968</v>
      </c>
      <c r="B2029" s="138">
        <f>'Cap Outlay Deprec 26'!F12</f>
        <v>4479500</v>
      </c>
      <c r="C2029" s="2" t="s">
        <v>573</v>
      </c>
      <c r="D2029" s="2" t="str">
        <f t="shared" si="30"/>
        <v>Error?</v>
      </c>
    </row>
    <row r="2030" spans="1:4" x14ac:dyDescent="0.2">
      <c r="A2030" s="5">
        <v>1969</v>
      </c>
      <c r="B2030" s="138">
        <f>'Cap Outlay Deprec 26'!F13</f>
        <v>214068</v>
      </c>
      <c r="C2030" s="2" t="s">
        <v>573</v>
      </c>
      <c r="D2030" s="2" t="str">
        <f t="shared" si="30"/>
        <v>Error?</v>
      </c>
    </row>
    <row r="2031" spans="1:4" x14ac:dyDescent="0.2">
      <c r="A2031" s="5">
        <v>1970</v>
      </c>
      <c r="B2031" s="138">
        <f>'Cap Outlay Deprec 26'!F16</f>
        <v>33651857</v>
      </c>
      <c r="C2031" s="2" t="s">
        <v>573</v>
      </c>
      <c r="D2031" s="2" t="str">
        <f t="shared" si="30"/>
        <v>Error?</v>
      </c>
    </row>
    <row r="2032" spans="1:4" x14ac:dyDescent="0.2">
      <c r="A2032" s="10">
        <v>1971</v>
      </c>
      <c r="D2032" s="2" t="str">
        <f t="shared" si="30"/>
        <v>OK</v>
      </c>
    </row>
    <row r="2033" spans="1:4" x14ac:dyDescent="0.2">
      <c r="A2033" s="5">
        <v>1972</v>
      </c>
      <c r="B2033" s="138">
        <f>'Cap Outlay Deprec 26'!H8</f>
        <v>9128397</v>
      </c>
      <c r="D2033" s="2" t="str">
        <f t="shared" si="30"/>
        <v>Error?</v>
      </c>
    </row>
    <row r="2034" spans="1:4" x14ac:dyDescent="0.2">
      <c r="A2034" s="5">
        <v>1973</v>
      </c>
      <c r="B2034" s="138">
        <f>'Cap Outlay Deprec 26'!H10</f>
        <v>165070</v>
      </c>
      <c r="D2034" s="2" t="str">
        <f t="shared" si="30"/>
        <v>Error?</v>
      </c>
    </row>
    <row r="2035" spans="1:4" x14ac:dyDescent="0.2">
      <c r="A2035" s="5">
        <v>1974</v>
      </c>
      <c r="B2035" s="138">
        <f>'Cap Outlay Deprec 26'!H12</f>
        <v>4053036</v>
      </c>
      <c r="D2035" s="2" t="str">
        <f t="shared" si="30"/>
        <v>Error?</v>
      </c>
    </row>
    <row r="2036" spans="1:4" x14ac:dyDescent="0.2">
      <c r="A2036" s="5">
        <v>1975</v>
      </c>
      <c r="B2036" s="138">
        <f>'Cap Outlay Deprec 26'!H13</f>
        <v>183396</v>
      </c>
      <c r="D2036" s="2" t="str">
        <f t="shared" si="30"/>
        <v>Error?</v>
      </c>
    </row>
    <row r="2037" spans="1:4" x14ac:dyDescent="0.2">
      <c r="A2037" s="5">
        <v>1976</v>
      </c>
      <c r="B2037" s="138">
        <f>'Cap Outlay Deprec 26'!H16</f>
        <v>13534058</v>
      </c>
      <c r="C2037" s="2" t="s">
        <v>573</v>
      </c>
      <c r="D2037" s="2" t="str">
        <f t="shared" si="30"/>
        <v>Error?</v>
      </c>
    </row>
    <row r="2038" spans="1:4" x14ac:dyDescent="0.2">
      <c r="A2038" s="10">
        <v>1977</v>
      </c>
      <c r="D2038" s="2" t="str">
        <f t="shared" si="30"/>
        <v>OK</v>
      </c>
    </row>
    <row r="2039" spans="1:4" x14ac:dyDescent="0.2">
      <c r="A2039" s="5">
        <v>1978</v>
      </c>
      <c r="B2039" s="138">
        <f>'Cap Outlay Deprec 26'!I8</f>
        <v>493804</v>
      </c>
      <c r="D2039" s="2" t="str">
        <f t="shared" si="30"/>
        <v>Error?</v>
      </c>
    </row>
    <row r="2040" spans="1:4" x14ac:dyDescent="0.2">
      <c r="A2040" s="5">
        <v>1979</v>
      </c>
      <c r="B2040" s="138">
        <f>'Cap Outlay Deprec 26'!I10</f>
        <v>22173</v>
      </c>
      <c r="D2040" s="2" t="str">
        <f t="shared" si="30"/>
        <v>Error?</v>
      </c>
    </row>
    <row r="2041" spans="1:4" x14ac:dyDescent="0.2">
      <c r="A2041" s="5">
        <v>1980</v>
      </c>
      <c r="B2041" s="138">
        <f>'Cap Outlay Deprec 26'!I12</f>
        <v>93953</v>
      </c>
      <c r="D2041" s="2" t="str">
        <f t="shared" si="30"/>
        <v>Error?</v>
      </c>
    </row>
    <row r="2042" spans="1:4" x14ac:dyDescent="0.2">
      <c r="A2042" s="5">
        <v>1981</v>
      </c>
      <c r="B2042" s="138">
        <f>'Cap Outlay Deprec 26'!I13</f>
        <v>9171</v>
      </c>
      <c r="D2042" s="2" t="str">
        <f t="shared" si="30"/>
        <v>Error?</v>
      </c>
    </row>
    <row r="2043" spans="1:4" x14ac:dyDescent="0.2">
      <c r="A2043" s="5">
        <v>1982</v>
      </c>
      <c r="B2043" s="138">
        <f>'Cap Outlay Deprec 26'!I16</f>
        <v>620183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9622201</v>
      </c>
      <c r="C2051" s="2" t="s">
        <v>573</v>
      </c>
      <c r="D2051" s="2" t="str">
        <f t="shared" si="31"/>
        <v>Error?</v>
      </c>
    </row>
    <row r="2052" spans="1:4" x14ac:dyDescent="0.2">
      <c r="A2052" s="5">
        <v>1991</v>
      </c>
      <c r="B2052" s="138">
        <f>'Cap Outlay Deprec 26'!K10</f>
        <v>187243</v>
      </c>
      <c r="C2052" s="2" t="s">
        <v>573</v>
      </c>
      <c r="D2052" s="2" t="str">
        <f t="shared" si="31"/>
        <v>Error?</v>
      </c>
    </row>
    <row r="2053" spans="1:4" x14ac:dyDescent="0.2">
      <c r="A2053" s="5">
        <v>1992</v>
      </c>
      <c r="B2053" s="138">
        <f>'Cap Outlay Deprec 26'!K12</f>
        <v>4146989</v>
      </c>
      <c r="C2053" s="2" t="s">
        <v>573</v>
      </c>
      <c r="D2053" s="2" t="str">
        <f t="shared" si="31"/>
        <v>Error?</v>
      </c>
    </row>
    <row r="2054" spans="1:4" x14ac:dyDescent="0.2">
      <c r="A2054" s="5">
        <v>1993</v>
      </c>
      <c r="B2054" s="138">
        <f>'Cap Outlay Deprec 26'!K13</f>
        <v>192567</v>
      </c>
      <c r="C2054" s="2" t="s">
        <v>573</v>
      </c>
      <c r="D2054" s="2" t="str">
        <f t="shared" si="31"/>
        <v>Error?</v>
      </c>
    </row>
    <row r="2055" spans="1:4" x14ac:dyDescent="0.2">
      <c r="A2055" s="5">
        <v>1994</v>
      </c>
      <c r="B2055" s="138">
        <f>'Cap Outlay Deprec 26'!K16</f>
        <v>14154241</v>
      </c>
      <c r="C2055" s="2" t="s">
        <v>573</v>
      </c>
      <c r="D2055" s="2" t="str">
        <f t="shared" si="31"/>
        <v>Error?</v>
      </c>
    </row>
    <row r="2056" spans="1:4" x14ac:dyDescent="0.2">
      <c r="A2056" s="5">
        <v>1995</v>
      </c>
      <c r="B2056" s="138">
        <f>'Cap Outlay Deprec 26'!L5</f>
        <v>92931</v>
      </c>
      <c r="C2056" s="2" t="s">
        <v>573</v>
      </c>
      <c r="D2056" s="2" t="str">
        <f t="shared" si="31"/>
        <v>Error?</v>
      </c>
    </row>
    <row r="2057" spans="1:4" x14ac:dyDescent="0.2">
      <c r="A2057" s="5">
        <v>1996</v>
      </c>
      <c r="B2057" s="138">
        <f>'Cap Outlay Deprec 26'!L8</f>
        <v>18786531</v>
      </c>
      <c r="C2057" s="2" t="s">
        <v>573</v>
      </c>
      <c r="D2057" s="2" t="str">
        <f t="shared" si="31"/>
        <v>Error?</v>
      </c>
    </row>
    <row r="2058" spans="1:4" x14ac:dyDescent="0.2">
      <c r="A2058" s="5">
        <v>1997</v>
      </c>
      <c r="B2058" s="138">
        <f>'Cap Outlay Deprec 26'!L10</f>
        <v>263059</v>
      </c>
      <c r="C2058" s="2" t="s">
        <v>573</v>
      </c>
      <c r="D2058" s="2" t="str">
        <f t="shared" si="31"/>
        <v>Error?</v>
      </c>
    </row>
    <row r="2059" spans="1:4" x14ac:dyDescent="0.2">
      <c r="A2059" s="5">
        <v>1998</v>
      </c>
      <c r="B2059" s="138">
        <f>'Cap Outlay Deprec 26'!L12</f>
        <v>332511</v>
      </c>
      <c r="C2059" s="2" t="s">
        <v>573</v>
      </c>
      <c r="D2059" s="2" t="str">
        <f t="shared" si="31"/>
        <v>Error?</v>
      </c>
    </row>
    <row r="2060" spans="1:4" x14ac:dyDescent="0.2">
      <c r="A2060" s="5">
        <v>1999</v>
      </c>
      <c r="B2060" s="138">
        <f>'Cap Outlay Deprec 26'!L13</f>
        <v>21501</v>
      </c>
      <c r="C2060" s="2" t="s">
        <v>573</v>
      </c>
      <c r="D2060" s="2" t="str">
        <f t="shared" si="31"/>
        <v>Error?</v>
      </c>
    </row>
    <row r="2061" spans="1:4" x14ac:dyDescent="0.2">
      <c r="A2061" s="5">
        <v>2000</v>
      </c>
      <c r="B2061" s="138">
        <f>'Cap Outlay Deprec 26'!L16</f>
        <v>19497616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274035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146839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159874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3655554</v>
      </c>
      <c r="C2551" s="2" t="s">
        <v>573</v>
      </c>
      <c r="D2551" s="2" t="str">
        <f t="shared" si="38"/>
        <v>Error?</v>
      </c>
    </row>
    <row r="2552" spans="1:4" x14ac:dyDescent="0.2">
      <c r="A2552" s="10">
        <v>2491</v>
      </c>
      <c r="D2552" s="2" t="str">
        <f t="shared" si="38"/>
        <v>OK</v>
      </c>
    </row>
    <row r="2553" spans="1:4" x14ac:dyDescent="0.2">
      <c r="A2553" s="5">
        <v>2492</v>
      </c>
      <c r="B2553" s="138">
        <f>'Acct Summary 7-8'!C6</f>
        <v>6561744</v>
      </c>
      <c r="C2553" s="2" t="s">
        <v>573</v>
      </c>
      <c r="D2553" s="2" t="str">
        <f t="shared" si="38"/>
        <v>Error?</v>
      </c>
    </row>
    <row r="2554" spans="1:4" x14ac:dyDescent="0.2">
      <c r="A2554" s="5">
        <v>2493</v>
      </c>
      <c r="B2554" s="138">
        <f>'Acct Summary 7-8'!C7</f>
        <v>1648167</v>
      </c>
      <c r="C2554" s="2" t="s">
        <v>573</v>
      </c>
      <c r="D2554" s="2" t="str">
        <f t="shared" si="38"/>
        <v>Error?</v>
      </c>
    </row>
    <row r="2555" spans="1:4" x14ac:dyDescent="0.2">
      <c r="A2555" s="5">
        <v>2494</v>
      </c>
      <c r="B2555" s="138">
        <f>'Acct Summary 7-8'!C8</f>
        <v>11865465</v>
      </c>
      <c r="C2555" s="2" t="s">
        <v>573</v>
      </c>
      <c r="D2555" s="2" t="str">
        <f t="shared" si="38"/>
        <v>Error?</v>
      </c>
    </row>
    <row r="2556" spans="1:4" x14ac:dyDescent="0.2">
      <c r="A2556" s="5">
        <v>2495</v>
      </c>
      <c r="B2556" s="138">
        <f>'Acct Summary 7-8'!C12</f>
        <v>7464464</v>
      </c>
      <c r="C2556" s="2" t="s">
        <v>573</v>
      </c>
      <c r="D2556" s="2" t="str">
        <f t="shared" si="38"/>
        <v>Error?</v>
      </c>
    </row>
    <row r="2557" spans="1:4" x14ac:dyDescent="0.2">
      <c r="A2557" s="5">
        <v>2496</v>
      </c>
      <c r="B2557" s="138">
        <f>'Acct Summary 7-8'!C13</f>
        <v>3283651</v>
      </c>
      <c r="C2557" s="2" t="s">
        <v>573</v>
      </c>
      <c r="D2557" s="2" t="str">
        <f t="shared" si="38"/>
        <v>Error?</v>
      </c>
    </row>
    <row r="2558" spans="1:4" x14ac:dyDescent="0.2">
      <c r="A2558" s="5">
        <v>2497</v>
      </c>
      <c r="B2558" s="138">
        <f>'Acct Summary 7-8'!C14</f>
        <v>35587</v>
      </c>
      <c r="C2558" s="2" t="s">
        <v>573</v>
      </c>
      <c r="D2558" s="2" t="str">
        <f t="shared" si="38"/>
        <v>Error?</v>
      </c>
    </row>
    <row r="2559" spans="1:4" x14ac:dyDescent="0.2">
      <c r="A2559" s="5">
        <v>2498</v>
      </c>
      <c r="B2559" s="138">
        <f>'Acct Summary 7-8'!C15</f>
        <v>274035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11057737</v>
      </c>
      <c r="C2561" s="2" t="s">
        <v>573</v>
      </c>
      <c r="D2561" s="2" t="str">
        <f t="shared" si="39"/>
        <v>Error?</v>
      </c>
    </row>
    <row r="2562" spans="1:4" x14ac:dyDescent="0.2">
      <c r="A2562" s="5">
        <v>2501</v>
      </c>
      <c r="B2562" s="138">
        <f>'Acct Summary 7-8'!C20</f>
        <v>807728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533235</v>
      </c>
      <c r="C2564" s="2" t="s">
        <v>573</v>
      </c>
      <c r="D2564" s="2" t="str">
        <f t="shared" si="39"/>
        <v>Error?</v>
      </c>
    </row>
    <row r="2565" spans="1:4" x14ac:dyDescent="0.2">
      <c r="A2565" s="10">
        <v>2504</v>
      </c>
      <c r="D2565" s="2" t="str">
        <f t="shared" si="39"/>
        <v>OK</v>
      </c>
    </row>
    <row r="2566" spans="1:4" x14ac:dyDescent="0.2">
      <c r="A2566" s="5">
        <v>2505</v>
      </c>
      <c r="B2566" s="138">
        <f>'Acct Summary 7-8'!D6</f>
        <v>120000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653235</v>
      </c>
      <c r="C2568" s="2" t="s">
        <v>573</v>
      </c>
      <c r="D2568" s="2" t="str">
        <f t="shared" si="39"/>
        <v>Error?</v>
      </c>
    </row>
    <row r="2569" spans="1:4" x14ac:dyDescent="0.2">
      <c r="A2569" s="5">
        <v>2508</v>
      </c>
      <c r="B2569" s="138">
        <f>'Acct Summary 7-8'!D13</f>
        <v>522151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522151</v>
      </c>
      <c r="C2573" s="2" t="s">
        <v>573</v>
      </c>
      <c r="D2573" s="2" t="str">
        <f t="shared" si="39"/>
        <v>Error?</v>
      </c>
    </row>
    <row r="2574" spans="1:4" x14ac:dyDescent="0.2">
      <c r="A2574" s="5">
        <v>2513</v>
      </c>
      <c r="B2574" s="138">
        <f>'Acct Summary 7-8'!D20</f>
        <v>131084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106585</v>
      </c>
      <c r="C2591" s="2" t="s">
        <v>573</v>
      </c>
      <c r="D2591" s="2" t="str">
        <f t="shared" si="39"/>
        <v>Error?</v>
      </c>
    </row>
    <row r="2592" spans="1:4" x14ac:dyDescent="0.2">
      <c r="A2592" s="10">
        <v>2531</v>
      </c>
      <c r="D2592" s="2" t="str">
        <f t="shared" si="39"/>
        <v>OK</v>
      </c>
    </row>
    <row r="2593" spans="1:4" x14ac:dyDescent="0.2">
      <c r="A2593" s="5">
        <v>2532</v>
      </c>
      <c r="B2593" s="138">
        <f>'Acct Summary 7-8'!F6</f>
        <v>150564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257149</v>
      </c>
      <c r="C2595" s="2" t="s">
        <v>573</v>
      </c>
      <c r="D2595" s="2" t="str">
        <f t="shared" si="39"/>
        <v>Error?</v>
      </c>
    </row>
    <row r="2596" spans="1:4" x14ac:dyDescent="0.2">
      <c r="A2596" s="5">
        <v>2535</v>
      </c>
      <c r="B2596" s="138">
        <f>'Acct Summary 7-8'!F13</f>
        <v>263827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68</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263895</v>
      </c>
      <c r="C2600" s="2" t="s">
        <v>573</v>
      </c>
      <c r="D2600" s="2" t="str">
        <f t="shared" si="39"/>
        <v>Error?</v>
      </c>
    </row>
    <row r="2601" spans="1:4" x14ac:dyDescent="0.2">
      <c r="A2601" s="5">
        <v>2540</v>
      </c>
      <c r="B2601" s="138">
        <f>'Acct Summary 7-8'!F20</f>
        <v>-6746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402598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402598</v>
      </c>
      <c r="C2606" s="2" t="s">
        <v>573</v>
      </c>
      <c r="D2606" s="2" t="str">
        <f t="shared" si="39"/>
        <v>Error?</v>
      </c>
    </row>
    <row r="2607" spans="1:4" x14ac:dyDescent="0.2">
      <c r="A2607" s="5">
        <v>2546</v>
      </c>
      <c r="B2607" s="138">
        <f>'Acct Summary 7-8'!G12</f>
        <v>200217</v>
      </c>
      <c r="C2607" s="2" t="s">
        <v>573</v>
      </c>
      <c r="D2607" s="2" t="str">
        <f t="shared" si="39"/>
        <v>Error?</v>
      </c>
    </row>
    <row r="2608" spans="1:4" x14ac:dyDescent="0.2">
      <c r="A2608" s="5">
        <v>2547</v>
      </c>
      <c r="B2608" s="138">
        <f>'Acct Summary 7-8'!G13</f>
        <v>201578</v>
      </c>
      <c r="C2608" s="2" t="s">
        <v>573</v>
      </c>
      <c r="D2608" s="2" t="str">
        <f t="shared" si="39"/>
        <v>Error?</v>
      </c>
    </row>
    <row r="2609" spans="1:4" x14ac:dyDescent="0.2">
      <c r="A2609" s="5">
        <v>2548</v>
      </c>
      <c r="B2609" s="138">
        <f>'Acct Summary 7-8'!G14</f>
        <v>564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402359</v>
      </c>
      <c r="C2612" s="2" t="s">
        <v>573</v>
      </c>
      <c r="D2612" s="2" t="str">
        <f t="shared" si="39"/>
        <v>Error?</v>
      </c>
    </row>
    <row r="2613" spans="1:4" x14ac:dyDescent="0.2">
      <c r="A2613" s="5">
        <v>2552</v>
      </c>
      <c r="B2613" s="138">
        <f>'Acct Summary 7-8'!G20</f>
        <v>239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542846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542846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696883</v>
      </c>
      <c r="C2634" s="2" t="s">
        <v>573</v>
      </c>
      <c r="D2634" s="2" t="str">
        <f t="shared" si="40"/>
        <v>Error?</v>
      </c>
    </row>
    <row r="2635" spans="1:4" x14ac:dyDescent="0.2">
      <c r="A2635" s="5">
        <v>2574</v>
      </c>
      <c r="B2635" s="138">
        <f>'Acct Summary 7-8'!E17</f>
        <v>696883</v>
      </c>
      <c r="C2635" s="2" t="s">
        <v>573</v>
      </c>
      <c r="D2635" s="2" t="str">
        <f t="shared" si="40"/>
        <v>Error?</v>
      </c>
    </row>
    <row r="2636" spans="1:4" x14ac:dyDescent="0.2">
      <c r="A2636" s="5">
        <v>2575</v>
      </c>
      <c r="B2636" s="138">
        <f>'Acct Summary 7-8'!E20</f>
        <v>-154037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8</v>
      </c>
      <c r="C2658" s="2" t="s">
        <v>573</v>
      </c>
      <c r="D2658" s="2" t="str">
        <f t="shared" si="40"/>
        <v>Error?</v>
      </c>
    </row>
    <row r="2659" spans="1:4" x14ac:dyDescent="0.2">
      <c r="A2659" s="5">
        <v>2598</v>
      </c>
      <c r="B2659" s="138">
        <f>'Acct Summary 7-8'!H13</f>
        <v>2044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2044</v>
      </c>
      <c r="C2661" s="2" t="s">
        <v>573</v>
      </c>
      <c r="D2661" s="2" t="str">
        <f t="shared" si="40"/>
        <v>Error?</v>
      </c>
    </row>
    <row r="2662" spans="1:4" x14ac:dyDescent="0.2">
      <c r="A2662" s="5">
        <v>2601</v>
      </c>
      <c r="B2662" s="138">
        <f>'Acct Summary 7-8'!H20</f>
        <v>-2036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52181</v>
      </c>
      <c r="D2718" s="2" t="str">
        <f t="shared" si="41"/>
        <v>Error?</v>
      </c>
    </row>
    <row r="2719" spans="1:4" x14ac:dyDescent="0.2">
      <c r="A2719" s="5">
        <v>2658</v>
      </c>
      <c r="B2719" s="138">
        <f>'Expenditures 15-22'!D51</f>
        <v>9661</v>
      </c>
      <c r="D2719" s="2" t="str">
        <f t="shared" si="41"/>
        <v>Error?</v>
      </c>
    </row>
    <row r="2720" spans="1:4" x14ac:dyDescent="0.2">
      <c r="A2720" s="5">
        <v>2659</v>
      </c>
      <c r="B2720" s="138">
        <f>'Expenditures 15-22'!E51</f>
        <v>1831</v>
      </c>
      <c r="D2720" s="2" t="str">
        <f t="shared" si="41"/>
        <v>Error?</v>
      </c>
    </row>
    <row r="2721" spans="1:4" x14ac:dyDescent="0.2">
      <c r="A2721" s="5">
        <v>2660</v>
      </c>
      <c r="B2721" s="138">
        <f>'Expenditures 15-22'!F51</f>
        <v>156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3105</v>
      </c>
      <c r="D2723" s="2" t="str">
        <f t="shared" si="41"/>
        <v>Error?</v>
      </c>
    </row>
    <row r="2724" spans="1:4" x14ac:dyDescent="0.2">
      <c r="A2724" s="5">
        <v>2663</v>
      </c>
      <c r="B2724" s="138">
        <f>'Expenditures 15-22'!K51</f>
        <v>66934</v>
      </c>
      <c r="C2724" s="2" t="s">
        <v>573</v>
      </c>
      <c r="D2724" s="2" t="str">
        <f t="shared" si="41"/>
        <v>Error?</v>
      </c>
    </row>
    <row r="2725" spans="1:4" x14ac:dyDescent="0.2">
      <c r="A2725" s="5">
        <v>2664</v>
      </c>
      <c r="B2725" s="138">
        <f>'Expenditures 15-22'!D247</f>
        <v>9553</v>
      </c>
      <c r="D2725" s="2" t="str">
        <f t="shared" si="41"/>
        <v>Error?</v>
      </c>
    </row>
    <row r="2726" spans="1:4" x14ac:dyDescent="0.2">
      <c r="A2726" s="5">
        <v>2665</v>
      </c>
      <c r="B2726" s="138">
        <f>'Expenditures 15-22'!K247</f>
        <v>9553</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274035</v>
      </c>
      <c r="C2789" s="2" t="s">
        <v>573</v>
      </c>
      <c r="D2789" s="2" t="str">
        <f t="shared" si="42"/>
        <v>Error?</v>
      </c>
    </row>
    <row r="2790" spans="1:4" x14ac:dyDescent="0.2">
      <c r="A2790" s="5">
        <v>2729</v>
      </c>
      <c r="B2790" s="138">
        <f>'Expenditures 15-22'!E102</f>
        <v>274035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68</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68</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68</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806</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6887</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1395144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1443441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117974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1443441</v>
      </c>
      <c r="D2912" s="2" t="str">
        <f t="shared" si="44"/>
        <v>Error?</v>
      </c>
    </row>
    <row r="2913" spans="1:4" x14ac:dyDescent="0.2">
      <c r="A2913" s="5">
        <v>2852</v>
      </c>
      <c r="B2913" s="138">
        <f>'Assets-Liab 5-6'!I41</f>
        <v>1443441</v>
      </c>
      <c r="C2913" s="2" t="s">
        <v>573</v>
      </c>
      <c r="D2913" s="2" t="str">
        <f t="shared" si="44"/>
        <v>Error?</v>
      </c>
    </row>
    <row r="2914" spans="1:4" x14ac:dyDescent="0.2">
      <c r="A2914" s="5">
        <v>2853</v>
      </c>
      <c r="B2914" s="138">
        <f>'Assets-Liab 5-6'!L33</f>
        <v>117974</v>
      </c>
      <c r="D2914" s="2" t="str">
        <f t="shared" si="44"/>
        <v>Error?</v>
      </c>
    </row>
    <row r="2915" spans="1:4" x14ac:dyDescent="0.2">
      <c r="A2915" s="10">
        <v>2854</v>
      </c>
      <c r="D2915" s="2" t="str">
        <f t="shared" si="44"/>
        <v>OK</v>
      </c>
    </row>
    <row r="2916" spans="1:4" x14ac:dyDescent="0.2">
      <c r="A2916" s="5">
        <v>2855</v>
      </c>
      <c r="B2916" s="138">
        <f>'Assets-Liab 5-6'!L34</f>
        <v>117974</v>
      </c>
      <c r="C2916" s="2" t="s">
        <v>573</v>
      </c>
      <c r="D2916" s="2" t="str">
        <f t="shared" si="44"/>
        <v>Error?</v>
      </c>
    </row>
    <row r="2917" spans="1:4" x14ac:dyDescent="0.2">
      <c r="A2917" s="5">
        <v>2856</v>
      </c>
      <c r="B2917" s="138">
        <f>'Assets-Liab 5-6'!L41</f>
        <v>117974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238926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35109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238926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35109</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68</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68</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159393</v>
      </c>
      <c r="D3055" s="2" t="str">
        <f t="shared" si="46"/>
        <v>Error?</v>
      </c>
    </row>
    <row r="3056" spans="1:4" x14ac:dyDescent="0.2">
      <c r="A3056" s="5">
        <v>2995</v>
      </c>
      <c r="B3056" s="138">
        <f>'Expenditures 15-22'!D10</f>
        <v>52350</v>
      </c>
      <c r="D3056" s="2" t="str">
        <f t="shared" si="46"/>
        <v>Error?</v>
      </c>
    </row>
    <row r="3057" spans="1:4" x14ac:dyDescent="0.2">
      <c r="A3057" s="5">
        <v>2996</v>
      </c>
      <c r="B3057" s="138">
        <f>'Expenditures 15-22'!E10</f>
        <v>4498</v>
      </c>
      <c r="D3057" s="2" t="str">
        <f t="shared" si="46"/>
        <v>Error?</v>
      </c>
    </row>
    <row r="3058" spans="1:4" x14ac:dyDescent="0.2">
      <c r="A3058" s="5">
        <v>2997</v>
      </c>
      <c r="B3058" s="138">
        <f>'Expenditures 15-22'!F10</f>
        <v>36306</v>
      </c>
      <c r="D3058" s="2" t="str">
        <f t="shared" si="46"/>
        <v>Error?</v>
      </c>
    </row>
    <row r="3059" spans="1:4" x14ac:dyDescent="0.2">
      <c r="A3059" s="5">
        <v>2998</v>
      </c>
      <c r="B3059" s="138">
        <f>'Expenditures 15-22'!G10</f>
        <v>16949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269496</v>
      </c>
      <c r="C3062" s="2" t="s">
        <v>573</v>
      </c>
      <c r="D3062" s="2" t="str">
        <f t="shared" si="46"/>
        <v>Error?</v>
      </c>
    </row>
    <row r="3063" spans="1:4" x14ac:dyDescent="0.2">
      <c r="A3063" s="10">
        <v>3002</v>
      </c>
      <c r="D3063" s="2" t="str">
        <f t="shared" si="46"/>
        <v>OK</v>
      </c>
    </row>
    <row r="3064" spans="1:4" x14ac:dyDescent="0.2">
      <c r="A3064" s="5">
        <v>3003</v>
      </c>
      <c r="B3064" s="138">
        <f>'Expenditures 15-22'!D219</f>
        <v>4255</v>
      </c>
      <c r="D3064" s="2" t="str">
        <f t="shared" si="46"/>
        <v>Error?</v>
      </c>
    </row>
    <row r="3065" spans="1:4" x14ac:dyDescent="0.2">
      <c r="A3065" s="5">
        <v>3004</v>
      </c>
      <c r="B3065" s="138">
        <f>'Expenditures 15-22'!K219</f>
        <v>4255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12401</v>
      </c>
      <c r="C3225" s="2" t="s">
        <v>573</v>
      </c>
      <c r="D3225" s="2" t="str">
        <f t="shared" si="49"/>
        <v>Error?</v>
      </c>
    </row>
    <row r="3226" spans="1:4" x14ac:dyDescent="0.2">
      <c r="A3226" s="5">
        <v>3165</v>
      </c>
      <c r="B3226" s="138">
        <f>'Acct Summary 7-8'!I8</f>
        <v>12401</v>
      </c>
      <c r="C3226" s="2" t="s">
        <v>573</v>
      </c>
      <c r="D3226" s="2" t="str">
        <f t="shared" si="49"/>
        <v>Error?</v>
      </c>
    </row>
    <row r="3227" spans="1:4" x14ac:dyDescent="0.2">
      <c r="A3227" s="5">
        <v>3166</v>
      </c>
      <c r="B3227" s="138">
        <f>'Acct Summary 7-8'!I20</f>
        <v>12401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600</v>
      </c>
      <c r="C3232" s="2" t="s">
        <v>573</v>
      </c>
      <c r="D3232" s="2" t="str">
        <f t="shared" si="49"/>
        <v>Error?</v>
      </c>
    </row>
    <row r="3233" spans="1:4" x14ac:dyDescent="0.2">
      <c r="A3233" s="5">
        <v>3172</v>
      </c>
      <c r="B3233" s="138">
        <f>'Acct Summary 7-8'!C78</f>
        <v>808328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160000</v>
      </c>
      <c r="C3237" s="2" t="s">
        <v>573</v>
      </c>
      <c r="D3237" s="2" t="str">
        <f t="shared" si="49"/>
        <v>Error?</v>
      </c>
    </row>
    <row r="3238" spans="1:4" x14ac:dyDescent="0.2">
      <c r="A3238" s="5">
        <v>3177</v>
      </c>
      <c r="B3238" s="138">
        <f>'Acct Summary 7-8'!D77</f>
        <v>-160000</v>
      </c>
      <c r="C3238" s="2" t="s">
        <v>573</v>
      </c>
      <c r="D3238" s="2" t="str">
        <f t="shared" si="49"/>
        <v>Error?</v>
      </c>
    </row>
    <row r="3239" spans="1:4" x14ac:dyDescent="0.2">
      <c r="A3239" s="5">
        <v>3178</v>
      </c>
      <c r="B3239" s="138">
        <f>'Acct Summary 7-8'!D78</f>
        <v>-28916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-6746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239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160000</v>
      </c>
      <c r="C3277" s="2" t="s">
        <v>573</v>
      </c>
      <c r="D3277" s="2" t="str">
        <f t="shared" si="50"/>
        <v>Error?</v>
      </c>
    </row>
    <row r="3278" spans="1:4" x14ac:dyDescent="0.2">
      <c r="A3278" s="5">
        <v>3217</v>
      </c>
      <c r="B3278" s="138">
        <f>'Acct Summary 7-8'!E78</f>
        <v>5963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-2036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12401</v>
      </c>
      <c r="C3320" s="2" t="s">
        <v>573</v>
      </c>
      <c r="D3320" s="2" t="str">
        <f t="shared" si="50"/>
        <v>Error?</v>
      </c>
    </row>
    <row r="3321" spans="1:4" x14ac:dyDescent="0.2">
      <c r="A3321" s="5">
        <v>3260</v>
      </c>
      <c r="B3321" s="138">
        <f>'Acct Summary 7-8'!I79</f>
        <v>1431040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1443441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1447643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274822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12739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18005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7033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187147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1947389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62418</v>
      </c>
      <c r="D3387" s="2" t="str">
        <f t="shared" si="51"/>
        <v>Error?</v>
      </c>
    </row>
    <row r="3388" spans="1:4" x14ac:dyDescent="0.2">
      <c r="A3388" s="5">
        <v>3327</v>
      </c>
      <c r="B3388" s="138">
        <f>'Expenditures 15-22'!D217</f>
        <v>113064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62418</v>
      </c>
      <c r="C3390" s="2" t="s">
        <v>573</v>
      </c>
      <c r="D3390" s="2" t="str">
        <f t="shared" si="51"/>
        <v>Error?</v>
      </c>
    </row>
    <row r="3391" spans="1:4" x14ac:dyDescent="0.2">
      <c r="A3391" s="5">
        <v>3330</v>
      </c>
      <c r="B3391" s="138">
        <f>'Expenditures 15-22'!K217</f>
        <v>113064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3159153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650256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97731</v>
      </c>
      <c r="D3417" s="2" t="str">
        <f t="shared" si="52"/>
        <v>Error?</v>
      </c>
    </row>
    <row r="3418" spans="1:4" x14ac:dyDescent="0.2">
      <c r="A3418" s="10">
        <v>3357</v>
      </c>
      <c r="D3418" s="2" t="str">
        <f t="shared" si="52"/>
        <v>OK</v>
      </c>
    </row>
    <row r="3419" spans="1:4" x14ac:dyDescent="0.2">
      <c r="A3419" s="5">
        <v>3358</v>
      </c>
      <c r="B3419" s="138">
        <f>'Assets-Liab 5-6'!F4</f>
        <v>113802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93160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4463</v>
      </c>
      <c r="D3425" s="2" t="str">
        <f t="shared" si="52"/>
        <v>Error?</v>
      </c>
    </row>
    <row r="3426" spans="1:4" x14ac:dyDescent="0.2">
      <c r="A3426" s="10">
        <v>3365</v>
      </c>
      <c r="D3426" s="2" t="str">
        <f t="shared" si="52"/>
        <v>OK</v>
      </c>
    </row>
    <row r="3427" spans="1:4" x14ac:dyDescent="0.2">
      <c r="A3427" s="5">
        <v>3366</v>
      </c>
      <c r="B3427" s="138">
        <f>'Assets-Liab 5-6'!I4</f>
        <v>48297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117974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152646</v>
      </c>
      <c r="C3446" s="2" t="s">
        <v>573</v>
      </c>
      <c r="D3446" s="2" t="str">
        <f t="shared" si="52"/>
        <v>Error?</v>
      </c>
    </row>
    <row r="3447" spans="1:4" x14ac:dyDescent="0.2">
      <c r="A3447" s="5">
        <v>3386</v>
      </c>
      <c r="B3447" s="138">
        <f>'Tax Sched 23'!D16</f>
        <v>152646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150003</v>
      </c>
      <c r="C3449" s="2" t="s">
        <v>573</v>
      </c>
      <c r="D3449" s="2" t="str">
        <f t="shared" si="52"/>
        <v>Error?</v>
      </c>
    </row>
    <row r="3450" spans="1:4" x14ac:dyDescent="0.2">
      <c r="A3450" s="5">
        <v>3389</v>
      </c>
      <c r="B3450" s="138">
        <f>'Tax Sched 23'!E16</f>
        <v>150003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600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12750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52823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65573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65573</v>
      </c>
      <c r="D3567" s="2" t="str">
        <f t="shared" si="54"/>
        <v>Error?</v>
      </c>
    </row>
    <row r="3568" spans="1:4" x14ac:dyDescent="0.2">
      <c r="A3568" s="5">
        <v>3507</v>
      </c>
      <c r="B3568" s="138">
        <f>'Assets-Liab 5-6'!K41</f>
        <v>65573</v>
      </c>
      <c r="C3568" s="2" t="s">
        <v>573</v>
      </c>
      <c r="D3568" s="2" t="str">
        <f t="shared" si="54"/>
        <v>Error?</v>
      </c>
    </row>
    <row r="3569" spans="1:4" x14ac:dyDescent="0.2">
      <c r="A3569" s="5">
        <v>3508</v>
      </c>
      <c r="B3569" s="138">
        <f>'Acct Summary 7-8'!K4</f>
        <v>58649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58649</v>
      </c>
      <c r="C3571" s="2" t="s">
        <v>573</v>
      </c>
      <c r="D3571" s="2" t="str">
        <f t="shared" si="54"/>
        <v>Error?</v>
      </c>
    </row>
    <row r="3572" spans="1:4" x14ac:dyDescent="0.2">
      <c r="A3572" s="5">
        <v>3511</v>
      </c>
      <c r="B3572" s="138">
        <f>'Acct Summary 7-8'!K13</f>
        <v>51512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51512</v>
      </c>
      <c r="C3575" s="2" t="s">
        <v>573</v>
      </c>
      <c r="D3575" s="2" t="str">
        <f t="shared" si="54"/>
        <v>Error?</v>
      </c>
    </row>
    <row r="3576" spans="1:4" x14ac:dyDescent="0.2">
      <c r="A3576" s="5">
        <v>3515</v>
      </c>
      <c r="B3576" s="138">
        <f>'Acct Summary 7-8'!K20</f>
        <v>7137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7137</v>
      </c>
      <c r="C3588" s="2" t="s">
        <v>573</v>
      </c>
      <c r="D3588" s="2" t="str">
        <f t="shared" si="55"/>
        <v>Error?</v>
      </c>
    </row>
    <row r="3589" spans="1:4" x14ac:dyDescent="0.2">
      <c r="A3589" s="5">
        <v>3528</v>
      </c>
      <c r="B3589" s="138">
        <f>'Acct Summary 7-8'!K79</f>
        <v>58436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65573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383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383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383</v>
      </c>
      <c r="C3636" s="2" t="s">
        <v>573</v>
      </c>
      <c r="D3636" s="2" t="str">
        <f t="shared" si="55"/>
        <v>Error?</v>
      </c>
    </row>
    <row r="3637" spans="1:4" x14ac:dyDescent="0.2">
      <c r="A3637" s="10">
        <v>3576</v>
      </c>
      <c r="D3637" s="2" t="str">
        <f t="shared" si="55"/>
        <v>OK</v>
      </c>
    </row>
    <row r="3638" spans="1:4" x14ac:dyDescent="0.2">
      <c r="A3638" s="5">
        <v>3577</v>
      </c>
      <c r="B3638" s="138">
        <f>'Expenditures 15-22'!F348</f>
        <v>900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900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900</v>
      </c>
      <c r="C3642" s="2" t="s">
        <v>573</v>
      </c>
      <c r="D3642" s="2" t="str">
        <f t="shared" si="55"/>
        <v>Error?</v>
      </c>
    </row>
    <row r="3643" spans="1:4" x14ac:dyDescent="0.2">
      <c r="A3643" s="5">
        <v>3582</v>
      </c>
      <c r="B3643" s="138">
        <f>'Expenditures 15-22'!F367</f>
        <v>900</v>
      </c>
      <c r="C3643" s="2" t="s">
        <v>573</v>
      </c>
      <c r="D3643" s="2" t="str">
        <f t="shared" si="55"/>
        <v>Error?</v>
      </c>
    </row>
    <row r="3644" spans="1:4" x14ac:dyDescent="0.2">
      <c r="A3644" s="10">
        <v>3583</v>
      </c>
      <c r="D3644" s="2" t="str">
        <f t="shared" si="55"/>
        <v>OK</v>
      </c>
    </row>
    <row r="3645" spans="1:4" x14ac:dyDescent="0.2">
      <c r="A3645" s="5">
        <v>3584</v>
      </c>
      <c r="B3645" s="138">
        <f>'Expenditures 15-22'!G348</f>
        <v>50229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50229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50229</v>
      </c>
      <c r="C3649" s="2" t="s">
        <v>573</v>
      </c>
      <c r="D3649" s="2" t="str">
        <f t="shared" si="56"/>
        <v>Error?</v>
      </c>
    </row>
    <row r="3650" spans="1:4" x14ac:dyDescent="0.2">
      <c r="A3650" s="5">
        <v>3589</v>
      </c>
      <c r="B3650" s="138">
        <f>'Expenditures 15-22'!G367</f>
        <v>50229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51512</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51512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51512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51512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7137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380364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4284228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16149693</v>
      </c>
      <c r="C4122" s="2" t="s">
        <v>573</v>
      </c>
      <c r="D4122" s="2" t="str">
        <f t="shared" si="63"/>
        <v>Error?</v>
      </c>
    </row>
    <row r="4123" spans="1:4" x14ac:dyDescent="0.2">
      <c r="A4123" s="5">
        <v>4062</v>
      </c>
      <c r="B4123" s="138">
        <f>'Acct Summary 7-8'!D10</f>
        <v>653235</v>
      </c>
      <c r="C4123" s="2" t="s">
        <v>573</v>
      </c>
      <c r="D4123" s="2" t="str">
        <f t="shared" si="63"/>
        <v>Error?</v>
      </c>
    </row>
    <row r="4124" spans="1:4" x14ac:dyDescent="0.2">
      <c r="A4124" s="5">
        <v>4063</v>
      </c>
      <c r="B4124" s="138">
        <f>'Acct Summary 7-8'!E10</f>
        <v>542846</v>
      </c>
      <c r="C4124" s="2" t="s">
        <v>573</v>
      </c>
      <c r="D4124" s="2" t="str">
        <f t="shared" si="63"/>
        <v>Error?</v>
      </c>
    </row>
    <row r="4125" spans="1:4" x14ac:dyDescent="0.2">
      <c r="A4125" s="5">
        <v>4064</v>
      </c>
      <c r="B4125" s="138">
        <f>'Acct Summary 7-8'!F10</f>
        <v>257149</v>
      </c>
      <c r="C4125" s="2" t="s">
        <v>573</v>
      </c>
      <c r="D4125" s="2" t="str">
        <f t="shared" si="63"/>
        <v>Error?</v>
      </c>
    </row>
    <row r="4126" spans="1:4" x14ac:dyDescent="0.2">
      <c r="A4126" s="5">
        <v>4065</v>
      </c>
      <c r="B4126" s="138">
        <f>'Acct Summary 7-8'!G10</f>
        <v>402598</v>
      </c>
      <c r="C4126" s="2" t="s">
        <v>573</v>
      </c>
      <c r="D4126" s="2" t="str">
        <f t="shared" si="63"/>
        <v>Error?</v>
      </c>
    </row>
    <row r="4127" spans="1:4" x14ac:dyDescent="0.2">
      <c r="A4127" s="5">
        <v>4066</v>
      </c>
      <c r="B4127" s="138">
        <f>'Acct Summary 7-8'!H10</f>
        <v>8</v>
      </c>
      <c r="C4127" s="2" t="s">
        <v>573</v>
      </c>
      <c r="D4127" s="2" t="str">
        <f t="shared" si="63"/>
        <v>Error?</v>
      </c>
    </row>
    <row r="4128" spans="1:4" x14ac:dyDescent="0.2">
      <c r="A4128" s="5">
        <v>4067</v>
      </c>
      <c r="B4128" s="138">
        <f>'Acct Summary 7-8'!I10</f>
        <v>12401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58649</v>
      </c>
      <c r="C4130" s="2" t="s">
        <v>573</v>
      </c>
      <c r="D4130" s="2" t="str">
        <f t="shared" si="63"/>
        <v>Error?</v>
      </c>
    </row>
    <row r="4131" spans="1:4" x14ac:dyDescent="0.2">
      <c r="A4131" s="5">
        <v>4070</v>
      </c>
      <c r="B4131" s="138">
        <f>'Acct Summary 7-8'!C18</f>
        <v>4284228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15341965</v>
      </c>
      <c r="C4136" s="2" t="s">
        <v>573</v>
      </c>
      <c r="D4136" s="2" t="str">
        <f t="shared" si="63"/>
        <v>Error?</v>
      </c>
    </row>
    <row r="4137" spans="1:4" x14ac:dyDescent="0.2">
      <c r="A4137" s="5">
        <v>4076</v>
      </c>
      <c r="B4137" s="138">
        <f>'Acct Summary 7-8'!D19</f>
        <v>522151</v>
      </c>
      <c r="C4137" s="2" t="s">
        <v>573</v>
      </c>
      <c r="D4137" s="2" t="str">
        <f t="shared" si="63"/>
        <v>Error?</v>
      </c>
    </row>
    <row r="4138" spans="1:4" x14ac:dyDescent="0.2">
      <c r="A4138" s="5">
        <v>4077</v>
      </c>
      <c r="B4138" s="138">
        <f>'Acct Summary 7-8'!E19</f>
        <v>696883</v>
      </c>
      <c r="C4138" s="2" t="s">
        <v>573</v>
      </c>
      <c r="D4138" s="2" t="str">
        <f t="shared" si="63"/>
        <v>Error?</v>
      </c>
    </row>
    <row r="4139" spans="1:4" x14ac:dyDescent="0.2">
      <c r="A4139" s="5">
        <v>4078</v>
      </c>
      <c r="B4139" s="138">
        <f>'Acct Summary 7-8'!F19</f>
        <v>263895</v>
      </c>
      <c r="C4139" s="2" t="s">
        <v>573</v>
      </c>
      <c r="D4139" s="2" t="str">
        <f t="shared" si="63"/>
        <v>Error?</v>
      </c>
    </row>
    <row r="4140" spans="1:4" x14ac:dyDescent="0.2">
      <c r="A4140" s="5">
        <v>4079</v>
      </c>
      <c r="B4140" s="138">
        <f>'Acct Summary 7-8'!G19</f>
        <v>402359</v>
      </c>
      <c r="C4140" s="2" t="s">
        <v>573</v>
      </c>
      <c r="D4140" s="2" t="str">
        <f t="shared" si="63"/>
        <v>Error?</v>
      </c>
    </row>
    <row r="4141" spans="1:4" x14ac:dyDescent="0.2">
      <c r="A4141" s="5">
        <v>4080</v>
      </c>
      <c r="B4141" s="138">
        <f>'Acct Summary 7-8'!H19</f>
        <v>2044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51512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8730000</v>
      </c>
      <c r="C4171" s="2" t="s">
        <v>573</v>
      </c>
      <c r="D4171" s="2" t="str">
        <f t="shared" si="64"/>
        <v>Error?</v>
      </c>
    </row>
    <row r="4172" spans="1:4" x14ac:dyDescent="0.2">
      <c r="A4172" s="5">
        <v>4111</v>
      </c>
      <c r="B4172" s="138">
        <f>'Short-Term Long-Term Debt 24'!J49</f>
        <v>8628090</v>
      </c>
      <c r="C4172" s="2" t="s">
        <v>573</v>
      </c>
      <c r="D4172" s="2" t="str">
        <f t="shared" si="64"/>
        <v>Error?</v>
      </c>
    </row>
    <row r="4173" spans="1:4" x14ac:dyDescent="0.2">
      <c r="A4173" s="5">
        <v>4112</v>
      </c>
      <c r="B4173" s="138">
        <f>'Short-Term Long-Term Debt 24'!H49</f>
        <v>275000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2793.2999999999997</v>
      </c>
      <c r="C4265" s="2" t="s">
        <v>573</v>
      </c>
      <c r="D4265" s="2" t="str">
        <f t="shared" si="65"/>
        <v>Error?</v>
      </c>
      <c r="E4265" s="128"/>
    </row>
    <row r="4266" spans="1:5" x14ac:dyDescent="0.2">
      <c r="A4266" s="12">
        <v>4205</v>
      </c>
      <c r="B4266" s="138">
        <f>('FP Info 3'!F10)*100000</f>
        <v>362.86</v>
      </c>
      <c r="C4266" s="2" t="s">
        <v>573</v>
      </c>
      <c r="D4266" s="2" t="str">
        <f t="shared" si="65"/>
        <v>Error?</v>
      </c>
      <c r="E4266" s="128"/>
    </row>
    <row r="4267" spans="1:5" x14ac:dyDescent="0.2">
      <c r="A4267" s="12">
        <v>4206</v>
      </c>
      <c r="B4267" s="138">
        <f>('FP Info 3'!H10)*100000</f>
        <v>89.55</v>
      </c>
      <c r="C4267" s="2" t="s">
        <v>573</v>
      </c>
      <c r="D4267" s="2" t="str">
        <f t="shared" si="65"/>
        <v>Error?</v>
      </c>
      <c r="E4267" s="128"/>
    </row>
    <row r="4268" spans="1:5" x14ac:dyDescent="0.2">
      <c r="A4268" s="12">
        <v>4207</v>
      </c>
      <c r="B4268" s="138">
        <f>('FP Info 3'!J10)*100000</f>
        <v>3246.0000000000005</v>
      </c>
      <c r="C4268" s="2" t="s">
        <v>573</v>
      </c>
      <c r="D4268" s="2" t="str">
        <f t="shared" si="65"/>
        <v>Error?</v>
      </c>
    </row>
    <row r="4269" spans="1:5" x14ac:dyDescent="0.2">
      <c r="A4269" s="12">
        <v>4208</v>
      </c>
      <c r="B4269" s="138">
        <f>'FP Info 3'!J16</f>
        <v>9894022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2179</v>
      </c>
      <c r="D4331" s="2" t="str">
        <f t="shared" si="66"/>
        <v>Error?</v>
      </c>
    </row>
    <row r="4332" spans="1:4" x14ac:dyDescent="0.2">
      <c r="A4332" s="5">
        <v>4271</v>
      </c>
      <c r="B4332" s="138">
        <f>'Revenues 9-14'!C203</f>
        <v>15300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20297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38775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11279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11279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41450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68932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66725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230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117263004</v>
      </c>
      <c r="D4995" s="2" t="str">
        <f t="shared" si="77"/>
        <v>Error?</v>
      </c>
    </row>
    <row r="4996" spans="1:4" x14ac:dyDescent="0.2">
      <c r="A4996" s="12">
        <v>4935</v>
      </c>
      <c r="B4996" s="138">
        <f>'FP Info 3'!H31</f>
        <v>8091147.2760000005</v>
      </c>
      <c r="D4996" s="2" t="str">
        <f t="shared" si="77"/>
        <v>Error?</v>
      </c>
    </row>
    <row r="4997" spans="1:4" x14ac:dyDescent="0.2">
      <c r="A4997" s="12">
        <v>4936</v>
      </c>
      <c r="B4997" s="138">
        <f>'FP Info 3'!H37</f>
        <v>8730000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3165942</v>
      </c>
      <c r="D5061" s="2" t="str">
        <f t="shared" si="78"/>
        <v>Error?</v>
      </c>
    </row>
    <row r="5062" spans="1:4" x14ac:dyDescent="0.2">
      <c r="A5062" s="10">
        <v>5001</v>
      </c>
      <c r="D5062" s="2" t="str">
        <f t="shared" si="78"/>
        <v>OK</v>
      </c>
    </row>
    <row r="5063" spans="1:4" x14ac:dyDescent="0.2">
      <c r="A5063" s="5">
        <v>5002</v>
      </c>
      <c r="B5063" s="138">
        <f>'Revenues 9-14'!C7</f>
        <v>22659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3188601</v>
      </c>
      <c r="C5066" s="2" t="s">
        <v>573</v>
      </c>
      <c r="D5066" s="2" t="str">
        <f t="shared" si="78"/>
        <v>Error?</v>
      </c>
    </row>
    <row r="5067" spans="1:4" x14ac:dyDescent="0.2">
      <c r="A5067" s="5">
        <v>5006</v>
      </c>
      <c r="B5067" s="138">
        <f>'Revenues 9-14'!C14</f>
        <v>4635</v>
      </c>
      <c r="D5067" s="2" t="str">
        <f t="shared" si="78"/>
        <v>Error?</v>
      </c>
    </row>
    <row r="5068" spans="1:4" x14ac:dyDescent="0.2">
      <c r="A5068" s="5">
        <v>5007</v>
      </c>
      <c r="B5068" s="138">
        <f>'Revenues 9-14'!C15</f>
        <v>9114</v>
      </c>
      <c r="D5068" s="2" t="str">
        <f t="shared" si="78"/>
        <v>Error?</v>
      </c>
    </row>
    <row r="5069" spans="1:4" x14ac:dyDescent="0.2">
      <c r="A5069" s="5">
        <v>5008</v>
      </c>
      <c r="B5069" s="138">
        <f>'Revenues 9-14'!C16</f>
        <v>203660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217409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95308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95308</v>
      </c>
      <c r="C5087" s="2" t="s">
        <v>573</v>
      </c>
      <c r="D5087" s="2" t="str">
        <f t="shared" si="78"/>
        <v>Error?</v>
      </c>
    </row>
    <row r="5088" spans="1:4" x14ac:dyDescent="0.2">
      <c r="A5088" s="5">
        <v>5027</v>
      </c>
      <c r="B5088" s="138">
        <f>'Revenues 9-14'!C65</f>
        <v>40898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40898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2211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6882</v>
      </c>
      <c r="D5094" s="2" t="str">
        <f t="shared" si="78"/>
        <v>Error?</v>
      </c>
    </row>
    <row r="5095" spans="1:4" x14ac:dyDescent="0.2">
      <c r="A5095" s="5">
        <v>5034</v>
      </c>
      <c r="B5095" s="138">
        <f>'Revenues 9-14'!C74</f>
        <v>624</v>
      </c>
      <c r="D5095" s="2" t="str">
        <f t="shared" si="78"/>
        <v>Error?</v>
      </c>
    </row>
    <row r="5096" spans="1:4" x14ac:dyDescent="0.2">
      <c r="A5096" s="5">
        <v>5035</v>
      </c>
      <c r="B5096" s="138">
        <f>'Revenues 9-14'!C75</f>
        <v>9717</v>
      </c>
      <c r="C5096" s="2" t="s">
        <v>573</v>
      </c>
      <c r="D5096" s="2" t="str">
        <f t="shared" si="78"/>
        <v>Error?</v>
      </c>
    </row>
    <row r="5097" spans="1:4" x14ac:dyDescent="0.2">
      <c r="A5097" s="5">
        <v>5036</v>
      </c>
      <c r="B5097" s="138">
        <f>'Revenues 9-14'!C77</f>
        <v>12993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7145</v>
      </c>
      <c r="D5099" s="2" t="str">
        <f t="shared" si="78"/>
        <v>Error?</v>
      </c>
    </row>
    <row r="5100" spans="1:4" x14ac:dyDescent="0.2">
      <c r="A5100" s="5">
        <v>5039</v>
      </c>
      <c r="B5100" s="138">
        <f>'Revenues 9-14'!C80</f>
        <v>1028</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21166</v>
      </c>
      <c r="C5102" s="2" t="s">
        <v>573</v>
      </c>
      <c r="D5102" s="2" t="str">
        <f t="shared" si="78"/>
        <v>Error?</v>
      </c>
    </row>
    <row r="5103" spans="1:4" x14ac:dyDescent="0.2">
      <c r="A5103" s="5">
        <v>5042</v>
      </c>
      <c r="B5103" s="138">
        <f>'Revenues 9-14'!C84</f>
        <v>26777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26777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28497</v>
      </c>
      <c r="D5114" s="2" t="str">
        <f t="shared" si="78"/>
        <v>Error?</v>
      </c>
    </row>
    <row r="5115" spans="1:4" x14ac:dyDescent="0.2">
      <c r="A5115" s="5">
        <v>5054</v>
      </c>
      <c r="B5115" s="138">
        <f>'Revenues 9-14'!C98</f>
        <v>1682</v>
      </c>
      <c r="D5115" s="2" t="str">
        <f t="shared" si="78"/>
        <v>Error?</v>
      </c>
    </row>
    <row r="5116" spans="1:4" x14ac:dyDescent="0.2">
      <c r="A5116" s="5">
        <v>5055</v>
      </c>
      <c r="B5116" s="138">
        <f>'Revenues 9-14'!C99</f>
        <v>25358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55678</v>
      </c>
      <c r="C5120" s="2" t="s">
        <v>573</v>
      </c>
      <c r="D5120" s="2" t="str">
        <f t="shared" si="79"/>
        <v>Error?</v>
      </c>
    </row>
    <row r="5121" spans="1:4" x14ac:dyDescent="0.2">
      <c r="A5121" s="5">
        <v>5060</v>
      </c>
      <c r="B5121" s="138">
        <f>'Revenues 9-14'!C109</f>
        <v>3655554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6058784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6058784</v>
      </c>
      <c r="C5132" s="2" t="s">
        <v>573</v>
      </c>
      <c r="D5132" s="2" t="str">
        <f t="shared" si="79"/>
        <v>Error?</v>
      </c>
    </row>
    <row r="5133" spans="1:4" x14ac:dyDescent="0.2">
      <c r="A5133" s="5">
        <v>5072</v>
      </c>
      <c r="B5133" s="138">
        <f>'Revenues 9-14'!C125</f>
        <v>66521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124736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191257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14356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230622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502960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6561744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443079</v>
      </c>
      <c r="D5239" s="2" t="str">
        <f t="shared" si="80"/>
        <v>Error?</v>
      </c>
    </row>
    <row r="5240" spans="1:4" x14ac:dyDescent="0.2">
      <c r="A5240" s="5">
        <v>5179</v>
      </c>
      <c r="B5240" s="138">
        <f>'Revenues 9-14'!C192</f>
        <v>1328</v>
      </c>
      <c r="D5240" s="2" t="str">
        <f t="shared" si="80"/>
        <v>Error?</v>
      </c>
    </row>
    <row r="5241" spans="1:4" x14ac:dyDescent="0.2">
      <c r="A5241" s="5">
        <v>5180</v>
      </c>
      <c r="B5241" s="138">
        <f>'Revenues 9-14'!C193</f>
        <v>174114</v>
      </c>
      <c r="D5241" s="2" t="str">
        <f t="shared" si="80"/>
        <v>Error?</v>
      </c>
    </row>
    <row r="5242" spans="1:4" x14ac:dyDescent="0.2">
      <c r="A5242" s="5">
        <v>5181</v>
      </c>
      <c r="B5242" s="138">
        <f>'Revenues 9-14'!C194</f>
        <v>10794</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659431</v>
      </c>
      <c r="C5246" s="2" t="s">
        <v>573</v>
      </c>
      <c r="D5246" s="2" t="str">
        <f t="shared" si="80"/>
        <v>Error?</v>
      </c>
    </row>
    <row r="5247" spans="1:4" x14ac:dyDescent="0.2">
      <c r="A5247" s="5">
        <v>5186</v>
      </c>
      <c r="B5247" s="138">
        <f>'Revenues 9-14'!C200</f>
        <v>409558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41450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424858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19077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364068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383145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1648167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1648167</v>
      </c>
      <c r="C5326" s="2" t="s">
        <v>573</v>
      </c>
      <c r="D5326" s="2" t="str">
        <f t="shared" si="82"/>
        <v>Error?</v>
      </c>
    </row>
    <row r="5327" spans="1:5" x14ac:dyDescent="0.2">
      <c r="A5327" s="5">
        <v>5266</v>
      </c>
      <c r="B5327" s="138">
        <f>'Revenues 9-14'!C268</f>
        <v>11865465</v>
      </c>
      <c r="C5327" s="2" t="s">
        <v>573</v>
      </c>
      <c r="D5327" s="2" t="str">
        <f t="shared" si="82"/>
        <v>Error?</v>
      </c>
    </row>
    <row r="5328" spans="1:5" x14ac:dyDescent="0.2">
      <c r="A5328" s="5">
        <v>5267</v>
      </c>
      <c r="B5328" s="138">
        <f>'Revenues 9-14'!D5</f>
        <v>406708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406708</v>
      </c>
      <c r="C5334" s="2" t="s">
        <v>573</v>
      </c>
      <c r="D5334" s="2" t="str">
        <f t="shared" si="82"/>
        <v>Error?</v>
      </c>
    </row>
    <row r="5335" spans="1:4" x14ac:dyDescent="0.2">
      <c r="A5335" s="5">
        <v>5274</v>
      </c>
      <c r="B5335" s="138">
        <f>'Revenues 9-14'!D14</f>
        <v>592</v>
      </c>
      <c r="D5335" s="2" t="str">
        <f t="shared" si="82"/>
        <v>Error?</v>
      </c>
    </row>
    <row r="5336" spans="1:4" x14ac:dyDescent="0.2">
      <c r="A5336" s="5">
        <v>5275</v>
      </c>
      <c r="B5336" s="138">
        <f>'Revenues 9-14'!D15</f>
        <v>1162</v>
      </c>
      <c r="D5336" s="2" t="str">
        <f t="shared" si="82"/>
        <v>Error?</v>
      </c>
    </row>
    <row r="5337" spans="1:4" x14ac:dyDescent="0.2">
      <c r="A5337" s="5">
        <v>5276</v>
      </c>
      <c r="B5337" s="138">
        <f>'Revenues 9-14'!D16</f>
        <v>116647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118401</v>
      </c>
      <c r="C5339" s="2" t="s">
        <v>573</v>
      </c>
      <c r="D5339" s="2" t="str">
        <f t="shared" si="82"/>
        <v>Error?</v>
      </c>
    </row>
    <row r="5340" spans="1:4" x14ac:dyDescent="0.2">
      <c r="A5340" s="5">
        <v>5279</v>
      </c>
      <c r="B5340" s="138">
        <f>'Revenues 9-14'!D65</f>
        <v>3164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3164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4882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4962</v>
      </c>
      <c r="C5355" s="2" t="s">
        <v>573</v>
      </c>
      <c r="D5355" s="2" t="str">
        <f t="shared" si="82"/>
        <v>Error?</v>
      </c>
    </row>
    <row r="5356" spans="1:4" x14ac:dyDescent="0.2">
      <c r="A5356" s="5">
        <v>5295</v>
      </c>
      <c r="B5356" s="138">
        <f>'Revenues 9-14'!D109</f>
        <v>533235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120000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120000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120000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653235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340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542506</v>
      </c>
      <c r="C5526" s="2" t="s">
        <v>573</v>
      </c>
      <c r="D5526" s="2" t="str">
        <f t="shared" si="85"/>
        <v>Error?</v>
      </c>
    </row>
    <row r="5527" spans="1:4" x14ac:dyDescent="0.2">
      <c r="A5527" s="5">
        <v>5466</v>
      </c>
      <c r="B5527" s="138">
        <f>'Revenues 9-14'!E109</f>
        <v>542846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542846</v>
      </c>
      <c r="C5552" s="2" t="s">
        <v>573</v>
      </c>
      <c r="D5552" s="2" t="str">
        <f t="shared" si="85"/>
        <v>Error?</v>
      </c>
    </row>
    <row r="5553" spans="1:4" x14ac:dyDescent="0.2">
      <c r="A5553" s="5">
        <v>5492</v>
      </c>
      <c r="B5553" s="138">
        <f>'Revenues 9-14'!F5</f>
        <v>102426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102426</v>
      </c>
      <c r="C5557" s="2" t="s">
        <v>573</v>
      </c>
      <c r="D5557" s="2" t="str">
        <f t="shared" si="85"/>
        <v>Error?</v>
      </c>
    </row>
    <row r="5558" spans="1:4" x14ac:dyDescent="0.2">
      <c r="A5558" s="5">
        <v>5497</v>
      </c>
      <c r="B5558" s="138">
        <f>'Revenues 9-14'!F14</f>
        <v>149</v>
      </c>
      <c r="D5558" s="2" t="str">
        <f t="shared" si="85"/>
        <v>Error?</v>
      </c>
    </row>
    <row r="5559" spans="1:4" x14ac:dyDescent="0.2">
      <c r="A5559" s="5">
        <v>5498</v>
      </c>
      <c r="B5559" s="138">
        <f>'Revenues 9-14'!F15</f>
        <v>293</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442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3717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3717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106585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20616</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20616</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128245</v>
      </c>
      <c r="D5617" s="2" t="str">
        <f t="shared" si="86"/>
        <v>Error?</v>
      </c>
    </row>
    <row r="5618" spans="1:5" x14ac:dyDescent="0.2">
      <c r="A5618" s="5">
        <v>5557</v>
      </c>
      <c r="B5618" s="138">
        <f>'Revenues 9-14'!F155</f>
        <v>128245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1473</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150564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150564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257149</v>
      </c>
      <c r="C5720" s="2" t="s">
        <v>573</v>
      </c>
      <c r="D5720" s="2" t="str">
        <f t="shared" si="88"/>
        <v>Error?</v>
      </c>
    </row>
    <row r="5721" spans="1:4" x14ac:dyDescent="0.2">
      <c r="A5721" s="5">
        <v>5660</v>
      </c>
      <c r="B5721" s="138">
        <f>'Revenues 9-14'!G5</f>
        <v>152646</v>
      </c>
      <c r="D5721" s="2" t="str">
        <f t="shared" si="88"/>
        <v>Error?</v>
      </c>
    </row>
    <row r="5722" spans="1:4" x14ac:dyDescent="0.2">
      <c r="A5722" s="5">
        <v>5661</v>
      </c>
      <c r="B5722" s="138">
        <f>'Revenues 9-14'!G7</f>
        <v>0</v>
      </c>
      <c r="D5722" s="2" t="str">
        <f t="shared" si="88"/>
        <v>Error?</v>
      </c>
    </row>
    <row r="5723" spans="1:4" x14ac:dyDescent="0.2">
      <c r="A5723" s="5">
        <v>5662</v>
      </c>
      <c r="B5723" s="138">
        <f>'Revenues 9-14'!G8</f>
        <v>152646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305292</v>
      </c>
      <c r="C5725" s="2" t="s">
        <v>573</v>
      </c>
      <c r="D5725" s="2" t="str">
        <f t="shared" si="88"/>
        <v>Error?</v>
      </c>
    </row>
    <row r="5726" spans="1:4" x14ac:dyDescent="0.2">
      <c r="A5726" s="5">
        <v>5665</v>
      </c>
      <c r="B5726" s="138">
        <f>'Revenues 9-14'!G14</f>
        <v>444</v>
      </c>
      <c r="D5726" s="2" t="str">
        <f t="shared" si="88"/>
        <v>Error?</v>
      </c>
    </row>
    <row r="5727" spans="1:4" x14ac:dyDescent="0.2">
      <c r="A5727" s="5">
        <v>5666</v>
      </c>
      <c r="B5727" s="138">
        <f>'Revenues 9-14'!G15</f>
        <v>873</v>
      </c>
      <c r="D5727" s="2" t="str">
        <f t="shared" si="88"/>
        <v>Error?</v>
      </c>
    </row>
    <row r="5728" spans="1:4" x14ac:dyDescent="0.2">
      <c r="A5728" s="5">
        <v>5667</v>
      </c>
      <c r="B5728" s="138">
        <f>'Revenues 9-14'!G16</f>
        <v>93853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95170</v>
      </c>
      <c r="C5730" s="2" t="s">
        <v>573</v>
      </c>
      <c r="D5730" s="2" t="str">
        <f t="shared" si="88"/>
        <v>Error?</v>
      </c>
    </row>
    <row r="5731" spans="1:4" x14ac:dyDescent="0.2">
      <c r="A5731" s="5">
        <v>5670</v>
      </c>
      <c r="B5731" s="138">
        <f>'Revenues 9-14'!G65</f>
        <v>2136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2136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402598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8</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12401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12401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12401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57798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57798</v>
      </c>
      <c r="C5987" s="2" t="s">
        <v>573</v>
      </c>
      <c r="D5987" s="2" t="str">
        <f t="shared" si="92"/>
        <v>Error?</v>
      </c>
    </row>
    <row r="5988" spans="1:4" x14ac:dyDescent="0.2">
      <c r="A5988" s="5">
        <v>5927</v>
      </c>
      <c r="B5988" s="138">
        <f>'Revenues 9-14'!K14</f>
        <v>84</v>
      </c>
      <c r="D5988" s="2" t="str">
        <f t="shared" si="92"/>
        <v>Error?</v>
      </c>
    </row>
    <row r="5989" spans="1:4" x14ac:dyDescent="0.2">
      <c r="A5989" s="5">
        <v>5928</v>
      </c>
      <c r="B5989" s="138">
        <f>'Revenues 9-14'!K15</f>
        <v>165</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249</v>
      </c>
      <c r="C5992" s="2" t="s">
        <v>573</v>
      </c>
      <c r="D5992" s="2" t="str">
        <f t="shared" si="92"/>
        <v>Error?</v>
      </c>
    </row>
    <row r="5993" spans="1:4" x14ac:dyDescent="0.2">
      <c r="A5993" s="5">
        <v>5932</v>
      </c>
      <c r="B5993" s="138">
        <f>'Revenues 9-14'!K65</f>
        <v>543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59</v>
      </c>
      <c r="D5998" s="2" t="str">
        <f t="shared" si="92"/>
        <v>Error?</v>
      </c>
    </row>
    <row r="5999" spans="1:4" x14ac:dyDescent="0.2">
      <c r="A5999" s="5">
        <v>5938</v>
      </c>
      <c r="B5999" s="138">
        <f>'Revenues 9-14'!K108</f>
        <v>59</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58649</v>
      </c>
      <c r="C6023" s="2" t="s">
        <v>573</v>
      </c>
      <c r="D6023" s="2" t="str">
        <f t="shared" si="93"/>
        <v>Error?</v>
      </c>
    </row>
    <row r="6024" spans="1:5" x14ac:dyDescent="0.2">
      <c r="A6024" s="5">
        <v>5963</v>
      </c>
      <c r="B6024" s="138">
        <f>'Revenues 9-14'!G109</f>
        <v>402598</v>
      </c>
      <c r="C6024" s="2" t="s">
        <v>573</v>
      </c>
      <c r="D6024" s="2" t="str">
        <f t="shared" si="93"/>
        <v>Error?</v>
      </c>
    </row>
    <row r="6025" spans="1:5" x14ac:dyDescent="0.2">
      <c r="A6025" s="5">
        <v>5964</v>
      </c>
      <c r="B6025" s="138">
        <f>'Revenues 9-14'!H109</f>
        <v>8</v>
      </c>
      <c r="C6025" s="2" t="s">
        <v>573</v>
      </c>
      <c r="D6025" s="2" t="str">
        <f t="shared" si="93"/>
        <v>Error?</v>
      </c>
    </row>
    <row r="6026" spans="1:5" x14ac:dyDescent="0.2">
      <c r="A6026" s="5">
        <v>5965</v>
      </c>
      <c r="B6026" s="138">
        <f>'Revenues 9-14'!I109</f>
        <v>12401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58649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55992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971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808328</v>
      </c>
      <c r="D6267" s="2" t="str">
        <f t="shared" si="96"/>
        <v>Error?</v>
      </c>
      <c r="E6267" s="2" t="s">
        <v>190</v>
      </c>
    </row>
    <row r="6268" spans="1:5" x14ac:dyDescent="0.2">
      <c r="A6268">
        <v>6207</v>
      </c>
      <c r="B6268" s="138">
        <f>'Acct Summary 7-8'!D82</f>
        <v>-28916</v>
      </c>
      <c r="D6268" s="2" t="str">
        <f t="shared" si="96"/>
        <v>Error?</v>
      </c>
      <c r="E6268" s="2" t="s">
        <v>190</v>
      </c>
    </row>
    <row r="6269" spans="1:5" x14ac:dyDescent="0.2">
      <c r="A6269">
        <v>6208</v>
      </c>
      <c r="B6269" s="138">
        <f>'Acct Summary 7-8'!E82</f>
        <v>5963</v>
      </c>
      <c r="D6269" s="2" t="str">
        <f t="shared" si="96"/>
        <v>Error?</v>
      </c>
      <c r="E6269" s="2" t="s">
        <v>190</v>
      </c>
    </row>
    <row r="6270" spans="1:5" x14ac:dyDescent="0.2">
      <c r="A6270">
        <v>6209</v>
      </c>
      <c r="B6270" s="138">
        <f>'Acct Summary 7-8'!F82</f>
        <v>-6746</v>
      </c>
      <c r="D6270" s="2" t="str">
        <f t="shared" si="96"/>
        <v>Error?</v>
      </c>
      <c r="E6270" s="2" t="s">
        <v>190</v>
      </c>
    </row>
    <row r="6271" spans="1:5" x14ac:dyDescent="0.2">
      <c r="A6271">
        <v>6210</v>
      </c>
      <c r="B6271" s="138">
        <f>'Acct Summary 7-8'!G82</f>
        <v>239</v>
      </c>
      <c r="D6271" s="2" t="str">
        <f t="shared" ref="D6271:D6334" si="97">IF(ISBLANK(B6271),"OK",IF(A6271-B6271=0,"OK","Error?"))</f>
        <v>Error?</v>
      </c>
      <c r="E6271" s="2" t="s">
        <v>190</v>
      </c>
    </row>
    <row r="6272" spans="1:5" x14ac:dyDescent="0.2">
      <c r="A6272">
        <v>6211</v>
      </c>
      <c r="B6272" s="138">
        <f>'Acct Summary 7-8'!H82</f>
        <v>-2036</v>
      </c>
      <c r="D6272" s="2" t="str">
        <f t="shared" si="97"/>
        <v>Error?</v>
      </c>
      <c r="E6272" s="2" t="s">
        <v>190</v>
      </c>
    </row>
    <row r="6273" spans="1:5" x14ac:dyDescent="0.2">
      <c r="A6273">
        <v>6212</v>
      </c>
      <c r="B6273" s="138">
        <f>'Acct Summary 7-8'!I82</f>
        <v>12401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7137</v>
      </c>
      <c r="D6275" s="2" t="str">
        <f t="shared" si="97"/>
        <v>Error?</v>
      </c>
      <c r="E6275" s="2" t="s">
        <v>190</v>
      </c>
    </row>
    <row r="6276" spans="1:5" x14ac:dyDescent="0.2">
      <c r="A6276">
        <v>6215</v>
      </c>
      <c r="B6276" s="138">
        <f>'Acct Summary 7-8'!C83</f>
        <v>0.11412332798809081</v>
      </c>
      <c r="D6276" s="2" t="str">
        <f t="shared" si="97"/>
        <v>Error?</v>
      </c>
      <c r="E6276" s="2" t="s">
        <v>190</v>
      </c>
    </row>
    <row r="6277" spans="1:5" x14ac:dyDescent="0.2">
      <c r="A6277">
        <v>6216</v>
      </c>
      <c r="B6277" s="138">
        <f>'Acct Summary 7-8'!D83</f>
        <v>-3.3394889136036013E-2</v>
      </c>
      <c r="D6277" s="2" t="str">
        <f t="shared" si="97"/>
        <v>Error?</v>
      </c>
      <c r="E6277" s="2" t="s">
        <v>190</v>
      </c>
    </row>
    <row r="6278" spans="1:5" x14ac:dyDescent="0.2">
      <c r="A6278">
        <v>6217</v>
      </c>
      <c r="B6278" s="138">
        <f>'Acct Summary 7-8'!E83</f>
        <v>5.8512412913354919E-2</v>
      </c>
      <c r="D6278" s="2" t="str">
        <f t="shared" si="97"/>
        <v>Error?</v>
      </c>
      <c r="E6278" s="2" t="s">
        <v>190</v>
      </c>
    </row>
    <row r="6279" spans="1:5" x14ac:dyDescent="0.2">
      <c r="A6279">
        <v>6218</v>
      </c>
      <c r="B6279" s="138">
        <f>'Acct Summary 7-8'!F83</f>
        <v>-1.3444513976634527E-2</v>
      </c>
      <c r="D6279" s="2" t="str">
        <f t="shared" si="97"/>
        <v>Error?</v>
      </c>
      <c r="E6279" s="2" t="s">
        <v>190</v>
      </c>
    </row>
    <row r="6280" spans="1:5" x14ac:dyDescent="0.2">
      <c r="A6280">
        <v>6219</v>
      </c>
      <c r="B6280" s="138">
        <f>'Acct Summary 7-8'!G83</f>
        <v>8.1625683060109291E-4</v>
      </c>
      <c r="D6280" s="2" t="str">
        <f t="shared" si="97"/>
        <v>Error?</v>
      </c>
      <c r="E6280" s="2" t="s">
        <v>190</v>
      </c>
    </row>
    <row r="6281" spans="1:5" x14ac:dyDescent="0.2">
      <c r="A6281">
        <v>6220</v>
      </c>
      <c r="B6281" s="138">
        <f>'Acct Summary 7-8'!H83</f>
        <v>-0.45558290445289773</v>
      </c>
      <c r="D6281" s="2" t="str">
        <f t="shared" si="97"/>
        <v>Error?</v>
      </c>
      <c r="E6281" s="2" t="s">
        <v>190</v>
      </c>
    </row>
    <row r="6282" spans="1:5" x14ac:dyDescent="0.2">
      <c r="A6282">
        <v>6221</v>
      </c>
      <c r="B6282" s="138">
        <f>'Acct Summary 7-8'!I83</f>
        <v>8.5912759856481835E-3</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0.1088405288762143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160000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141</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87559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128676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197729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5263</v>
      </c>
      <c r="D7073" s="2" t="str">
        <f t="shared" si="109"/>
        <v>Error?</v>
      </c>
    </row>
    <row r="7074" spans="1:4" x14ac:dyDescent="0.2">
      <c r="A7074">
        <v>7013</v>
      </c>
      <c r="B7074" s="138">
        <f>'Expenditures 15-22'!K216</f>
        <v>5263</v>
      </c>
      <c r="D7074" s="2" t="str">
        <f t="shared" si="109"/>
        <v>Error?</v>
      </c>
    </row>
    <row r="7075" spans="1:4" x14ac:dyDescent="0.2">
      <c r="A7075">
        <v>7014</v>
      </c>
      <c r="B7075" s="138">
        <f>'Expenditures 15-22'!D218</f>
        <v>12217</v>
      </c>
      <c r="D7075" s="2" t="str">
        <f t="shared" si="109"/>
        <v>Error?</v>
      </c>
    </row>
    <row r="7076" spans="1:4" x14ac:dyDescent="0.2">
      <c r="A7076">
        <v>7015</v>
      </c>
      <c r="B7076" s="138">
        <f>'Expenditures 15-22'!K218</f>
        <v>12217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17819</v>
      </c>
      <c r="D7246" s="2" t="str">
        <f t="shared" si="112"/>
        <v>Error?</v>
      </c>
    </row>
    <row r="7247" spans="1:4" x14ac:dyDescent="0.2">
      <c r="A7247">
        <f t="shared" si="113"/>
        <v>7186</v>
      </c>
      <c r="B7247" s="138">
        <f>'Expenditures 15-22'!E7</f>
        <v>6105</v>
      </c>
      <c r="D7247" s="2" t="str">
        <f t="shared" si="112"/>
        <v>Error?</v>
      </c>
    </row>
    <row r="7248" spans="1:4" x14ac:dyDescent="0.2">
      <c r="A7248">
        <f t="shared" si="113"/>
        <v>7187</v>
      </c>
      <c r="B7248" s="138">
        <f>'Expenditures 15-22'!F7</f>
        <v>10691</v>
      </c>
      <c r="D7248" s="2" t="str">
        <f t="shared" si="112"/>
        <v>Error?</v>
      </c>
    </row>
    <row r="7249" spans="1:4" x14ac:dyDescent="0.2">
      <c r="A7249">
        <f t="shared" si="113"/>
        <v>7188</v>
      </c>
      <c r="B7249" s="138">
        <f>'Expenditures 15-22'!G7</f>
        <v>6502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171539</v>
      </c>
      <c r="D7251" s="2" t="str">
        <f t="shared" si="112"/>
        <v>Error?</v>
      </c>
    </row>
    <row r="7252" spans="1:4" x14ac:dyDescent="0.2">
      <c r="A7252">
        <f t="shared" si="113"/>
        <v>7191</v>
      </c>
      <c r="B7252" s="138">
        <f>'Expenditures 15-22'!D9</f>
        <v>22370</v>
      </c>
      <c r="D7252" s="2" t="str">
        <f t="shared" si="112"/>
        <v>Error?</v>
      </c>
    </row>
    <row r="7253" spans="1:4" x14ac:dyDescent="0.2">
      <c r="A7253">
        <f t="shared" si="113"/>
        <v>7192</v>
      </c>
      <c r="B7253" s="138">
        <f>'Expenditures 15-22'!E9</f>
        <v>180</v>
      </c>
      <c r="D7253" s="2" t="str">
        <f t="shared" si="112"/>
        <v>Error?</v>
      </c>
    </row>
    <row r="7254" spans="1:4" x14ac:dyDescent="0.2">
      <c r="A7254">
        <f t="shared" si="113"/>
        <v>7193</v>
      </c>
      <c r="B7254" s="138">
        <f>'Expenditures 15-22'!F9</f>
        <v>3640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6324</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6324</v>
      </c>
      <c r="D7618" s="2" t="str">
        <f t="shared" si="124"/>
        <v>Error?</v>
      </c>
      <c r="E7618" s="2" t="s">
        <v>19</v>
      </c>
    </row>
    <row r="7619" spans="1:5" x14ac:dyDescent="0.2">
      <c r="A7619">
        <f t="shared" si="123"/>
        <v>7558</v>
      </c>
      <c r="B7619" s="138">
        <f>'Cap Outlay Deprec 26'!H14</f>
        <v>4159</v>
      </c>
      <c r="D7619" s="2" t="str">
        <f t="shared" si="124"/>
        <v>Error?</v>
      </c>
      <c r="E7619" s="2" t="s">
        <v>19</v>
      </c>
    </row>
    <row r="7620" spans="1:5" x14ac:dyDescent="0.2">
      <c r="A7620">
        <f t="shared" si="123"/>
        <v>7559</v>
      </c>
      <c r="B7620" s="138">
        <f>'Cap Outlay Deprec 26'!I14</f>
        <v>1082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5241</v>
      </c>
      <c r="D7622" s="2" t="str">
        <f t="shared" si="124"/>
        <v>Error?</v>
      </c>
      <c r="E7622" s="2" t="s">
        <v>19</v>
      </c>
    </row>
    <row r="7623" spans="1:5" x14ac:dyDescent="0.2">
      <c r="A7623">
        <f t="shared" si="123"/>
        <v>7562</v>
      </c>
      <c r="B7623" s="138">
        <f>'Cap Outlay Deprec 26'!L14</f>
        <v>1083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620183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160000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27937</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542506</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542506</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22659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267506</v>
      </c>
      <c r="D7724" s="2" t="str">
        <f t="shared" si="126"/>
        <v>Error?</v>
      </c>
      <c r="E7724" s="2" t="s">
        <v>827</v>
      </c>
      <c r="F7724" s="2"/>
    </row>
    <row r="7725" spans="1:6" x14ac:dyDescent="0.2">
      <c r="A7725">
        <v>7664</v>
      </c>
      <c r="B7725" s="138">
        <f>'Rest Tax Levies-Tort Im 25'!J19</f>
        <v>275000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542506</v>
      </c>
      <c r="D7727" s="2" t="str">
        <f t="shared" si="126"/>
        <v>Error?</v>
      </c>
      <c r="E7727" s="2" t="s">
        <v>827</v>
      </c>
    </row>
    <row r="7728" spans="1:6" x14ac:dyDescent="0.2">
      <c r="A7728">
        <v>7667</v>
      </c>
      <c r="B7728" s="138">
        <f>'Revenues 9-14'!E103</f>
        <v>542506</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542506</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29'!D25</f>
        <v>84535</v>
      </c>
      <c r="D7797" s="2" t="str">
        <f t="shared" si="127"/>
        <v>Error?</v>
      </c>
      <c r="E7797" s="4" t="s">
        <v>1900</v>
      </c>
    </row>
    <row r="7798" spans="1:5" x14ac:dyDescent="0.2">
      <c r="A7798">
        <v>7737</v>
      </c>
      <c r="B7798" s="138">
        <f>'Contracts Paid in CY 29'!F25</f>
        <v>50000</v>
      </c>
      <c r="D7798" s="2" t="str">
        <f t="shared" si="127"/>
        <v>Error?</v>
      </c>
      <c r="E7798" s="4" t="s">
        <v>1900</v>
      </c>
    </row>
    <row r="7799" spans="1:5" x14ac:dyDescent="0.2">
      <c r="A7799">
        <v>7738</v>
      </c>
      <c r="B7799" s="138">
        <f>'Contracts Paid in CY 29'!G25</f>
        <v>34535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1191</v>
      </c>
      <c r="B2" s="2410"/>
      <c r="C2" s="2410"/>
      <c r="D2" s="2410"/>
      <c r="E2" s="2410"/>
      <c r="F2" s="2410"/>
      <c r="G2" s="2410"/>
      <c r="H2" s="2410"/>
      <c r="I2" s="2410"/>
      <c r="J2" s="2410"/>
      <c r="K2" s="2410"/>
      <c r="L2" s="2410"/>
    </row>
    <row r="3" spans="1:29" ht="13.5" customHeight="1" x14ac:dyDescent="0.2">
      <c r="A3" s="2396" t="s">
        <v>1190</v>
      </c>
      <c r="B3" s="2396"/>
      <c r="C3" s="2396"/>
      <c r="D3" s="2396"/>
      <c r="E3" s="2396"/>
      <c r="F3" s="2396"/>
      <c r="G3" s="2396"/>
      <c r="H3" s="2396"/>
      <c r="I3" s="2396"/>
      <c r="J3" s="2396"/>
      <c r="K3" s="2396"/>
      <c r="L3" s="2396"/>
    </row>
    <row r="4" spans="1:29" ht="13.5" customHeight="1" x14ac:dyDescent="0.2">
      <c r="A4" s="2410" t="s">
        <v>1984</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0" t="str">
        <f>COVER!A17</f>
        <v>Lincoln ESD 27</v>
      </c>
      <c r="B7" s="2391"/>
      <c r="C7" s="2391"/>
      <c r="D7" s="2428"/>
      <c r="E7" s="2429">
        <f>COVER!A13</f>
        <v>17054027002</v>
      </c>
      <c r="F7" s="2430"/>
      <c r="G7" s="2397" t="str">
        <f>COVER!T23</f>
        <v>066-005243</v>
      </c>
      <c r="H7" s="2398"/>
      <c r="I7" s="2398"/>
      <c r="J7" s="2398"/>
      <c r="K7" s="2398"/>
      <c r="L7" s="239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0"/>
      <c r="B9" s="2401"/>
      <c r="C9" s="2401"/>
      <c r="D9" s="2401"/>
      <c r="E9" s="2401"/>
      <c r="F9" s="2402"/>
      <c r="G9" s="2403" t="str">
        <f>COVER!T13</f>
        <v>J.M. ABBOTT &amp; ASSOCIATES, LTD.</v>
      </c>
      <c r="H9" s="2404"/>
      <c r="I9" s="2404"/>
      <c r="J9" s="2404"/>
      <c r="K9" s="2404"/>
      <c r="L9" s="2405"/>
    </row>
    <row r="10" spans="1:29" ht="13.5" customHeight="1" x14ac:dyDescent="0.2">
      <c r="A10" s="2387" t="str">
        <f>COVER!A38</f>
        <v>KENT FROEBE</v>
      </c>
      <c r="B10" s="2388"/>
      <c r="C10" s="2388"/>
      <c r="D10" s="2388"/>
      <c r="E10" s="2388"/>
      <c r="F10" s="2389"/>
      <c r="G10" s="2403" t="str">
        <f>COVER!T17</f>
        <v>207 S. MCLEAN ST.</v>
      </c>
      <c r="H10" s="2416"/>
      <c r="I10" s="2416"/>
      <c r="J10" s="2416"/>
      <c r="K10" s="2416"/>
      <c r="L10" s="2417"/>
    </row>
    <row r="11" spans="1:29" ht="13.5" customHeight="1" x14ac:dyDescent="0.2">
      <c r="A11" s="1184" t="s">
        <v>1519</v>
      </c>
      <c r="B11" s="1185"/>
      <c r="C11" s="1186"/>
      <c r="D11" s="1191"/>
      <c r="E11" s="1186"/>
      <c r="F11" s="1190"/>
      <c r="G11" s="2403" t="str">
        <f>COVER!T19</f>
        <v>LINCOLN</v>
      </c>
      <c r="H11" s="2416"/>
      <c r="I11" s="2416"/>
      <c r="J11" s="2416"/>
      <c r="K11" s="2416"/>
      <c r="L11" s="2417"/>
    </row>
    <row r="12" spans="1:29" ht="13.5" customHeight="1" x14ac:dyDescent="0.2">
      <c r="A12" s="2421" t="s">
        <v>1518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1520</v>
      </c>
      <c r="H13" s="2412"/>
      <c r="I13" s="2424" t="str">
        <f>COVER!T25</f>
        <v>DEB@JMABBOTT.COM</v>
      </c>
      <c r="J13" s="2425"/>
      <c r="K13" s="2425"/>
      <c r="L13" s="2426"/>
    </row>
    <row r="14" spans="1:29" ht="13.5" customHeight="1" x14ac:dyDescent="0.2">
      <c r="A14" s="2403" t="str">
        <f>COVER!A19</f>
        <v>304 EIGHTH STREET</v>
      </c>
      <c r="B14" s="2416"/>
      <c r="C14" s="2416"/>
      <c r="D14" s="2416"/>
      <c r="E14" s="2416"/>
      <c r="F14" s="2417"/>
      <c r="G14" s="1195" t="s">
        <v>1185</v>
      </c>
      <c r="H14" s="1193"/>
      <c r="I14" s="1193"/>
      <c r="J14" s="1193"/>
      <c r="K14" s="1193"/>
      <c r="L14" s="1194"/>
    </row>
    <row r="15" spans="1:29" ht="13.5" customHeight="1" x14ac:dyDescent="0.2">
      <c r="A15" s="2403" t="str">
        <f>COVER!A21</f>
        <v>LINCOLN</v>
      </c>
      <c r="B15" s="2416"/>
      <c r="C15" s="2416"/>
      <c r="D15" s="2416"/>
      <c r="E15" s="2416"/>
      <c r="F15" s="2417"/>
      <c r="G15" s="2413" t="str">
        <f>COVER!T15</f>
        <v>DEBRA CURRY</v>
      </c>
      <c r="H15" s="2414"/>
      <c r="I15" s="2414"/>
      <c r="J15" s="2414"/>
      <c r="K15" s="2414"/>
      <c r="L15" s="2415"/>
    </row>
    <row r="16" spans="1:29" ht="12.2" customHeight="1" x14ac:dyDescent="0.2">
      <c r="A16" s="2393">
        <f>COVER!A25</f>
        <v>62656</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1184</v>
      </c>
      <c r="H17" s="1193"/>
      <c r="I17" s="1193"/>
      <c r="J17" s="1193"/>
      <c r="K17" s="1197" t="s">
        <v>1183</v>
      </c>
      <c r="L17" s="1190"/>
      <c r="M17" s="1183"/>
    </row>
    <row r="18" spans="1:13" ht="12.2" customHeight="1" x14ac:dyDescent="0.2">
      <c r="A18" s="2387"/>
      <c r="B18" s="2388"/>
      <c r="C18" s="2388"/>
      <c r="D18" s="2388"/>
      <c r="E18" s="2388"/>
      <c r="F18" s="2389"/>
      <c r="G18" s="2390" t="str">
        <f>COVER!T21</f>
        <v>217-735-1576</v>
      </c>
      <c r="H18" s="2391"/>
      <c r="I18" s="2391"/>
      <c r="J18" s="2391"/>
      <c r="K18" s="2390" t="str">
        <f>COVER!X21</f>
        <v>217-735-5866</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2061</v>
      </c>
      <c r="C26" s="1202" t="s">
        <v>1699</v>
      </c>
    </row>
    <row r="27" spans="1:13" s="1198" customFormat="1" ht="9" customHeight="1" x14ac:dyDescent="0.2">
      <c r="B27" s="1203"/>
      <c r="C27" s="1202"/>
    </row>
    <row r="28" spans="1:13" s="1198" customFormat="1" ht="12.2" customHeight="1" x14ac:dyDescent="0.2">
      <c r="A28" s="1205"/>
      <c r="B28" s="1201" t="s">
        <v>2061</v>
      </c>
      <c r="C28" s="1202" t="s">
        <v>1700</v>
      </c>
    </row>
    <row r="29" spans="1:13" s="1198" customFormat="1" ht="9" customHeight="1" x14ac:dyDescent="0.2">
      <c r="A29" s="1205"/>
      <c r="B29" s="1203"/>
      <c r="C29" s="1202"/>
    </row>
    <row r="30" spans="1:13" s="1198" customFormat="1" ht="12.2" customHeight="1" x14ac:dyDescent="0.2">
      <c r="B30" s="1201" t="s">
        <v>2061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2077</v>
      </c>
      <c r="C38" s="1202" t="s">
        <v>1566</v>
      </c>
    </row>
    <row r="39" spans="1:8" ht="9" customHeight="1" x14ac:dyDescent="0.2">
      <c r="B39" s="1203"/>
      <c r="C39" s="1206"/>
    </row>
    <row r="40" spans="1:8" s="1198" customFormat="1" ht="13.5" customHeight="1" x14ac:dyDescent="0.2">
      <c r="B40" s="1201" t="s">
        <v>2061</v>
      </c>
      <c r="C40" s="1202" t="s">
        <v>1567</v>
      </c>
    </row>
    <row r="41" spans="1:8" ht="9" customHeight="1" x14ac:dyDescent="0.2">
      <c r="A41" s="1207"/>
      <c r="B41" s="1203"/>
      <c r="C41" s="1206"/>
    </row>
    <row r="42" spans="1:8" s="1198" customFormat="1" ht="13.5" customHeight="1" x14ac:dyDescent="0.2">
      <c r="B42" s="1201" t="s">
        <v>2077</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1" t="s">
        <v>2061</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27" top="0.68" bottom="1" header="0.26" footer="0.5"/>
  <pageSetup scale="97"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7" sqref="A7:D7"/>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Lincoln ESD 27</v>
      </c>
      <c r="B1" s="2427"/>
      <c r="C1" s="2427"/>
      <c r="D1" s="2427"/>
    </row>
    <row r="2" spans="1:11" s="1212" customFormat="1" ht="12.75" x14ac:dyDescent="0.2">
      <c r="A2" s="2432">
        <f>'Single Audit Cover'!E7</f>
        <v>17054027002</v>
      </c>
      <c r="B2" s="2433"/>
      <c r="C2" s="2433"/>
      <c r="D2" s="2433"/>
    </row>
    <row r="3" spans="1:11" s="1212" customFormat="1" ht="12.75" x14ac:dyDescent="0.2">
      <c r="A3" s="2431" t="s">
        <v>1513</v>
      </c>
      <c r="B3" s="2427"/>
      <c r="C3" s="2427"/>
      <c r="D3" s="242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2061</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2061</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2061</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2061</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2061</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2061</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2061</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2061</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2061</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2061</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2077</v>
      </c>
      <c r="C42" s="1229">
        <v>11</v>
      </c>
      <c r="D42" s="1240" t="s">
        <v>1574</v>
      </c>
      <c r="E42" s="312"/>
    </row>
    <row r="43" spans="1:5" ht="3" customHeight="1" x14ac:dyDescent="0.2">
      <c r="A43" s="1219"/>
      <c r="B43" s="1236"/>
      <c r="C43" s="1237"/>
      <c r="D43" s="1218"/>
    </row>
    <row r="44" spans="1:5" x14ac:dyDescent="0.2">
      <c r="A44" s="1219"/>
      <c r="B44" s="1222" t="s">
        <v>2061</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2061</v>
      </c>
      <c r="C48" s="1223">
        <f>C44+1</f>
        <v>13</v>
      </c>
      <c r="D48" s="1234" t="s">
        <v>1575</v>
      </c>
    </row>
    <row r="49" spans="1:4" ht="3" customHeight="1" x14ac:dyDescent="0.2">
      <c r="A49" s="1219"/>
      <c r="B49" s="1226"/>
      <c r="C49" s="1223"/>
      <c r="D49" s="1234"/>
    </row>
    <row r="50" spans="1:4" x14ac:dyDescent="0.2">
      <c r="A50" s="1219"/>
      <c r="B50" s="1222" t="s">
        <v>2061</v>
      </c>
      <c r="C50" s="1223">
        <f>C48+1</f>
        <v>14</v>
      </c>
      <c r="D50" s="1234" t="s">
        <v>1212</v>
      </c>
    </row>
    <row r="51" spans="1:4" ht="3" customHeight="1" x14ac:dyDescent="0.2">
      <c r="A51" s="1219"/>
      <c r="B51" s="1226"/>
      <c r="C51" s="1223"/>
      <c r="D51" s="1234"/>
    </row>
    <row r="52" spans="1:4" x14ac:dyDescent="0.2">
      <c r="A52" s="1219"/>
      <c r="B52" s="1222" t="s">
        <v>2061</v>
      </c>
      <c r="C52" s="1223">
        <f>C50+1</f>
        <v>15</v>
      </c>
      <c r="D52" s="1234" t="s">
        <v>1211</v>
      </c>
    </row>
    <row r="53" spans="1:4" ht="3" customHeight="1" x14ac:dyDescent="0.2">
      <c r="A53" s="1219"/>
      <c r="B53" s="1226"/>
      <c r="C53" s="1223"/>
      <c r="D53" s="1234"/>
    </row>
    <row r="54" spans="1:4" x14ac:dyDescent="0.2">
      <c r="A54" s="1219"/>
      <c r="B54" s="1222" t="s">
        <v>2077</v>
      </c>
      <c r="C54" s="1223">
        <f>C52+1</f>
        <v>16</v>
      </c>
      <c r="D54" s="1234" t="s">
        <v>1210</v>
      </c>
    </row>
    <row r="55" spans="1:4" ht="3" customHeight="1" x14ac:dyDescent="0.2">
      <c r="A55" s="1219"/>
      <c r="B55" s="1226"/>
      <c r="C55" s="1223"/>
      <c r="D55" s="1234"/>
    </row>
    <row r="56" spans="1:4" x14ac:dyDescent="0.2">
      <c r="A56" s="1219"/>
      <c r="B56" s="1222" t="s">
        <v>2061</v>
      </c>
      <c r="C56" s="1223">
        <f>C54+1</f>
        <v>17</v>
      </c>
      <c r="D56" s="1218" t="s">
        <v>1708</v>
      </c>
    </row>
    <row r="57" spans="1:4" ht="10.5" customHeight="1" x14ac:dyDescent="0.2">
      <c r="A57" s="1219"/>
      <c r="D57" s="1234" t="s">
        <v>1709</v>
      </c>
    </row>
    <row r="58" spans="1:4" x14ac:dyDescent="0.2">
      <c r="A58" s="1219"/>
      <c r="C58" s="1241" t="s">
        <v>2061</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2077</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2061</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2077</v>
      </c>
      <c r="D69" s="1234" t="s">
        <v>1713</v>
      </c>
    </row>
    <row r="70" spans="1:4" x14ac:dyDescent="0.2">
      <c r="A70" s="1219"/>
      <c r="D70" s="1243" t="s">
        <v>1206</v>
      </c>
    </row>
    <row r="71" spans="1:4" ht="3" customHeight="1" x14ac:dyDescent="0.2">
      <c r="A71" s="1219"/>
      <c r="D71" s="1218"/>
    </row>
    <row r="72" spans="1:4" x14ac:dyDescent="0.2">
      <c r="A72" s="1219"/>
      <c r="B72" s="1222" t="s">
        <v>2061</v>
      </c>
      <c r="C72" s="1223">
        <f>C56+1</f>
        <v>18</v>
      </c>
      <c r="D72" s="1244" t="s">
        <v>1714</v>
      </c>
    </row>
    <row r="73" spans="1:4" ht="3" customHeight="1" x14ac:dyDescent="0.2">
      <c r="A73" s="1219"/>
      <c r="B73" s="1226"/>
      <c r="C73" s="1223"/>
      <c r="D73" s="1244"/>
    </row>
    <row r="74" spans="1:4" x14ac:dyDescent="0.2">
      <c r="A74" s="1219"/>
      <c r="B74" s="1222" t="s">
        <v>2061</v>
      </c>
      <c r="C74" s="1223">
        <f>C72+1</f>
        <v>19</v>
      </c>
      <c r="D74" s="1234" t="s">
        <v>1205</v>
      </c>
    </row>
    <row r="75" spans="1:4" ht="3" customHeight="1" x14ac:dyDescent="0.2">
      <c r="A75" s="1219"/>
      <c r="B75" s="1226"/>
      <c r="C75" s="1223"/>
      <c r="D75" s="1234"/>
    </row>
    <row r="76" spans="1:4" x14ac:dyDescent="0.2">
      <c r="A76" s="1219"/>
      <c r="B76" s="1222" t="s">
        <v>2061</v>
      </c>
      <c r="C76" s="1223">
        <f>C74+1</f>
        <v>20</v>
      </c>
      <c r="D76" s="1245" t="s">
        <v>1715</v>
      </c>
    </row>
    <row r="77" spans="1:4" ht="3" customHeight="1" x14ac:dyDescent="0.2">
      <c r="A77" s="1219"/>
      <c r="B77" s="1226"/>
      <c r="C77" s="1223"/>
      <c r="D77" s="1245"/>
    </row>
    <row r="78" spans="1:4" x14ac:dyDescent="0.2">
      <c r="A78" s="1219"/>
      <c r="B78" s="1222" t="s">
        <v>2061</v>
      </c>
      <c r="C78" s="1223">
        <f>C76+1</f>
        <v>21</v>
      </c>
      <c r="D78" s="1218" t="s">
        <v>1716</v>
      </c>
    </row>
    <row r="79" spans="1:4" ht="3" customHeight="1" x14ac:dyDescent="0.2">
      <c r="A79" s="1219"/>
      <c r="B79" s="1226"/>
      <c r="C79" s="1223"/>
      <c r="D79" s="1218"/>
    </row>
    <row r="80" spans="1:4" x14ac:dyDescent="0.2">
      <c r="A80" s="1219"/>
      <c r="B80" s="1222" t="s">
        <v>2061</v>
      </c>
      <c r="C80" s="1223">
        <f>C78+1</f>
        <v>22</v>
      </c>
      <c r="D80" s="1246" t="s">
        <v>1717</v>
      </c>
    </row>
    <row r="81" spans="1:4" ht="3" customHeight="1" x14ac:dyDescent="0.2">
      <c r="A81" s="1219"/>
      <c r="B81" s="1226"/>
      <c r="C81" s="1223"/>
      <c r="D81" s="1246"/>
    </row>
    <row r="82" spans="1:4" x14ac:dyDescent="0.2">
      <c r="A82" s="1219"/>
      <c r="B82" s="1222" t="s">
        <v>2061</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2061</v>
      </c>
      <c r="C85" s="1223">
        <f>C82+1</f>
        <v>24</v>
      </c>
      <c r="D85" s="1234" t="s">
        <v>1203</v>
      </c>
    </row>
    <row r="86" spans="1:4" ht="3" customHeight="1" x14ac:dyDescent="0.2">
      <c r="A86" s="1219"/>
      <c r="B86" s="1226"/>
      <c r="C86" s="1223"/>
      <c r="D86" s="1234"/>
    </row>
    <row r="87" spans="1:4" x14ac:dyDescent="0.2">
      <c r="A87" s="1219"/>
      <c r="B87" s="1222" t="s">
        <v>2061</v>
      </c>
      <c r="C87" s="1223">
        <f>C85+1</f>
        <v>25</v>
      </c>
      <c r="D87" s="1234" t="s">
        <v>1202</v>
      </c>
    </row>
    <row r="88" spans="1:4" ht="3" customHeight="1" x14ac:dyDescent="0.2">
      <c r="A88" s="1219"/>
      <c r="B88" s="1226"/>
      <c r="C88" s="1223"/>
      <c r="D88" s="1234"/>
    </row>
    <row r="89" spans="1:4" x14ac:dyDescent="0.2">
      <c r="A89" s="1219"/>
      <c r="B89" s="1222" t="s">
        <v>2061</v>
      </c>
      <c r="C89" s="1223">
        <f>C87+1</f>
        <v>26</v>
      </c>
      <c r="D89" s="1234" t="s">
        <v>1201</v>
      </c>
    </row>
    <row r="90" spans="1:4" ht="3" customHeight="1" x14ac:dyDescent="0.2">
      <c r="A90" s="1219"/>
      <c r="B90" s="1226"/>
      <c r="C90" s="1223"/>
      <c r="D90" s="1234"/>
    </row>
    <row r="91" spans="1:4" x14ac:dyDescent="0.2">
      <c r="A91" s="1219"/>
      <c r="B91" s="1222" t="s">
        <v>2061</v>
      </c>
      <c r="C91" s="1223">
        <f>C89+1</f>
        <v>27</v>
      </c>
      <c r="D91" s="1234" t="s">
        <v>1719</v>
      </c>
    </row>
    <row r="92" spans="1:4" x14ac:dyDescent="0.2">
      <c r="A92" s="1219"/>
      <c r="B92" s="1247"/>
      <c r="C92" s="1241" t="s">
        <v>2077</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2061</v>
      </c>
      <c r="C96" s="1223">
        <f>C91+1</f>
        <v>28</v>
      </c>
      <c r="D96" s="1234" t="s">
        <v>1720</v>
      </c>
    </row>
    <row r="97" spans="1:4" ht="3" customHeight="1" x14ac:dyDescent="0.2">
      <c r="A97" s="1219"/>
      <c r="B97" s="1226"/>
      <c r="C97" s="1223"/>
      <c r="D97" s="1234"/>
    </row>
    <row r="98" spans="1:4" x14ac:dyDescent="0.2">
      <c r="A98" s="1219"/>
      <c r="B98" s="1222" t="s">
        <v>2061</v>
      </c>
      <c r="C98" s="1223">
        <f>C96+1</f>
        <v>29</v>
      </c>
      <c r="D98" s="1248" t="s">
        <v>1721</v>
      </c>
    </row>
    <row r="99" spans="1:4" ht="3" customHeight="1" x14ac:dyDescent="0.2">
      <c r="A99" s="1219"/>
      <c r="B99" s="1226"/>
      <c r="C99" s="1223"/>
      <c r="D99" s="1248"/>
    </row>
    <row r="100" spans="1:4" x14ac:dyDescent="0.2">
      <c r="A100" s="1219"/>
      <c r="B100" s="1222" t="s">
        <v>2061</v>
      </c>
      <c r="C100" s="1223">
        <f>C98+1</f>
        <v>30</v>
      </c>
      <c r="D100" s="1234" t="s">
        <v>1722</v>
      </c>
    </row>
    <row r="101" spans="1:4" ht="3" customHeight="1" x14ac:dyDescent="0.2">
      <c r="A101" s="1219"/>
      <c r="B101" s="1226"/>
      <c r="C101" s="1223"/>
      <c r="D101" s="1249"/>
    </row>
    <row r="102" spans="1:4" x14ac:dyDescent="0.2">
      <c r="A102" s="1219"/>
      <c r="B102" s="1222" t="s">
        <v>2061</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2077</v>
      </c>
      <c r="C106" s="1223">
        <f>C102+1</f>
        <v>32</v>
      </c>
      <c r="D106" s="1218" t="s">
        <v>1580</v>
      </c>
    </row>
    <row r="107" spans="1:4" ht="3" customHeight="1" x14ac:dyDescent="0.2">
      <c r="A107" s="1219"/>
      <c r="B107" s="1226"/>
      <c r="C107" s="1223"/>
      <c r="D107" s="1218"/>
    </row>
    <row r="108" spans="1:4" x14ac:dyDescent="0.2">
      <c r="A108" s="1219"/>
      <c r="B108" s="1222" t="s">
        <v>2077</v>
      </c>
      <c r="C108" s="1223">
        <v>33</v>
      </c>
      <c r="D108" s="1218" t="s">
        <v>1723</v>
      </c>
    </row>
    <row r="109" spans="1:4" ht="3" customHeight="1" x14ac:dyDescent="0.2">
      <c r="A109" s="1219"/>
      <c r="B109" s="1226"/>
      <c r="C109" s="1223"/>
      <c r="D109" s="1218"/>
    </row>
    <row r="110" spans="1:4" x14ac:dyDescent="0.2">
      <c r="A110" s="1219"/>
      <c r="B110" s="1222" t="s">
        <v>2077</v>
      </c>
      <c r="C110" s="1223">
        <f>C108+1</f>
        <v>34</v>
      </c>
      <c r="D110" s="1218" t="s">
        <v>1198</v>
      </c>
    </row>
    <row r="111" spans="1:4" ht="3" customHeight="1" x14ac:dyDescent="0.2">
      <c r="A111" s="1219"/>
      <c r="B111" s="1226"/>
      <c r="C111" s="1223"/>
      <c r="D111" s="1218"/>
    </row>
    <row r="112" spans="1:4" x14ac:dyDescent="0.2">
      <c r="A112" s="1219"/>
      <c r="B112" s="1222" t="s">
        <v>2077</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2077</v>
      </c>
      <c r="C115" s="1223">
        <f>C112+1</f>
        <v>36</v>
      </c>
      <c r="D115" s="1234" t="s">
        <v>1195</v>
      </c>
    </row>
    <row r="116" spans="1:4" ht="3" customHeight="1" x14ac:dyDescent="0.2">
      <c r="A116" s="1219"/>
      <c r="B116" s="1226"/>
      <c r="C116" s="1223"/>
      <c r="D116" s="1234"/>
    </row>
    <row r="117" spans="1:4" x14ac:dyDescent="0.2">
      <c r="A117" s="1219"/>
      <c r="B117" s="1222" t="s">
        <v>2077</v>
      </c>
      <c r="C117" s="1223">
        <f>C115+1</f>
        <v>37</v>
      </c>
      <c r="D117" s="1234" t="s">
        <v>1724</v>
      </c>
    </row>
    <row r="118" spans="1:4" ht="3" customHeight="1" x14ac:dyDescent="0.2">
      <c r="A118" s="1219"/>
      <c r="B118" s="1226"/>
      <c r="C118" s="1223"/>
      <c r="D118" s="1234"/>
    </row>
    <row r="119" spans="1:4" x14ac:dyDescent="0.2">
      <c r="A119" s="1219"/>
      <c r="B119" s="1222" t="s">
        <v>2077</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2077</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6" right="0.25" top="0.41" bottom="0.37" header="0.28000000000000003" footer="0.25"/>
  <pageSetup scale="68"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D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Lincoln ESD 27</v>
      </c>
      <c r="B1" s="2435"/>
      <c r="C1" s="2435"/>
      <c r="D1" s="2435"/>
      <c r="E1" s="2435"/>
    </row>
    <row r="2" spans="1:5" x14ac:dyDescent="0.2">
      <c r="A2" s="2436">
        <f>'Single Audit Cover'!E7</f>
        <v>17054027002</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1648167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55992</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-38775</v>
      </c>
    </row>
    <row r="19" spans="1:4" ht="13.5" thickBot="1" x14ac:dyDescent="0.25">
      <c r="A19" s="1262" t="s">
        <v>1235</v>
      </c>
      <c r="D19" s="1263">
        <f>SUM(D10:D17)</f>
        <v>1665384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1665384</v>
      </c>
    </row>
    <row r="33" spans="1:4" x14ac:dyDescent="0.2">
      <c r="D33" s="1266"/>
    </row>
    <row r="34" spans="1:4" x14ac:dyDescent="0.2">
      <c r="A34" s="317" t="s">
        <v>1232</v>
      </c>
    </row>
    <row r="35" spans="1:4" x14ac:dyDescent="0.2">
      <c r="A35" s="317" t="s">
        <v>1231</v>
      </c>
      <c r="B35" s="1255" t="s">
        <v>1230</v>
      </c>
      <c r="D35" s="1267">
        <v>1666230</v>
      </c>
    </row>
    <row r="37" spans="1:4" x14ac:dyDescent="0.2">
      <c r="A37" s="1257" t="s">
        <v>1229</v>
      </c>
    </row>
    <row r="39" spans="1:4" ht="13.35" customHeight="1" x14ac:dyDescent="0.2">
      <c r="A39" s="1264" t="s">
        <v>1228</v>
      </c>
    </row>
    <row r="40" spans="1:4" x14ac:dyDescent="0.2">
      <c r="A40" s="2434" t="s">
        <v>2099</v>
      </c>
      <c r="B40" s="2434"/>
      <c r="D40" s="1265"/>
    </row>
    <row r="41" spans="1:4" x14ac:dyDescent="0.2">
      <c r="A41" s="2434" t="s">
        <v>2100</v>
      </c>
      <c r="B41" s="2434"/>
      <c r="D41" s="1268">
        <v>-846</v>
      </c>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1665384</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8"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A7" sqref="A7:F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Lincoln ESD 27</v>
      </c>
      <c r="C1" s="2439"/>
      <c r="D1" s="2439"/>
      <c r="E1" s="2439"/>
      <c r="F1" s="2439"/>
      <c r="G1" s="2439"/>
      <c r="H1" s="2439"/>
      <c r="I1" s="2439"/>
      <c r="J1" s="2439"/>
      <c r="K1" s="2439"/>
      <c r="L1" s="2439"/>
      <c r="M1" s="2439"/>
    </row>
    <row r="2" spans="2:14" ht="15" x14ac:dyDescent="0.2">
      <c r="B2" s="2440">
        <f>'Single Audit Cover'!E7</f>
        <v>17054027002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2" t="s">
        <v>2071</v>
      </c>
      <c r="C11" s="1335"/>
      <c r="D11" s="1336"/>
      <c r="E11" s="1337"/>
      <c r="F11" s="1337"/>
      <c r="G11" s="1337"/>
      <c r="H11" s="1337"/>
      <c r="I11" s="1337"/>
      <c r="J11" s="1337"/>
      <c r="K11" s="1337"/>
      <c r="L11" s="1337">
        <f>+G11+I11+K11</f>
        <v>0</v>
      </c>
      <c r="M11" s="1337"/>
    </row>
    <row r="12" spans="2:14" ht="20.100000000000001" customHeight="1" x14ac:dyDescent="0.2">
      <c r="B12" s="1933" t="s">
        <v>2072</v>
      </c>
      <c r="C12" s="1338"/>
      <c r="D12" s="1339"/>
      <c r="E12" s="1340"/>
      <c r="F12" s="1340"/>
      <c r="G12" s="1340"/>
      <c r="H12" s="1340"/>
      <c r="I12" s="1340"/>
      <c r="J12" s="1340"/>
      <c r="K12" s="1340"/>
      <c r="L12" s="1337">
        <f t="shared" ref="L12:L27" si="0">+G12+I12+K12</f>
        <v>0</v>
      </c>
      <c r="M12" s="1340"/>
    </row>
    <row r="13" spans="2:14" ht="20.100000000000001" customHeight="1" x14ac:dyDescent="0.2">
      <c r="B13" s="1934" t="s">
        <v>2148</v>
      </c>
      <c r="C13" s="1338"/>
      <c r="D13" s="1339"/>
      <c r="E13" s="1340"/>
      <c r="F13" s="1340"/>
      <c r="G13" s="1340"/>
      <c r="H13" s="1340"/>
      <c r="I13" s="1340"/>
      <c r="J13" s="1340"/>
      <c r="K13" s="1340"/>
      <c r="L13" s="1337">
        <f t="shared" si="0"/>
        <v>0</v>
      </c>
      <c r="M13" s="1340"/>
    </row>
    <row r="14" spans="2:14" ht="20.100000000000001" customHeight="1" x14ac:dyDescent="0.2">
      <c r="B14" s="1935" t="s">
        <v>2149</v>
      </c>
      <c r="C14" s="1338">
        <v>10.555</v>
      </c>
      <c r="D14" s="1339" t="s">
        <v>2073</v>
      </c>
      <c r="E14" s="1340">
        <v>412215</v>
      </c>
      <c r="F14" s="1340">
        <v>89058</v>
      </c>
      <c r="G14" s="1340">
        <v>412215</v>
      </c>
      <c r="H14" s="1340">
        <v>0</v>
      </c>
      <c r="I14" s="1340">
        <v>89058</v>
      </c>
      <c r="J14" s="1340">
        <v>0</v>
      </c>
      <c r="K14" s="1340">
        <v>0</v>
      </c>
      <c r="L14" s="1337">
        <f t="shared" si="0"/>
        <v>501273</v>
      </c>
      <c r="M14" s="1340" t="s">
        <v>2077</v>
      </c>
    </row>
    <row r="15" spans="2:14" ht="20.100000000000001" customHeight="1" x14ac:dyDescent="0.2">
      <c r="B15" s="1935" t="s">
        <v>2149</v>
      </c>
      <c r="C15" s="1338">
        <v>10.555</v>
      </c>
      <c r="D15" s="1339" t="s">
        <v>2074</v>
      </c>
      <c r="E15" s="1340">
        <v>0</v>
      </c>
      <c r="F15" s="1340">
        <v>354021</v>
      </c>
      <c r="G15" s="1340">
        <v>0</v>
      </c>
      <c r="H15" s="1340">
        <v>0</v>
      </c>
      <c r="I15" s="1340">
        <v>354021</v>
      </c>
      <c r="J15" s="1340">
        <v>0</v>
      </c>
      <c r="K15" s="1340">
        <v>0</v>
      </c>
      <c r="L15" s="1337">
        <f t="shared" si="0"/>
        <v>354021</v>
      </c>
      <c r="M15" s="1340" t="s">
        <v>2077</v>
      </c>
    </row>
    <row r="16" spans="2:14" ht="20.100000000000001" customHeight="1" x14ac:dyDescent="0.2">
      <c r="B16" s="1935" t="s">
        <v>2150</v>
      </c>
      <c r="C16" s="1338">
        <v>10.553000000000001</v>
      </c>
      <c r="D16" s="1339" t="s">
        <v>2075</v>
      </c>
      <c r="E16" s="1340">
        <v>146898</v>
      </c>
      <c r="F16" s="1340">
        <v>34023</v>
      </c>
      <c r="G16" s="1340">
        <v>146898</v>
      </c>
      <c r="H16" s="1340">
        <v>0</v>
      </c>
      <c r="I16" s="1340">
        <v>34023</v>
      </c>
      <c r="J16" s="1340">
        <v>0</v>
      </c>
      <c r="K16" s="1340">
        <v>0</v>
      </c>
      <c r="L16" s="1337">
        <f t="shared" si="0"/>
        <v>180921</v>
      </c>
      <c r="M16" s="1340" t="s">
        <v>2077</v>
      </c>
    </row>
    <row r="17" spans="2:14" ht="20.100000000000001" customHeight="1" x14ac:dyDescent="0.2">
      <c r="B17" s="1935" t="s">
        <v>2150</v>
      </c>
      <c r="C17" s="1338">
        <v>10.553000000000001</v>
      </c>
      <c r="D17" s="1339" t="s">
        <v>2076</v>
      </c>
      <c r="E17" s="1340">
        <v>0</v>
      </c>
      <c r="F17" s="1340">
        <v>140091</v>
      </c>
      <c r="G17" s="1340">
        <v>0</v>
      </c>
      <c r="H17" s="1340">
        <v>0</v>
      </c>
      <c r="I17" s="1340">
        <v>140091</v>
      </c>
      <c r="J17" s="1340">
        <v>0</v>
      </c>
      <c r="K17" s="1340">
        <v>0</v>
      </c>
      <c r="L17" s="1337">
        <f t="shared" si="0"/>
        <v>140091</v>
      </c>
      <c r="M17" s="1340" t="s">
        <v>2077</v>
      </c>
    </row>
    <row r="18" spans="2:14" ht="20.100000000000001" customHeight="1" x14ac:dyDescent="0.2">
      <c r="B18" s="1935" t="s">
        <v>2151</v>
      </c>
      <c r="C18" s="1338">
        <v>10.555999999999999</v>
      </c>
      <c r="D18" s="1339" t="s">
        <v>2125</v>
      </c>
      <c r="E18" s="1340">
        <v>1174</v>
      </c>
      <c r="F18" s="1340">
        <v>261</v>
      </c>
      <c r="G18" s="1340">
        <v>1174</v>
      </c>
      <c r="H18" s="1340">
        <v>0</v>
      </c>
      <c r="I18" s="1340">
        <v>261</v>
      </c>
      <c r="J18" s="1340">
        <v>0</v>
      </c>
      <c r="K18" s="1340">
        <v>0</v>
      </c>
      <c r="L18" s="1337">
        <f t="shared" si="0"/>
        <v>1435</v>
      </c>
      <c r="M18" s="1340" t="s">
        <v>2077</v>
      </c>
    </row>
    <row r="19" spans="2:14" ht="20.100000000000001" customHeight="1" x14ac:dyDescent="0.2">
      <c r="B19" s="1935" t="s">
        <v>2152</v>
      </c>
      <c r="C19" s="1338">
        <v>10.555999999999999</v>
      </c>
      <c r="D19" s="1339" t="s">
        <v>2124</v>
      </c>
      <c r="E19" s="1340">
        <v>0</v>
      </c>
      <c r="F19" s="1340">
        <v>1067</v>
      </c>
      <c r="G19" s="1340">
        <v>0</v>
      </c>
      <c r="H19" s="1340">
        <v>0</v>
      </c>
      <c r="I19" s="1340">
        <v>1236</v>
      </c>
      <c r="J19" s="1340">
        <v>0</v>
      </c>
      <c r="K19" s="1340">
        <v>0</v>
      </c>
      <c r="L19" s="1337">
        <f t="shared" si="0"/>
        <v>1236</v>
      </c>
      <c r="M19" s="1340" t="s">
        <v>2077</v>
      </c>
    </row>
    <row r="20" spans="2:14" ht="20.100000000000001" customHeight="1" x14ac:dyDescent="0.2">
      <c r="B20" s="1935" t="s">
        <v>2153</v>
      </c>
      <c r="C20" s="1338">
        <v>10.558999999999999</v>
      </c>
      <c r="D20" s="1339" t="s">
        <v>2126</v>
      </c>
      <c r="E20" s="1340">
        <v>0</v>
      </c>
      <c r="F20" s="1340">
        <v>10794</v>
      </c>
      <c r="G20" s="1340">
        <v>5181</v>
      </c>
      <c r="H20" s="1340">
        <v>0</v>
      </c>
      <c r="I20" s="1340">
        <v>5613</v>
      </c>
      <c r="J20" s="1340">
        <v>0</v>
      </c>
      <c r="K20" s="1340">
        <v>0</v>
      </c>
      <c r="L20" s="1337">
        <f t="shared" si="0"/>
        <v>10794</v>
      </c>
      <c r="M20" s="1340" t="s">
        <v>2077</v>
      </c>
    </row>
    <row r="21" spans="2:14" ht="20.100000000000001" customHeight="1" x14ac:dyDescent="0.2">
      <c r="B21" s="1935" t="s">
        <v>2153</v>
      </c>
      <c r="C21" s="1338">
        <v>10.558999999999999</v>
      </c>
      <c r="D21" s="1339" t="s">
        <v>2127</v>
      </c>
      <c r="E21" s="1340">
        <v>0</v>
      </c>
      <c r="F21" s="1340">
        <v>0</v>
      </c>
      <c r="G21" s="1340">
        <v>0</v>
      </c>
      <c r="H21" s="1340">
        <f t="shared" ref="H21:K21" si="1">+H19+H18+H17+H16+H15+H14</f>
        <v>0</v>
      </c>
      <c r="I21" s="1340">
        <v>5000</v>
      </c>
      <c r="J21" s="1340">
        <f t="shared" si="1"/>
        <v>0</v>
      </c>
      <c r="K21" s="1340">
        <f t="shared" si="1"/>
        <v>0</v>
      </c>
      <c r="L21" s="1337">
        <f t="shared" si="0"/>
        <v>5000</v>
      </c>
      <c r="M21" s="1340" t="s">
        <v>2077</v>
      </c>
    </row>
    <row r="22" spans="2:14" ht="20.100000000000001" customHeight="1" x14ac:dyDescent="0.2">
      <c r="B22" s="1935" t="s">
        <v>2154</v>
      </c>
      <c r="C22" s="1338">
        <v>10.555</v>
      </c>
      <c r="D22" s="1339" t="s">
        <v>2077</v>
      </c>
      <c r="E22" s="1340">
        <v>0</v>
      </c>
      <c r="F22" s="1340">
        <v>36432</v>
      </c>
      <c r="G22" s="1340">
        <v>0</v>
      </c>
      <c r="H22" s="1340">
        <v>0</v>
      </c>
      <c r="I22" s="1340">
        <v>36432</v>
      </c>
      <c r="J22" s="1340">
        <v>0</v>
      </c>
      <c r="K22" s="1340">
        <v>0</v>
      </c>
      <c r="L22" s="1337">
        <f t="shared" si="0"/>
        <v>36432</v>
      </c>
      <c r="M22" s="1340" t="s">
        <v>2077</v>
      </c>
    </row>
    <row r="23" spans="2:14" ht="20.100000000000001" customHeight="1" x14ac:dyDescent="0.2">
      <c r="B23" s="1935" t="s">
        <v>2155</v>
      </c>
      <c r="C23" s="1338">
        <v>10.555</v>
      </c>
      <c r="D23" s="1339" t="s">
        <v>2077</v>
      </c>
      <c r="E23" s="1340">
        <v>0</v>
      </c>
      <c r="F23" s="1340">
        <v>19560</v>
      </c>
      <c r="G23" s="1340">
        <v>0</v>
      </c>
      <c r="H23" s="1340">
        <v>0</v>
      </c>
      <c r="I23" s="1340">
        <v>19560</v>
      </c>
      <c r="J23" s="1340">
        <v>0</v>
      </c>
      <c r="K23" s="1340">
        <v>0</v>
      </c>
      <c r="L23" s="1337">
        <f t="shared" si="0"/>
        <v>19560</v>
      </c>
      <c r="M23" s="1340" t="s">
        <v>2077</v>
      </c>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936" t="s">
        <v>2097</v>
      </c>
      <c r="C25" s="1338"/>
      <c r="D25" s="1339"/>
      <c r="E25" s="1340">
        <f t="shared" ref="E25:K25" si="2">+E23+E22+E21+E20+E19+E18+E17+E16+E15+E14</f>
        <v>560287</v>
      </c>
      <c r="F25" s="1340">
        <f t="shared" si="2"/>
        <v>685307</v>
      </c>
      <c r="G25" s="1340">
        <f t="shared" si="2"/>
        <v>565468</v>
      </c>
      <c r="H25" s="1340">
        <f t="shared" si="2"/>
        <v>0</v>
      </c>
      <c r="I25" s="1340">
        <f t="shared" si="2"/>
        <v>685295</v>
      </c>
      <c r="J25" s="1340">
        <f t="shared" si="2"/>
        <v>0</v>
      </c>
      <c r="K25" s="1340">
        <f t="shared" si="2"/>
        <v>0</v>
      </c>
      <c r="L25" s="1337">
        <f t="shared" si="0"/>
        <v>1250763</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932"/>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4" zoomScaleNormal="100" workbookViewId="0">
      <selection activeCell="A7" sqref="A7:F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Lincoln ESD 27</v>
      </c>
      <c r="C1" s="2439"/>
      <c r="D1" s="2439"/>
      <c r="E1" s="2439"/>
      <c r="F1" s="2439"/>
      <c r="G1" s="2439"/>
      <c r="H1" s="2439"/>
      <c r="I1" s="2439"/>
      <c r="J1" s="2439"/>
      <c r="K1" s="2439"/>
      <c r="L1" s="2439"/>
      <c r="M1" s="2439"/>
    </row>
    <row r="2" spans="2:14" ht="15" x14ac:dyDescent="0.2">
      <c r="B2" s="2440">
        <f>'Single Audit Cover'!E7</f>
        <v>17054027002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1" t="s">
        <v>2130</v>
      </c>
      <c r="C11" s="1335">
        <v>10.579000000000001</v>
      </c>
      <c r="D11" s="1336" t="s">
        <v>2087</v>
      </c>
      <c r="E11" s="1337">
        <v>0</v>
      </c>
      <c r="F11" s="1337">
        <v>2179</v>
      </c>
      <c r="G11" s="1337">
        <v>0</v>
      </c>
      <c r="H11" s="1337">
        <v>0</v>
      </c>
      <c r="I11" s="1337">
        <v>2179</v>
      </c>
      <c r="J11" s="1337">
        <v>0</v>
      </c>
      <c r="K11" s="1337">
        <v>0</v>
      </c>
      <c r="L11" s="1337">
        <f>+G11+I11+K11</f>
        <v>2179</v>
      </c>
      <c r="M11" s="1337" t="s">
        <v>2077</v>
      </c>
    </row>
    <row r="12" spans="2:14" ht="20.100000000000001" customHeight="1" x14ac:dyDescent="0.2">
      <c r="B12" s="1941" t="s">
        <v>2131</v>
      </c>
      <c r="C12" s="1338">
        <v>10.582000000000001</v>
      </c>
      <c r="D12" s="1339" t="s">
        <v>2132</v>
      </c>
      <c r="E12" s="1340">
        <v>0</v>
      </c>
      <c r="F12" s="1340">
        <v>5428</v>
      </c>
      <c r="G12" s="1340">
        <v>0</v>
      </c>
      <c r="H12" s="1340">
        <v>0</v>
      </c>
      <c r="I12" s="1340">
        <v>5428</v>
      </c>
      <c r="J12" s="1340">
        <v>0</v>
      </c>
      <c r="K12" s="1340">
        <v>0</v>
      </c>
      <c r="L12" s="1337">
        <f t="shared" ref="L12:L15" si="0">+G12+I12+K12</f>
        <v>5428</v>
      </c>
      <c r="M12" s="1340" t="s">
        <v>2077</v>
      </c>
    </row>
    <row r="13" spans="2:14" ht="20.100000000000001" customHeight="1" x14ac:dyDescent="0.2">
      <c r="B13" s="1941" t="s">
        <v>2131</v>
      </c>
      <c r="C13" s="1338">
        <v>10.582000000000001</v>
      </c>
      <c r="D13" s="1339" t="s">
        <v>2133</v>
      </c>
      <c r="E13" s="1340">
        <v>0</v>
      </c>
      <c r="F13" s="1340">
        <v>1955</v>
      </c>
      <c r="G13" s="1340">
        <v>0</v>
      </c>
      <c r="H13" s="1340">
        <v>0</v>
      </c>
      <c r="I13" s="1340">
        <v>1955</v>
      </c>
      <c r="J13" s="1340">
        <v>0</v>
      </c>
      <c r="K13" s="1340">
        <v>0</v>
      </c>
      <c r="L13" s="1337">
        <f t="shared" si="0"/>
        <v>1955</v>
      </c>
      <c r="M13" s="1340" t="s">
        <v>2077</v>
      </c>
    </row>
    <row r="14" spans="2:14" ht="20.100000000000001" customHeight="1" x14ac:dyDescent="0.2">
      <c r="B14" s="1941" t="s">
        <v>2131</v>
      </c>
      <c r="C14" s="1338">
        <v>10.582000000000001</v>
      </c>
      <c r="D14" s="1339" t="s">
        <v>2134</v>
      </c>
      <c r="E14" s="1340">
        <v>0</v>
      </c>
      <c r="F14" s="1340">
        <v>20554</v>
      </c>
      <c r="G14" s="1340">
        <v>0</v>
      </c>
      <c r="H14" s="1340">
        <v>0</v>
      </c>
      <c r="I14" s="1340">
        <v>20554</v>
      </c>
      <c r="J14" s="1340">
        <v>0</v>
      </c>
      <c r="K14" s="1340">
        <v>0</v>
      </c>
      <c r="L14" s="1337">
        <f t="shared" si="0"/>
        <v>20554</v>
      </c>
      <c r="M14" s="1340" t="s">
        <v>2077</v>
      </c>
    </row>
    <row r="15" spans="2:14" ht="20.100000000000001" customHeight="1" x14ac:dyDescent="0.2">
      <c r="B15" s="1934"/>
      <c r="C15" s="1338"/>
      <c r="D15" s="1339"/>
      <c r="E15" s="1340"/>
      <c r="F15" s="1340"/>
      <c r="G15" s="1340"/>
      <c r="H15" s="1340"/>
      <c r="I15" s="1340"/>
      <c r="J15" s="1340"/>
      <c r="K15" s="1340"/>
      <c r="L15" s="1337">
        <f t="shared" si="0"/>
        <v>0</v>
      </c>
      <c r="M15" s="1340"/>
    </row>
    <row r="16" spans="2:14" ht="20.100000000000001" customHeight="1" x14ac:dyDescent="0.2">
      <c r="B16" s="1932" t="s">
        <v>2098</v>
      </c>
      <c r="C16" s="1338"/>
      <c r="D16" s="1339"/>
      <c r="E16" s="1340">
        <f>+E14+E13+E12+E11+' SEFA'!E25</f>
        <v>560287</v>
      </c>
      <c r="F16" s="1340">
        <f>+F14+F13+F12+F11+' SEFA'!F25</f>
        <v>715423</v>
      </c>
      <c r="G16" s="1340">
        <f>+G14+G13+G12+G11+' SEFA'!G25</f>
        <v>565468</v>
      </c>
      <c r="H16" s="1340">
        <f>+H14+H13+H12+H11+' SEFA'!H25</f>
        <v>0</v>
      </c>
      <c r="I16" s="1340">
        <f>+I14+I13+I12+I11+' SEFA'!I25</f>
        <v>715411</v>
      </c>
      <c r="J16" s="1340">
        <f>+J14+J13+J12+J11+' SEFA'!J25</f>
        <v>0</v>
      </c>
      <c r="K16" s="1340">
        <f>+K14+K13+K12+K11+' SEFA'!K25</f>
        <v>0</v>
      </c>
      <c r="L16" s="1337">
        <f t="shared" ref="L16:L18" si="1">+G16+I16+K16</f>
        <v>1280879</v>
      </c>
      <c r="M16" s="1340"/>
    </row>
    <row r="17" spans="2:14" ht="20.100000000000001" customHeight="1" x14ac:dyDescent="0.2">
      <c r="B17" s="1934"/>
      <c r="C17" s="1338"/>
      <c r="D17" s="1339"/>
      <c r="E17" s="1340"/>
      <c r="F17" s="1340"/>
      <c r="G17" s="1340"/>
      <c r="H17" s="1340"/>
      <c r="I17" s="1340"/>
      <c r="J17" s="1340"/>
      <c r="K17" s="1340"/>
      <c r="L17" s="1337">
        <f t="shared" si="1"/>
        <v>0</v>
      </c>
      <c r="M17" s="1340"/>
    </row>
    <row r="18" spans="2:14" ht="20.100000000000001" customHeight="1" x14ac:dyDescent="0.2">
      <c r="B18" s="1932" t="s">
        <v>2078</v>
      </c>
      <c r="C18" s="1335"/>
      <c r="D18" s="1336"/>
      <c r="E18" s="1337"/>
      <c r="F18" s="1337"/>
      <c r="G18" s="1337"/>
      <c r="H18" s="1337"/>
      <c r="I18" s="1337"/>
      <c r="J18" s="1337"/>
      <c r="K18" s="1337"/>
      <c r="L18" s="1337">
        <f t="shared" si="1"/>
        <v>0</v>
      </c>
      <c r="M18" s="1340"/>
    </row>
    <row r="19" spans="2:14" ht="20.100000000000001" customHeight="1" x14ac:dyDescent="0.2">
      <c r="B19" s="1933" t="s">
        <v>2072</v>
      </c>
      <c r="C19" s="1338"/>
      <c r="D19" s="1339"/>
      <c r="E19" s="1340"/>
      <c r="F19" s="1340"/>
      <c r="G19" s="1340"/>
      <c r="H19" s="1340"/>
      <c r="I19" s="1340"/>
      <c r="J19" s="1340"/>
      <c r="K19" s="1340"/>
      <c r="L19" s="1337">
        <f>+G19+I19+K19</f>
        <v>0</v>
      </c>
      <c r="M19" s="1337"/>
    </row>
    <row r="20" spans="2:14" ht="20.100000000000001" customHeight="1" x14ac:dyDescent="0.2">
      <c r="B20" s="1934" t="s">
        <v>2156</v>
      </c>
      <c r="C20" s="1338">
        <v>84.01</v>
      </c>
      <c r="D20" s="1339" t="s">
        <v>2081</v>
      </c>
      <c r="E20" s="1340">
        <v>222852</v>
      </c>
      <c r="F20" s="1340">
        <v>177235</v>
      </c>
      <c r="G20" s="1340">
        <v>316418</v>
      </c>
      <c r="H20" s="1340">
        <v>0</v>
      </c>
      <c r="I20" s="1340">
        <v>83669</v>
      </c>
      <c r="J20" s="1340">
        <v>0</v>
      </c>
      <c r="K20" s="1340">
        <v>0</v>
      </c>
      <c r="L20" s="1337">
        <f t="shared" ref="L20:L25" si="2">+G20+I20+K20</f>
        <v>400087</v>
      </c>
      <c r="M20" s="1340">
        <v>424043</v>
      </c>
    </row>
    <row r="21" spans="2:14" ht="20.100000000000001" customHeight="1" x14ac:dyDescent="0.2">
      <c r="B21" s="1934" t="s">
        <v>2156</v>
      </c>
      <c r="C21" s="1338">
        <v>84.01</v>
      </c>
      <c r="D21" s="1339" t="s">
        <v>2082</v>
      </c>
      <c r="E21" s="1340">
        <v>0</v>
      </c>
      <c r="F21" s="1340">
        <v>232323</v>
      </c>
      <c r="G21" s="1340">
        <v>0</v>
      </c>
      <c r="H21" s="1340">
        <v>0</v>
      </c>
      <c r="I21" s="1340">
        <v>363592</v>
      </c>
      <c r="J21" s="1340">
        <v>0</v>
      </c>
      <c r="K21" s="1340">
        <v>0</v>
      </c>
      <c r="L21" s="1337">
        <f t="shared" si="2"/>
        <v>363592</v>
      </c>
      <c r="M21" s="1340">
        <v>480179</v>
      </c>
    </row>
    <row r="22" spans="2:14" ht="20.100000000000001" customHeight="1" x14ac:dyDescent="0.2">
      <c r="B22" s="1934" t="s">
        <v>2157</v>
      </c>
      <c r="C22" s="1338">
        <v>84.01</v>
      </c>
      <c r="D22" s="1339" t="s">
        <v>2129</v>
      </c>
      <c r="E22" s="1340">
        <v>0</v>
      </c>
      <c r="F22" s="1340">
        <v>15300</v>
      </c>
      <c r="G22" s="1340">
        <v>0</v>
      </c>
      <c r="H22" s="1340">
        <v>0</v>
      </c>
      <c r="I22" s="1340">
        <v>35007</v>
      </c>
      <c r="J22" s="1340">
        <v>0</v>
      </c>
      <c r="K22" s="1340">
        <v>0</v>
      </c>
      <c r="L22" s="1337">
        <f t="shared" si="2"/>
        <v>35007</v>
      </c>
      <c r="M22" s="1340">
        <v>49878</v>
      </c>
    </row>
    <row r="23" spans="2:14" ht="20.100000000000001" customHeight="1" x14ac:dyDescent="0.2">
      <c r="B23" s="1934" t="s">
        <v>2079</v>
      </c>
      <c r="C23" s="1338">
        <v>84.367000000000004</v>
      </c>
      <c r="D23" s="1339" t="s">
        <v>2083</v>
      </c>
      <c r="E23" s="1340">
        <v>20410</v>
      </c>
      <c r="F23" s="1340">
        <v>14613</v>
      </c>
      <c r="G23" s="1340">
        <v>26558</v>
      </c>
      <c r="H23" s="1340">
        <v>0</v>
      </c>
      <c r="I23" s="1340">
        <v>8465</v>
      </c>
      <c r="J23" s="1340">
        <v>0</v>
      </c>
      <c r="K23" s="1340">
        <v>0</v>
      </c>
      <c r="L23" s="1337">
        <f t="shared" si="2"/>
        <v>35023</v>
      </c>
      <c r="M23" s="1340">
        <v>54782</v>
      </c>
    </row>
    <row r="24" spans="2:14" ht="20.100000000000001" customHeight="1" x14ac:dyDescent="0.2">
      <c r="B24" s="1934" t="s">
        <v>2079</v>
      </c>
      <c r="C24" s="1338">
        <v>84.367000000000004</v>
      </c>
      <c r="D24" s="1339" t="s">
        <v>2084</v>
      </c>
      <c r="E24" s="1340">
        <v>0</v>
      </c>
      <c r="F24" s="1340">
        <v>54319</v>
      </c>
      <c r="G24" s="1340">
        <v>0</v>
      </c>
      <c r="H24" s="1340">
        <v>0</v>
      </c>
      <c r="I24" s="1340">
        <v>67387</v>
      </c>
      <c r="J24" s="1340">
        <v>0</v>
      </c>
      <c r="K24" s="1340">
        <v>0</v>
      </c>
      <c r="L24" s="1337">
        <f t="shared" si="2"/>
        <v>67387</v>
      </c>
      <c r="M24" s="1340">
        <v>89747</v>
      </c>
    </row>
    <row r="25" spans="2:14" ht="20.100000000000001" customHeight="1" x14ac:dyDescent="0.2">
      <c r="B25" s="1934" t="s">
        <v>2135</v>
      </c>
      <c r="C25" s="1338">
        <v>84.424000000000007</v>
      </c>
      <c r="D25" s="1339" t="s">
        <v>2136</v>
      </c>
      <c r="E25" s="1340">
        <v>794</v>
      </c>
      <c r="F25" s="1340">
        <v>20675</v>
      </c>
      <c r="G25" s="1340">
        <v>14333</v>
      </c>
      <c r="H25" s="1340">
        <v>0</v>
      </c>
      <c r="I25" s="1340">
        <v>7136</v>
      </c>
      <c r="J25" s="1340">
        <v>0</v>
      </c>
      <c r="K25" s="1340">
        <v>0</v>
      </c>
      <c r="L25" s="1337">
        <f t="shared" si="2"/>
        <v>21469</v>
      </c>
      <c r="M25" s="1340">
        <v>26069</v>
      </c>
    </row>
    <row r="26" spans="2:14" ht="20.100000000000001" customHeight="1" x14ac:dyDescent="0.2">
      <c r="B26" s="1934" t="s">
        <v>2135</v>
      </c>
      <c r="C26" s="1338">
        <v>84.424000000000007</v>
      </c>
      <c r="D26" s="1339" t="s">
        <v>2137</v>
      </c>
      <c r="E26" s="1340">
        <v>0</v>
      </c>
      <c r="F26" s="1340">
        <v>20775</v>
      </c>
      <c r="G26" s="1340">
        <v>0</v>
      </c>
      <c r="H26" s="1340">
        <v>0</v>
      </c>
      <c r="I26" s="1340">
        <v>21616</v>
      </c>
      <c r="J26" s="1340">
        <v>0</v>
      </c>
      <c r="K26" s="1340">
        <v>0</v>
      </c>
      <c r="L26" s="1337">
        <f t="shared" ref="L26:L27" si="3">+G26+I26+K26</f>
        <v>21616</v>
      </c>
      <c r="M26" s="1340">
        <v>34595</v>
      </c>
    </row>
    <row r="27" spans="2:14" ht="20.100000000000001" customHeight="1" x14ac:dyDescent="0.2">
      <c r="B27" s="1934"/>
      <c r="C27" s="1338"/>
      <c r="D27" s="1339"/>
      <c r="E27" s="1340"/>
      <c r="F27" s="1340"/>
      <c r="G27" s="1340"/>
      <c r="H27" s="1340"/>
      <c r="I27" s="1340"/>
      <c r="J27" s="1340"/>
      <c r="K27" s="1340"/>
      <c r="L27" s="1337">
        <f t="shared" si="3"/>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40A&amp;R&amp;8Page 40A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104" colorId="8" zoomScale="110" zoomScaleNormal="110" workbookViewId="0">
      <selection activeCell="J31" sqref="J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2062</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45" right="0.25" top="0.39" bottom="0.33" header="0.19" footer="0.17"/>
  <pageSetup scale="83"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4" zoomScaleNormal="100" workbookViewId="0">
      <selection activeCell="A7" sqref="A7:F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Lincoln ESD 27</v>
      </c>
      <c r="C1" s="2439"/>
      <c r="D1" s="2439"/>
      <c r="E1" s="2439"/>
      <c r="F1" s="2439"/>
      <c r="G1" s="2439"/>
      <c r="H1" s="2439"/>
      <c r="I1" s="2439"/>
      <c r="J1" s="2439"/>
      <c r="K1" s="2439"/>
      <c r="L1" s="2439"/>
      <c r="M1" s="2439"/>
    </row>
    <row r="2" spans="2:14" ht="15" x14ac:dyDescent="0.2">
      <c r="B2" s="2440">
        <f>'Single Audit Cover'!E7</f>
        <v>17054027002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2080</v>
      </c>
      <c r="C11" s="1335">
        <v>84.358000000000004</v>
      </c>
      <c r="D11" s="1336" t="s">
        <v>2085</v>
      </c>
      <c r="E11" s="1337">
        <v>17650</v>
      </c>
      <c r="F11" s="1337">
        <v>2891</v>
      </c>
      <c r="G11" s="1337">
        <v>18387</v>
      </c>
      <c r="H11" s="1337">
        <v>0</v>
      </c>
      <c r="I11" s="1337">
        <v>2154</v>
      </c>
      <c r="J11" s="1337">
        <v>0</v>
      </c>
      <c r="K11" s="1337">
        <v>0</v>
      </c>
      <c r="L11" s="1337">
        <f>+G11+I11+K11</f>
        <v>20541</v>
      </c>
      <c r="M11" s="1337">
        <v>20920</v>
      </c>
    </row>
    <row r="12" spans="2:14" ht="20.100000000000001" customHeight="1" x14ac:dyDescent="0.2">
      <c r="B12" s="1334" t="s">
        <v>2080</v>
      </c>
      <c r="C12" s="1338">
        <v>84.358000000000004</v>
      </c>
      <c r="D12" s="1339" t="s">
        <v>2128</v>
      </c>
      <c r="E12" s="1340">
        <v>0</v>
      </c>
      <c r="F12" s="1340">
        <v>8388</v>
      </c>
      <c r="G12" s="1340">
        <v>0</v>
      </c>
      <c r="H12" s="1340">
        <v>0</v>
      </c>
      <c r="I12" s="1340">
        <v>8388</v>
      </c>
      <c r="J12" s="1340">
        <v>0</v>
      </c>
      <c r="K12" s="1340">
        <v>0</v>
      </c>
      <c r="L12" s="1337">
        <f t="shared" ref="L12:L27" si="0">+G12+I12+K12</f>
        <v>8388</v>
      </c>
      <c r="M12" s="1340">
        <v>20877</v>
      </c>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932" t="s">
        <v>2138</v>
      </c>
      <c r="C14" s="1338"/>
      <c r="D14" s="1339"/>
      <c r="E14" s="1340"/>
      <c r="F14" s="1340"/>
      <c r="G14" s="1340"/>
      <c r="H14" s="1340"/>
      <c r="I14" s="1340"/>
      <c r="J14" s="1340"/>
      <c r="K14" s="1340"/>
      <c r="L14" s="1337">
        <f t="shared" si="0"/>
        <v>0</v>
      </c>
      <c r="M14" s="1340"/>
    </row>
    <row r="15" spans="2:14" ht="20.100000000000001" customHeight="1" x14ac:dyDescent="0.2">
      <c r="B15" s="1933" t="s">
        <v>2139</v>
      </c>
      <c r="C15" s="1338"/>
      <c r="D15" s="1339"/>
      <c r="E15" s="1340"/>
      <c r="F15" s="1340"/>
      <c r="G15" s="1340"/>
      <c r="H15" s="1340"/>
      <c r="I15" s="1340"/>
      <c r="J15" s="1340"/>
      <c r="K15" s="1340"/>
      <c r="L15" s="1337">
        <f t="shared" si="0"/>
        <v>0</v>
      </c>
      <c r="M15" s="1340"/>
    </row>
    <row r="16" spans="2:14" ht="20.100000000000001" customHeight="1" x14ac:dyDescent="0.2">
      <c r="B16" s="1934" t="s">
        <v>2142</v>
      </c>
      <c r="C16" s="1338">
        <v>84.173000000000002</v>
      </c>
      <c r="D16" s="1339" t="s">
        <v>2088</v>
      </c>
      <c r="E16" s="1340">
        <v>8366</v>
      </c>
      <c r="F16" s="1340">
        <v>5708</v>
      </c>
      <c r="G16" s="1340">
        <v>14074</v>
      </c>
      <c r="H16" s="1340">
        <v>0</v>
      </c>
      <c r="I16" s="1340">
        <v>0</v>
      </c>
      <c r="J16" s="1340">
        <v>0</v>
      </c>
      <c r="K16" s="1340">
        <v>0</v>
      </c>
      <c r="L16" s="1337">
        <f t="shared" si="0"/>
        <v>14074</v>
      </c>
      <c r="M16" s="1340">
        <v>14900</v>
      </c>
    </row>
    <row r="17" spans="2:14" ht="20.100000000000001" customHeight="1" x14ac:dyDescent="0.2">
      <c r="B17" s="1934" t="s">
        <v>2142</v>
      </c>
      <c r="C17" s="1338">
        <v>84.173000000000002</v>
      </c>
      <c r="D17" s="1339" t="s">
        <v>2140</v>
      </c>
      <c r="E17" s="1340">
        <v>0</v>
      </c>
      <c r="F17" s="1340">
        <v>13369</v>
      </c>
      <c r="G17" s="1340">
        <v>0</v>
      </c>
      <c r="H17" s="1340">
        <v>0</v>
      </c>
      <c r="I17" s="1340">
        <v>14344</v>
      </c>
      <c r="J17" s="1340">
        <v>0</v>
      </c>
      <c r="K17" s="1340">
        <v>0</v>
      </c>
      <c r="L17" s="1337">
        <f t="shared" si="0"/>
        <v>14344</v>
      </c>
      <c r="M17" s="1340">
        <v>14344</v>
      </c>
    </row>
    <row r="18" spans="2:14" ht="20.100000000000001" customHeight="1" x14ac:dyDescent="0.2">
      <c r="B18" s="1934" t="s">
        <v>2143</v>
      </c>
      <c r="C18" s="1338">
        <v>84.027000000000001</v>
      </c>
      <c r="D18" s="1339" t="s">
        <v>2086</v>
      </c>
      <c r="E18" s="1340">
        <v>133805</v>
      </c>
      <c r="F18" s="1340">
        <v>147875</v>
      </c>
      <c r="G18" s="1340">
        <v>279748</v>
      </c>
      <c r="H18" s="1340">
        <v>0</v>
      </c>
      <c r="I18" s="1340">
        <v>1932</v>
      </c>
      <c r="J18" s="1340">
        <v>0</v>
      </c>
      <c r="K18" s="1340">
        <v>0</v>
      </c>
      <c r="L18" s="1337">
        <f t="shared" si="0"/>
        <v>281680</v>
      </c>
      <c r="M18" s="1340">
        <v>282043</v>
      </c>
    </row>
    <row r="19" spans="2:14" ht="20.100000000000001" customHeight="1" x14ac:dyDescent="0.2">
      <c r="B19" s="1934" t="s">
        <v>2143</v>
      </c>
      <c r="C19" s="1338">
        <v>84.027000000000001</v>
      </c>
      <c r="D19" s="1339" t="s">
        <v>2141</v>
      </c>
      <c r="E19" s="1340">
        <v>0</v>
      </c>
      <c r="F19" s="1340">
        <v>216193</v>
      </c>
      <c r="G19" s="1340">
        <v>0</v>
      </c>
      <c r="H19" s="1340">
        <v>0</v>
      </c>
      <c r="I19" s="1340">
        <v>266191</v>
      </c>
      <c r="J19" s="1340">
        <v>0</v>
      </c>
      <c r="K19" s="1340"/>
      <c r="L19" s="1337">
        <f t="shared" si="0"/>
        <v>266191</v>
      </c>
      <c r="M19" s="1340">
        <v>266191</v>
      </c>
    </row>
    <row r="20" spans="2:14" ht="20.100000000000001" customHeight="1" x14ac:dyDescent="0.2">
      <c r="B20" s="1934"/>
      <c r="C20" s="1338"/>
      <c r="D20" s="1339"/>
      <c r="E20" s="1340"/>
      <c r="F20" s="1340"/>
      <c r="G20" s="1340"/>
      <c r="H20" s="1340"/>
      <c r="I20" s="1340"/>
      <c r="J20" s="1340"/>
      <c r="K20" s="1340"/>
      <c r="L20" s="1337">
        <f t="shared" si="0"/>
        <v>0</v>
      </c>
      <c r="M20" s="1340"/>
    </row>
    <row r="21" spans="2:14" ht="20.100000000000001" customHeight="1" x14ac:dyDescent="0.2">
      <c r="B21" s="1932" t="s">
        <v>2144</v>
      </c>
      <c r="C21" s="1338"/>
      <c r="D21" s="1339"/>
      <c r="E21" s="1340">
        <f>SUM(E16:E20)</f>
        <v>142171</v>
      </c>
      <c r="F21" s="1340">
        <f t="shared" ref="F21:K21" si="1">SUM(F16:F20)</f>
        <v>383145</v>
      </c>
      <c r="G21" s="1340">
        <f t="shared" si="1"/>
        <v>293822</v>
      </c>
      <c r="H21" s="1340">
        <f t="shared" si="1"/>
        <v>0</v>
      </c>
      <c r="I21" s="1340">
        <f t="shared" si="1"/>
        <v>282467</v>
      </c>
      <c r="J21" s="1340">
        <f t="shared" si="1"/>
        <v>0</v>
      </c>
      <c r="K21" s="1340">
        <f t="shared" si="1"/>
        <v>0</v>
      </c>
      <c r="L21" s="1337">
        <f t="shared" si="0"/>
        <v>576289</v>
      </c>
      <c r="M21" s="1340"/>
    </row>
    <row r="22" spans="2:14" ht="20.100000000000001" customHeight="1" x14ac:dyDescent="0.2">
      <c r="B22" s="1932"/>
      <c r="C22" s="1338"/>
      <c r="D22" s="1339"/>
      <c r="E22" s="1340"/>
      <c r="F22" s="1340"/>
      <c r="G22" s="1340"/>
      <c r="H22" s="1340"/>
      <c r="I22" s="1340"/>
      <c r="J22" s="1340"/>
      <c r="K22" s="1340"/>
      <c r="L22" s="1337">
        <f t="shared" si="0"/>
        <v>0</v>
      </c>
      <c r="M22" s="1340"/>
    </row>
    <row r="23" spans="2:14" ht="20.100000000000001" customHeight="1" x14ac:dyDescent="0.2">
      <c r="B23" s="1932" t="s">
        <v>2089</v>
      </c>
      <c r="C23" s="1338"/>
      <c r="D23" s="1339"/>
      <c r="E23" s="1340">
        <f>+E21+E12+E11+' SEFA A'!E26+' SEFA A'!E25+' SEFA A'!E24+' SEFA A'!E23+' SEFA A'!E22+' SEFA A'!E21+' SEFA A'!E20</f>
        <v>403877</v>
      </c>
      <c r="F23" s="1340">
        <f>+F21+F12+F11+' SEFA A'!F26+' SEFA A'!F25+' SEFA A'!F24+' SEFA A'!F23+' SEFA A'!F22+' SEFA A'!F21+' SEFA A'!F20</f>
        <v>929664</v>
      </c>
      <c r="G23" s="1340">
        <f>+G21+G12+G11+' SEFA A'!G26+' SEFA A'!G25+' SEFA A'!G24+' SEFA A'!G23+' SEFA A'!G22+' SEFA A'!G21+' SEFA A'!G20</f>
        <v>669518</v>
      </c>
      <c r="H23" s="1340">
        <f>+H21+H12+H11+' SEFA A'!H26+' SEFA A'!H25+' SEFA A'!H24+' SEFA A'!H23+' SEFA A'!H22+' SEFA A'!H21+' SEFA A'!H20</f>
        <v>0</v>
      </c>
      <c r="I23" s="1340">
        <f>+I21+I12+I11+' SEFA A'!I26+' SEFA A'!I25+' SEFA A'!I24+' SEFA A'!I23+' SEFA A'!I22+' SEFA A'!I21+' SEFA A'!I20</f>
        <v>879881</v>
      </c>
      <c r="J23" s="1340">
        <f>+J21+J12+J11+' SEFA A'!J26+' SEFA A'!J25+' SEFA A'!J24+' SEFA A'!J23+' SEFA A'!J22+' SEFA A'!J21+' SEFA A'!J20</f>
        <v>0</v>
      </c>
      <c r="K23" s="1340">
        <f>+K21+K12+K11+' SEFA A'!K26+' SEFA A'!K25+' SEFA A'!K24+' SEFA A'!K23+' SEFA A'!K22+' SEFA A'!K21+' SEFA A'!K20</f>
        <v>0</v>
      </c>
      <c r="L23" s="1337">
        <f t="shared" si="0"/>
        <v>1549399</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40B&amp;R&amp;8Page 40B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A7" sqref="A7:F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Lincoln ESD 27</v>
      </c>
      <c r="C1" s="2439"/>
      <c r="D1" s="2439"/>
      <c r="E1" s="2439"/>
      <c r="F1" s="2439"/>
      <c r="G1" s="2439"/>
      <c r="H1" s="2439"/>
      <c r="I1" s="2439"/>
      <c r="J1" s="2439"/>
      <c r="K1" s="2439"/>
      <c r="L1" s="2439"/>
      <c r="M1" s="2439"/>
    </row>
    <row r="2" spans="2:14" ht="15" x14ac:dyDescent="0.2">
      <c r="B2" s="2440">
        <f>'Single Audit Cover'!E7</f>
        <v>17054027002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2" t="s">
        <v>2090</v>
      </c>
      <c r="C11" s="1335"/>
      <c r="D11" s="1336"/>
      <c r="E11" s="1337"/>
      <c r="F11" s="1337"/>
      <c r="G11" s="1337"/>
      <c r="H11" s="1337"/>
      <c r="I11" s="1337"/>
      <c r="J11" s="1337"/>
      <c r="K11" s="1337"/>
      <c r="L11" s="1337">
        <f>+G11+I11+K11</f>
        <v>0</v>
      </c>
      <c r="M11" s="1337"/>
    </row>
    <row r="12" spans="2:14" ht="20.100000000000001" customHeight="1" x14ac:dyDescent="0.2">
      <c r="B12" s="1933" t="s">
        <v>2091</v>
      </c>
      <c r="C12" s="1338"/>
      <c r="D12" s="1339"/>
      <c r="E12" s="1340"/>
      <c r="F12" s="1340"/>
      <c r="G12" s="1340"/>
      <c r="H12" s="1340"/>
      <c r="I12" s="1340"/>
      <c r="J12" s="1340"/>
      <c r="K12" s="1340"/>
      <c r="L12" s="1337">
        <f t="shared" ref="L12:L27" si="0">+G12+I12+K12</f>
        <v>0</v>
      </c>
      <c r="M12" s="1340"/>
    </row>
    <row r="13" spans="2:14" ht="20.100000000000001" customHeight="1" x14ac:dyDescent="0.2">
      <c r="B13" s="1934" t="s">
        <v>2092</v>
      </c>
      <c r="C13" s="1338">
        <v>93.778000000000006</v>
      </c>
      <c r="D13" s="1339" t="s">
        <v>2093</v>
      </c>
      <c r="E13" s="1340">
        <v>20760</v>
      </c>
      <c r="F13" s="1340">
        <v>5657</v>
      </c>
      <c r="G13" s="1340">
        <v>26417</v>
      </c>
      <c r="H13" s="1340">
        <v>0</v>
      </c>
      <c r="I13" s="1340">
        <v>0</v>
      </c>
      <c r="J13" s="1340">
        <v>0</v>
      </c>
      <c r="K13" s="1340">
        <v>0</v>
      </c>
      <c r="L13" s="1337">
        <f t="shared" si="0"/>
        <v>26417</v>
      </c>
      <c r="M13" s="1340" t="s">
        <v>2077</v>
      </c>
    </row>
    <row r="14" spans="2:14" ht="20.100000000000001" customHeight="1" x14ac:dyDescent="0.2">
      <c r="B14" s="1934" t="s">
        <v>2092</v>
      </c>
      <c r="C14" s="1338">
        <v>93.778000000000006</v>
      </c>
      <c r="D14" s="1339" t="s">
        <v>2094</v>
      </c>
      <c r="E14" s="1340">
        <v>0</v>
      </c>
      <c r="F14" s="1340">
        <v>15486</v>
      </c>
      <c r="G14" s="1340">
        <v>0</v>
      </c>
      <c r="H14" s="1340">
        <v>0</v>
      </c>
      <c r="I14" s="1340">
        <v>21272</v>
      </c>
      <c r="J14" s="1340">
        <v>0</v>
      </c>
      <c r="K14" s="1340">
        <v>0</v>
      </c>
      <c r="L14" s="1337">
        <f t="shared" si="0"/>
        <v>21272</v>
      </c>
      <c r="M14" s="1340" t="s">
        <v>2077</v>
      </c>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932" t="s">
        <v>2095</v>
      </c>
      <c r="C16" s="1338"/>
      <c r="D16" s="1339"/>
      <c r="E16" s="1340">
        <f>+E14+E13</f>
        <v>20760</v>
      </c>
      <c r="F16" s="1340">
        <f t="shared" ref="F16:K16" si="1">+F14+F13</f>
        <v>21143</v>
      </c>
      <c r="G16" s="1340">
        <f t="shared" si="1"/>
        <v>26417</v>
      </c>
      <c r="H16" s="1340">
        <f t="shared" si="1"/>
        <v>0</v>
      </c>
      <c r="I16" s="1340">
        <f t="shared" si="1"/>
        <v>21272</v>
      </c>
      <c r="J16" s="1340">
        <f t="shared" si="1"/>
        <v>0</v>
      </c>
      <c r="K16" s="1340">
        <f t="shared" si="1"/>
        <v>0</v>
      </c>
      <c r="L16" s="1337">
        <f t="shared" si="0"/>
        <v>47689</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932" t="s">
        <v>2096</v>
      </c>
      <c r="C18" s="1338"/>
      <c r="D18" s="1339"/>
      <c r="E18" s="1340">
        <f>+E16+' SEFA B'!E23+' SEFA A'!E16</f>
        <v>984924</v>
      </c>
      <c r="F18" s="1340">
        <f>+F16+' SEFA B'!F23+' SEFA A'!F16</f>
        <v>1666230</v>
      </c>
      <c r="G18" s="1340">
        <f>+G16+' SEFA B'!G23+' SEFA A'!G16</f>
        <v>1261403</v>
      </c>
      <c r="H18" s="1340">
        <f>+H16+' SEFA B'!H23+' SEFA A'!H16</f>
        <v>0</v>
      </c>
      <c r="I18" s="1340">
        <f>+I16+' SEFA B'!I23+' SEFA A'!I16</f>
        <v>1616564</v>
      </c>
      <c r="J18" s="1340">
        <f>+J16+' SEFA B'!J23+' SEFA A'!J16</f>
        <v>0</v>
      </c>
      <c r="K18" s="1340">
        <f>+K16+' SEFA B'!K23+' SEFA A'!K16</f>
        <v>0</v>
      </c>
      <c r="L18" s="1337">
        <f t="shared" si="0"/>
        <v>2877967</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40C&amp;R&amp;8Page 40C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Lincoln ESD 27</v>
      </c>
      <c r="B1" s="2444"/>
      <c r="C1" s="2444"/>
      <c r="D1" s="2444"/>
      <c r="E1" s="2444"/>
      <c r="F1" s="2444"/>
    </row>
    <row r="2" spans="1:7" ht="13.5" customHeight="1" x14ac:dyDescent="0.2">
      <c r="A2" s="2440">
        <f>'Single Audit Cover'!E7</f>
        <v>17054027002</v>
      </c>
      <c r="B2" s="2440"/>
      <c r="C2" s="2440"/>
      <c r="D2" s="2440"/>
      <c r="E2" s="2440"/>
      <c r="F2" s="2440"/>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2145</v>
      </c>
      <c r="B7" s="2443"/>
      <c r="C7" s="2443"/>
      <c r="D7" s="2443"/>
      <c r="E7" s="2443"/>
      <c r="F7" s="244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43" t="s">
        <v>2185</v>
      </c>
      <c r="B13" s="2443"/>
      <c r="C13" s="2443"/>
      <c r="D13" s="2443"/>
      <c r="E13" s="2443"/>
      <c r="F13" s="2443"/>
    </row>
    <row r="14" spans="1:7" ht="9.75" customHeight="1" x14ac:dyDescent="0.2">
      <c r="C14" s="1257"/>
      <c r="D14" s="1257"/>
    </row>
    <row r="15" spans="1:7" ht="13.5" customHeight="1" x14ac:dyDescent="0.2">
      <c r="C15" s="1843" t="s">
        <v>1270</v>
      </c>
      <c r="D15" s="2448" t="s">
        <v>1269</v>
      </c>
      <c r="E15" s="2448"/>
      <c r="F15" s="2448"/>
    </row>
    <row r="16" spans="1:7" ht="13.5" customHeight="1" x14ac:dyDescent="0.2">
      <c r="A16" s="1279"/>
      <c r="B16" s="1273" t="s">
        <v>1268</v>
      </c>
      <c r="C16" s="1843" t="s">
        <v>1267</v>
      </c>
      <c r="D16" s="2449" t="s">
        <v>1588</v>
      </c>
      <c r="E16" s="2449"/>
      <c r="F16" s="2449"/>
    </row>
    <row r="17" spans="1:6" ht="20.45" customHeight="1" x14ac:dyDescent="0.2">
      <c r="A17" s="1280"/>
      <c r="B17" s="1281" t="s">
        <v>2077</v>
      </c>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51" t="s">
        <v>2146</v>
      </c>
      <c r="B32" s="2451"/>
      <c r="C32" s="2451"/>
      <c r="D32" s="2451"/>
      <c r="E32" s="2451"/>
      <c r="F32" s="2451"/>
    </row>
    <row r="33" spans="1:6" ht="13.5" customHeight="1" x14ac:dyDescent="0.2">
      <c r="A33" s="328" t="s">
        <v>1434</v>
      </c>
      <c r="B33" s="328"/>
      <c r="C33" s="1285">
        <v>36432</v>
      </c>
      <c r="D33" s="1900"/>
      <c r="E33" s="1283"/>
    </row>
    <row r="34" spans="1:6" ht="13.5" customHeight="1" x14ac:dyDescent="0.2">
      <c r="A34" s="328" t="s">
        <v>1835</v>
      </c>
      <c r="B34" s="328"/>
      <c r="C34" s="1286">
        <v>19560</v>
      </c>
      <c r="D34" s="1900" t="s">
        <v>1589</v>
      </c>
      <c r="E34" s="2452">
        <f>+C33+C34</f>
        <v>55992</v>
      </c>
      <c r="F34" s="2453"/>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t="s">
        <v>99</v>
      </c>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1590</v>
      </c>
      <c r="C49" s="2454"/>
      <c r="D49" s="2454"/>
      <c r="E49" s="1396"/>
    </row>
    <row r="50" spans="1:5" s="1297" customFormat="1" ht="3.75" customHeight="1" x14ac:dyDescent="0.2">
      <c r="A50" s="1296"/>
      <c r="B50" s="1842"/>
      <c r="C50" s="1842"/>
      <c r="D50" s="1842"/>
      <c r="E50" s="1396"/>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 right="0.27" top="0.68" bottom="1" header="0.26" footer="0.5"/>
  <pageSetup scale="8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activeCell="A7" sqref="A7:F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Lincoln ESD 27</v>
      </c>
      <c r="C1" s="2460"/>
      <c r="D1" s="2460"/>
      <c r="E1" s="2460"/>
      <c r="F1" s="2460"/>
      <c r="G1" s="2460"/>
      <c r="H1" s="2460"/>
      <c r="I1" s="2460"/>
      <c r="J1" s="1406"/>
    </row>
    <row r="2" spans="2:10" s="317" customFormat="1" ht="12.75" customHeight="1" x14ac:dyDescent="0.2">
      <c r="B2" s="2461">
        <f>'Single Audit Cover'!E7</f>
        <v>17054027002</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t="s">
        <v>2101</v>
      </c>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t="s">
        <v>2102</v>
      </c>
      <c r="E29" s="2466"/>
      <c r="F29" s="2466"/>
      <c r="G29" s="2466"/>
      <c r="H29" s="2466"/>
      <c r="I29" s="2466"/>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7" t="s">
        <v>1748</v>
      </c>
      <c r="D37" s="2468"/>
      <c r="E37" s="2468"/>
      <c r="F37" s="2469"/>
      <c r="G37" s="2467" t="s">
        <v>1592</v>
      </c>
      <c r="H37" s="2468"/>
      <c r="I37" s="2469"/>
    </row>
    <row r="38" spans="2:9" ht="16.5" customHeight="1" x14ac:dyDescent="0.2">
      <c r="B38" s="1428">
        <v>84.01</v>
      </c>
      <c r="C38" s="2455" t="s">
        <v>2158</v>
      </c>
      <c r="D38" s="2456"/>
      <c r="E38" s="2456"/>
      <c r="F38" s="2457"/>
      <c r="G38" s="2470">
        <v>482268</v>
      </c>
      <c r="H38" s="2471"/>
      <c r="I38" s="2472"/>
    </row>
    <row r="39" spans="2:9" ht="16.5" customHeight="1" x14ac:dyDescent="0.2">
      <c r="B39" s="1428" t="s">
        <v>2103</v>
      </c>
      <c r="C39" s="2455" t="s">
        <v>2104</v>
      </c>
      <c r="D39" s="2456"/>
      <c r="E39" s="2456"/>
      <c r="F39" s="2457"/>
      <c r="G39" s="2458">
        <v>282449</v>
      </c>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73" t="s">
        <v>1593</v>
      </c>
      <c r="D43" s="2474"/>
      <c r="E43" s="2474"/>
      <c r="F43" s="2475"/>
      <c r="G43" s="2476">
        <f>SUM(G38:I42)</f>
        <v>764717</v>
      </c>
      <c r="H43" s="2476"/>
      <c r="I43" s="2476"/>
    </row>
    <row r="44" spans="2:9" ht="12.75" customHeight="1" x14ac:dyDescent="0.2"/>
    <row r="45" spans="2:9" ht="12.75" customHeight="1" x14ac:dyDescent="0.2">
      <c r="B45" s="1419" t="s">
        <v>2059</v>
      </c>
      <c r="D45" s="2477">
        <v>1616564</v>
      </c>
      <c r="E45" s="2478"/>
    </row>
    <row r="46" spans="2:9" ht="5.25" customHeight="1" x14ac:dyDescent="0.2">
      <c r="B46" s="1429"/>
      <c r="D46" s="1430"/>
      <c r="E46" s="1431"/>
    </row>
    <row r="47" spans="2:9" ht="12.75" customHeight="1" x14ac:dyDescent="0.2">
      <c r="B47" s="1297" t="s">
        <v>1594</v>
      </c>
      <c r="C47" s="1297"/>
      <c r="D47" s="1432">
        <f>+G43/D45</f>
        <v>0.47305086591065987</v>
      </c>
      <c r="E47" s="1433"/>
      <c r="F47" s="1434"/>
      <c r="I47" s="1435"/>
    </row>
    <row r="48" spans="2:9" ht="9.9499999999999993" customHeight="1" x14ac:dyDescent="0.2"/>
    <row r="49" spans="1:9" x14ac:dyDescent="0.2">
      <c r="B49" s="1365" t="s">
        <v>1273</v>
      </c>
      <c r="C49" s="1279"/>
      <c r="D49" s="1279"/>
      <c r="E49" s="2479">
        <v>750000</v>
      </c>
      <c r="F49" s="2479"/>
      <c r="G49" s="2479"/>
      <c r="H49" s="322"/>
    </row>
    <row r="51" spans="1:9" ht="13.5" customHeight="1" x14ac:dyDescent="0.2">
      <c r="B51" s="1365" t="s">
        <v>1272</v>
      </c>
      <c r="C51" s="1279"/>
      <c r="E51" s="1422" t="s">
        <v>2061</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6" top="0.46" bottom="0.4" header="0.25"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A7" sqref="A7:F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Lincoln ESD 27</v>
      </c>
      <c r="C1" s="2459"/>
      <c r="D1" s="2459"/>
      <c r="E1" s="2459"/>
      <c r="F1" s="2459"/>
      <c r="G1" s="2459"/>
      <c r="H1" s="2459"/>
      <c r="I1" s="2459"/>
      <c r="J1" s="2459"/>
      <c r="K1" s="2459"/>
      <c r="L1" s="1371"/>
      <c r="M1" s="1371"/>
    </row>
    <row r="2" spans="1:13" ht="12" customHeight="1" x14ac:dyDescent="0.2">
      <c r="B2" s="2461">
        <f>'Single Audit Cover'!E7</f>
        <v>17054027002</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2147</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5"/>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0"/>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A7" sqref="A7:F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Lincoln ESD 27</v>
      </c>
      <c r="C1" s="2486"/>
      <c r="D1" s="2486"/>
      <c r="E1" s="2486"/>
      <c r="F1" s="2486"/>
      <c r="G1" s="2486"/>
      <c r="H1" s="2486"/>
      <c r="I1" s="2486"/>
      <c r="J1" s="2486"/>
      <c r="K1" s="2486"/>
      <c r="L1" s="1449"/>
    </row>
    <row r="2" spans="1:12" ht="12.75" customHeight="1" x14ac:dyDescent="0.2">
      <c r="B2" s="2487">
        <f>'Single Audit Cover'!E7</f>
        <v>17054027002</v>
      </c>
      <c r="C2" s="2487"/>
      <c r="D2" s="2487"/>
      <c r="E2" s="2487"/>
      <c r="F2" s="2487"/>
      <c r="G2" s="2487"/>
      <c r="H2" s="2487"/>
      <c r="I2" s="2487"/>
      <c r="J2" s="2487"/>
      <c r="K2" s="2487"/>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t="s">
        <v>2147</v>
      </c>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A7" sqref="A7:F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Lincoln ESD 27</v>
      </c>
      <c r="C1" s="2459"/>
      <c r="D1" s="2459"/>
      <c r="E1" s="1469"/>
    </row>
    <row r="2" spans="2:5" s="1279" customFormat="1" ht="12.75" customHeight="1" x14ac:dyDescent="0.2">
      <c r="B2" s="2461">
        <f>'Single Audit Cover'!E7</f>
        <v>17054027002</v>
      </c>
      <c r="C2" s="2461"/>
      <c r="D2" s="2461"/>
      <c r="E2" s="1470"/>
    </row>
    <row r="3" spans="2:5" ht="12.75" customHeight="1" x14ac:dyDescent="0.2">
      <c r="B3" s="2482" t="s">
        <v>1763</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2147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1" sqref="J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117263004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2.7932999999999999E-2</v>
      </c>
      <c r="E10" s="356" t="s">
        <v>1005</v>
      </c>
      <c r="F10" s="355">
        <v>3.6286000000000001E-3</v>
      </c>
      <c r="G10" s="356" t="s">
        <v>1005</v>
      </c>
      <c r="H10" s="355">
        <v>8.9550000000000003E-4</v>
      </c>
      <c r="I10" s="356" t="s">
        <v>1006</v>
      </c>
      <c r="J10" s="1730">
        <f>ROUND(D10+F10+H10,5)</f>
        <v>3.2460000000000003E-2</v>
      </c>
      <c r="K10" s="222"/>
      <c r="L10" s="355">
        <v>0</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12788250</v>
      </c>
      <c r="E16" s="356"/>
      <c r="F16" s="1731">
        <f>SUM('Acct Summary 7-8'!C17,'Acct Summary 7-8'!D17,'Acct Summary 7-8'!F17)</f>
        <v>11843783</v>
      </c>
      <c r="G16" s="356"/>
      <c r="H16" s="1731">
        <f>SUM(D16-F16)</f>
        <v>944467</v>
      </c>
      <c r="I16" s="222"/>
      <c r="J16" s="1731">
        <f>SUM('Acct Summary 7-8'!C81,'Acct Summary 7-8'!D81,'Acct Summary 7-8'!F81,'Acct Summary 7-8'!I81)</f>
        <v>9894022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2159</v>
      </c>
      <c r="C31" s="367" t="s">
        <v>586</v>
      </c>
      <c r="D31" s="237" t="s">
        <v>1072</v>
      </c>
      <c r="E31" s="222"/>
      <c r="F31" s="222"/>
      <c r="G31" s="363"/>
      <c r="H31" s="1733">
        <f>IF(B31="X",(J7*0.069),IF(B32="X",(J7*0.138),"Enter x in a.or b."))</f>
        <v>8091147.2760000005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8730000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28000000000000003" footer="0.17"/>
  <pageSetup scale="91"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J31" sqref="J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Lincoln ESD 27</v>
      </c>
      <c r="E7" s="391"/>
      <c r="G7" s="252"/>
      <c r="H7" s="387"/>
      <c r="I7" s="387"/>
      <c r="J7" s="387"/>
      <c r="K7" s="387"/>
      <c r="L7" s="329"/>
      <c r="M7" s="329"/>
      <c r="N7" s="329"/>
      <c r="O7" s="329"/>
      <c r="P7" s="329"/>
    </row>
    <row r="8" spans="1:18" ht="12.75" x14ac:dyDescent="0.2">
      <c r="A8" s="329"/>
      <c r="B8" s="329"/>
      <c r="C8" s="389" t="s">
        <v>1125</v>
      </c>
      <c r="D8" s="392">
        <f>COVER!A13</f>
        <v>17054027002</v>
      </c>
      <c r="E8" s="393"/>
      <c r="G8" s="329"/>
      <c r="H8" s="329"/>
      <c r="I8" s="329"/>
      <c r="J8" s="329"/>
      <c r="K8" s="329"/>
      <c r="L8" s="329"/>
      <c r="M8" s="329"/>
      <c r="N8" s="329"/>
      <c r="O8" s="329"/>
      <c r="P8" s="329"/>
    </row>
    <row r="9" spans="1:18" ht="12.75" x14ac:dyDescent="0.2">
      <c r="A9" s="329"/>
      <c r="B9" s="329"/>
      <c r="C9" s="389" t="s">
        <v>713</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9894022</v>
      </c>
      <c r="I12" s="404"/>
      <c r="J12" s="404"/>
      <c r="K12" s="405">
        <f>TRUNC((H12/H13*100000),5)/100000</f>
        <v>0.77368068339999996</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12788250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11843783</v>
      </c>
      <c r="I17" s="404"/>
      <c r="J17" s="416"/>
      <c r="K17" s="405">
        <f>TRUNC((H17/H18*100000),5)/100000</f>
        <v>0.92614571970000004</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12788250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9895602</v>
      </c>
      <c r="I24" s="422"/>
      <c r="J24" s="422"/>
      <c r="K24" s="423">
        <f>TRUNC(((H24/H25*100000)/100000),2)</f>
        <v>300.77999999999997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32899.397219999999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3235403.54336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8730000</v>
      </c>
      <c r="I32" s="420"/>
      <c r="J32" s="420"/>
      <c r="K32" s="423">
        <f>TRUNC(100-((((H32/H33*100))*100)/100),2)</f>
        <v>-7.89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8091147.2760000005</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 right="0.2" top="0.8" bottom="0.52" header="0.5"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1" sqref="J31"/>
      <selection pane="bottomLeft" activeCell="J31" sqref="J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1651</v>
      </c>
      <c r="B4" s="464"/>
      <c r="C4" s="465">
        <v>3159153</v>
      </c>
      <c r="D4" s="466">
        <v>650256</v>
      </c>
      <c r="E4" s="466">
        <v>97731</v>
      </c>
      <c r="F4" s="466">
        <v>113802</v>
      </c>
      <c r="G4" s="466">
        <v>93160</v>
      </c>
      <c r="H4" s="466">
        <v>4463</v>
      </c>
      <c r="I4" s="466">
        <v>48297</v>
      </c>
      <c r="J4" s="467"/>
      <c r="K4" s="466">
        <v>12750</v>
      </c>
      <c r="L4" s="466">
        <v>117974</v>
      </c>
      <c r="M4" s="468"/>
      <c r="N4" s="469"/>
    </row>
    <row r="5" spans="1:14" x14ac:dyDescent="0.2">
      <c r="A5" s="463" t="s">
        <v>992</v>
      </c>
      <c r="B5" s="470">
        <v>120</v>
      </c>
      <c r="C5" s="465">
        <v>3925361</v>
      </c>
      <c r="D5" s="466">
        <v>215625</v>
      </c>
      <c r="E5" s="466">
        <v>4179</v>
      </c>
      <c r="F5" s="466">
        <v>387964</v>
      </c>
      <c r="G5" s="466">
        <v>199640</v>
      </c>
      <c r="H5" s="466">
        <v>6</v>
      </c>
      <c r="I5" s="466">
        <v>1395144</v>
      </c>
      <c r="J5" s="467"/>
      <c r="K5" s="471">
        <v>52823</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7084514</v>
      </c>
      <c r="D13" s="1735">
        <f t="shared" ref="D13:L13" si="0">SUM(D4:D12)</f>
        <v>865881</v>
      </c>
      <c r="E13" s="1735">
        <f t="shared" si="0"/>
        <v>101910</v>
      </c>
      <c r="F13" s="1735">
        <f t="shared" si="0"/>
        <v>501766</v>
      </c>
      <c r="G13" s="1735">
        <f t="shared" si="0"/>
        <v>292800</v>
      </c>
      <c r="H13" s="1735">
        <f t="shared" si="0"/>
        <v>4469</v>
      </c>
      <c r="I13" s="1735">
        <f t="shared" si="0"/>
        <v>1443441</v>
      </c>
      <c r="J13" s="1735">
        <f t="shared" si="0"/>
        <v>0</v>
      </c>
      <c r="K13" s="1735">
        <f t="shared" si="0"/>
        <v>65573</v>
      </c>
      <c r="L13" s="1735">
        <f t="shared" si="0"/>
        <v>117974</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92931</v>
      </c>
      <c r="N16" s="484"/>
    </row>
    <row r="17" spans="1:14" s="485" customFormat="1" ht="12.75" customHeight="1" x14ac:dyDescent="0.2">
      <c r="A17" s="482" t="s">
        <v>1403</v>
      </c>
      <c r="B17" s="483">
        <v>230</v>
      </c>
      <c r="C17" s="477"/>
      <c r="D17" s="477"/>
      <c r="E17" s="477"/>
      <c r="F17" s="477"/>
      <c r="G17" s="477"/>
      <c r="H17" s="477"/>
      <c r="I17" s="477"/>
      <c r="J17" s="477"/>
      <c r="K17" s="477"/>
      <c r="L17" s="477"/>
      <c r="M17" s="467">
        <v>28859034</v>
      </c>
      <c r="N17" s="484"/>
    </row>
    <row r="18" spans="1:14" s="485" customFormat="1" ht="12.75" customHeight="1" x14ac:dyDescent="0.2">
      <c r="A18" s="482" t="s">
        <v>1404</v>
      </c>
      <c r="B18" s="483">
        <v>240</v>
      </c>
      <c r="C18" s="477"/>
      <c r="D18" s="477"/>
      <c r="E18" s="477"/>
      <c r="F18" s="477"/>
      <c r="G18" s="477"/>
      <c r="H18" s="477"/>
      <c r="I18" s="477"/>
      <c r="J18" s="477"/>
      <c r="K18" s="477"/>
      <c r="L18" s="477"/>
      <c r="M18" s="467">
        <v>4699892</v>
      </c>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101910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8628090</v>
      </c>
    </row>
    <row r="23" spans="1:14" ht="13.5" customHeight="1" thickBot="1" x14ac:dyDescent="0.25">
      <c r="A23" s="1734" t="s">
        <v>643</v>
      </c>
      <c r="B23" s="1739"/>
      <c r="C23" s="468"/>
      <c r="D23" s="468"/>
      <c r="E23" s="468"/>
      <c r="F23" s="468"/>
      <c r="G23" s="468"/>
      <c r="H23" s="468"/>
      <c r="I23" s="468"/>
      <c r="J23" s="468"/>
      <c r="K23" s="468"/>
      <c r="L23" s="468"/>
      <c r="M23" s="1686">
        <f>SUM(M15:M22)</f>
        <v>33651857</v>
      </c>
      <c r="N23" s="1686">
        <f>SUM(N21:N22)</f>
        <v>8730000</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1580</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117974</v>
      </c>
      <c r="M33" s="468"/>
      <c r="N33" s="469"/>
    </row>
    <row r="34" spans="1:14" ht="13.5" customHeight="1" thickBot="1" x14ac:dyDescent="0.25">
      <c r="A34" s="1736" t="s">
        <v>654</v>
      </c>
      <c r="B34" s="1737"/>
      <c r="C34" s="1738">
        <f>SUM(C25:C33)</f>
        <v>1580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117974</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8730000</v>
      </c>
    </row>
    <row r="37" spans="1:14" ht="13.5" thickBot="1" x14ac:dyDescent="0.25">
      <c r="A37" s="1734" t="s">
        <v>653</v>
      </c>
      <c r="B37" s="1739"/>
      <c r="C37" s="477"/>
      <c r="D37" s="477"/>
      <c r="E37" s="477"/>
      <c r="F37" s="477"/>
      <c r="G37" s="477"/>
      <c r="H37" s="477"/>
      <c r="I37" s="477"/>
      <c r="J37" s="477"/>
      <c r="K37" s="477"/>
      <c r="L37" s="480"/>
      <c r="M37" s="468"/>
      <c r="N37" s="1686">
        <f>SUM(N36:N36)</f>
        <v>8730000</v>
      </c>
    </row>
    <row r="38" spans="1:14" s="329" customFormat="1" ht="13.5" customHeight="1" thickTop="1" x14ac:dyDescent="0.2">
      <c r="A38" s="496" t="s">
        <v>420</v>
      </c>
      <c r="B38" s="483">
        <v>714</v>
      </c>
      <c r="C38" s="466">
        <v>146839</v>
      </c>
      <c r="D38" s="466"/>
      <c r="E38" s="466"/>
      <c r="F38" s="466"/>
      <c r="G38" s="466">
        <v>159874</v>
      </c>
      <c r="H38" s="466"/>
      <c r="I38" s="466"/>
      <c r="J38" s="467"/>
      <c r="K38" s="466"/>
      <c r="L38" s="481"/>
      <c r="M38" s="497"/>
      <c r="N38" s="497"/>
    </row>
    <row r="39" spans="1:14" s="329" customFormat="1" ht="13.5" customHeight="1" x14ac:dyDescent="0.2">
      <c r="A39" s="496" t="s">
        <v>342</v>
      </c>
      <c r="B39" s="483">
        <v>730</v>
      </c>
      <c r="C39" s="466">
        <f>7082934-C38</f>
        <v>6936095</v>
      </c>
      <c r="D39" s="466">
        <v>865881</v>
      </c>
      <c r="E39" s="466">
        <v>101910</v>
      </c>
      <c r="F39" s="466">
        <v>501766</v>
      </c>
      <c r="G39" s="466">
        <v>132926</v>
      </c>
      <c r="H39" s="466">
        <v>4469</v>
      </c>
      <c r="I39" s="466">
        <v>1443441</v>
      </c>
      <c r="J39" s="467"/>
      <c r="K39" s="466">
        <v>65573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33651857</v>
      </c>
      <c r="N40" s="497"/>
    </row>
    <row r="41" spans="1:14" ht="13.5" customHeight="1" thickBot="1" x14ac:dyDescent="0.25">
      <c r="A41" s="1734" t="s">
        <v>655</v>
      </c>
      <c r="B41" s="1704"/>
      <c r="C41" s="1686">
        <f>(SUM(C34,C37,C38,C39))</f>
        <v>7084514</v>
      </c>
      <c r="D41" s="1686">
        <f t="shared" ref="D41:L41" si="2">SUM(D34,D37,D38:D39)</f>
        <v>865881</v>
      </c>
      <c r="E41" s="1686">
        <f t="shared" si="2"/>
        <v>101910</v>
      </c>
      <c r="F41" s="1686">
        <f t="shared" si="2"/>
        <v>501766</v>
      </c>
      <c r="G41" s="1686">
        <f t="shared" si="2"/>
        <v>292800</v>
      </c>
      <c r="H41" s="1686">
        <f t="shared" si="2"/>
        <v>4469</v>
      </c>
      <c r="I41" s="1686">
        <f t="shared" si="2"/>
        <v>1443441</v>
      </c>
      <c r="J41" s="1686">
        <f t="shared" si="2"/>
        <v>0</v>
      </c>
      <c r="K41" s="1686">
        <f t="shared" si="2"/>
        <v>65573</v>
      </c>
      <c r="L41" s="1686">
        <f t="shared" si="2"/>
        <v>117974</v>
      </c>
      <c r="M41" s="1686">
        <f>SUM(M40)</f>
        <v>33651857</v>
      </c>
      <c r="N41" s="1686">
        <f>SUM(N37)</f>
        <v>8730000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44" right="0.15" top="1.1100000000000001" bottom="0" header="0.65"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0" activePane="bottomLeft" state="frozen"/>
      <selection activeCell="J31" sqref="J31"/>
      <selection pane="bottomLeft" activeCell="J31" sqref="J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5" t="s">
        <v>1499</v>
      </c>
      <c r="B4" s="1926">
        <v>1000</v>
      </c>
      <c r="C4" s="1740">
        <f>'Revenues 9-14'!C109</f>
        <v>3655554</v>
      </c>
      <c r="D4" s="1740">
        <f>'Revenues 9-14'!D109</f>
        <v>533235</v>
      </c>
      <c r="E4" s="1740">
        <f>'Revenues 9-14'!E109</f>
        <v>542846</v>
      </c>
      <c r="F4" s="1740">
        <f>'Revenues 9-14'!F109</f>
        <v>106585</v>
      </c>
      <c r="G4" s="1740">
        <f>'Revenues 9-14'!G109</f>
        <v>402598</v>
      </c>
      <c r="H4" s="1740">
        <f>'Revenues 9-14'!H109</f>
        <v>8</v>
      </c>
      <c r="I4" s="1740">
        <f>'Revenues 9-14'!I109</f>
        <v>12401</v>
      </c>
      <c r="J4" s="1740">
        <f>'Revenues 9-14'!J109</f>
        <v>0</v>
      </c>
      <c r="K4" s="1740">
        <f>'Revenues 9-14'!K109</f>
        <v>58649</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6561744</v>
      </c>
      <c r="D6" s="1741">
        <f>'Revenues 9-14'!D170</f>
        <v>120000</v>
      </c>
      <c r="E6" s="1741">
        <f>'Revenues 9-14'!E170</f>
        <v>0</v>
      </c>
      <c r="F6" s="1741">
        <f>'Revenues 9-14'!F170</f>
        <v>150564</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1648167</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11865465</v>
      </c>
      <c r="D8" s="1686">
        <f t="shared" ref="D8:K8" si="0">SUM(D4:D7)</f>
        <v>653235</v>
      </c>
      <c r="E8" s="1686">
        <f t="shared" si="0"/>
        <v>542846</v>
      </c>
      <c r="F8" s="1686">
        <f t="shared" si="0"/>
        <v>257149</v>
      </c>
      <c r="G8" s="1686">
        <f t="shared" si="0"/>
        <v>402598</v>
      </c>
      <c r="H8" s="1686">
        <f t="shared" si="0"/>
        <v>8</v>
      </c>
      <c r="I8" s="1686">
        <f t="shared" si="0"/>
        <v>12401</v>
      </c>
      <c r="J8" s="1686">
        <f t="shared" si="0"/>
        <v>0</v>
      </c>
      <c r="K8" s="1686">
        <f t="shared" si="0"/>
        <v>58649</v>
      </c>
      <c r="L8" s="347"/>
    </row>
    <row r="9" spans="1:13" ht="15.75" thickTop="1" x14ac:dyDescent="0.2">
      <c r="A9" s="514" t="s">
        <v>1653</v>
      </c>
      <c r="B9" s="515">
        <v>3998</v>
      </c>
      <c r="C9" s="481">
        <v>4284228</v>
      </c>
      <c r="D9" s="516"/>
      <c r="E9" s="481"/>
      <c r="F9" s="481"/>
      <c r="G9" s="517"/>
      <c r="H9" s="481"/>
      <c r="I9" s="509" t="s">
        <v>1169</v>
      </c>
      <c r="J9" s="478"/>
      <c r="K9" s="481"/>
      <c r="L9" s="347"/>
    </row>
    <row r="10" spans="1:13" s="519" customFormat="1" ht="13.5" thickBot="1" x14ac:dyDescent="0.25">
      <c r="A10" s="1734" t="s">
        <v>1173</v>
      </c>
      <c r="B10" s="1707"/>
      <c r="C10" s="1686">
        <f>SUM(C8:C9)</f>
        <v>16149693</v>
      </c>
      <c r="D10" s="1686">
        <f t="shared" ref="D10:K10" si="1">SUM(D8:D9)</f>
        <v>653235</v>
      </c>
      <c r="E10" s="1686">
        <f t="shared" si="1"/>
        <v>542846</v>
      </c>
      <c r="F10" s="1686">
        <f t="shared" si="1"/>
        <v>257149</v>
      </c>
      <c r="G10" s="1686">
        <f t="shared" si="1"/>
        <v>402598</v>
      </c>
      <c r="H10" s="1686">
        <f t="shared" si="1"/>
        <v>8</v>
      </c>
      <c r="I10" s="1686">
        <f t="shared" si="1"/>
        <v>12401</v>
      </c>
      <c r="J10" s="1686">
        <f t="shared" si="1"/>
        <v>0</v>
      </c>
      <c r="K10" s="1686">
        <f t="shared" si="1"/>
        <v>58649</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0">
        <f>'Expenditures 15-22'!K33</f>
        <v>7464464</v>
      </c>
      <c r="D12" s="520" t="s">
        <v>1169</v>
      </c>
      <c r="E12" s="468" t="s">
        <v>1169</v>
      </c>
      <c r="F12" s="468" t="s">
        <v>1169</v>
      </c>
      <c r="G12" s="1740">
        <f>'Expenditures 15-22'!K229</f>
        <v>200217</v>
      </c>
      <c r="H12" s="521"/>
      <c r="I12" s="468" t="s">
        <v>1169</v>
      </c>
      <c r="J12" s="468" t="s">
        <v>1169</v>
      </c>
      <c r="K12" s="521" t="s">
        <v>1169</v>
      </c>
      <c r="L12" s="347"/>
    </row>
    <row r="13" spans="1:13" ht="15.75" customHeight="1" x14ac:dyDescent="0.2">
      <c r="A13" s="1576" t="s">
        <v>457</v>
      </c>
      <c r="B13" s="1578">
        <v>2000</v>
      </c>
      <c r="C13" s="1741">
        <f>'Expenditures 15-22'!K74</f>
        <v>3283651</v>
      </c>
      <c r="D13" s="1741">
        <f>'Expenditures 15-22'!K129</f>
        <v>522151</v>
      </c>
      <c r="E13" s="469" t="s">
        <v>1169</v>
      </c>
      <c r="F13" s="1741">
        <f>'Expenditures 15-22'!K184</f>
        <v>263827</v>
      </c>
      <c r="G13" s="1741">
        <f>'Expenditures 15-22'!K279</f>
        <v>201578</v>
      </c>
      <c r="H13" s="1741">
        <f>'Expenditures 15-22'!K303</f>
        <v>2044</v>
      </c>
      <c r="I13" s="468" t="s">
        <v>1169</v>
      </c>
      <c r="J13" s="1741">
        <f>'Expenditures 15-22'!K330</f>
        <v>0</v>
      </c>
      <c r="K13" s="1745">
        <f>'Expenditures 15-22'!K352</f>
        <v>51512</v>
      </c>
      <c r="L13" s="347"/>
    </row>
    <row r="14" spans="1:13" ht="15.75" customHeight="1" x14ac:dyDescent="0.2">
      <c r="A14" s="1576" t="s">
        <v>449</v>
      </c>
      <c r="B14" s="1578">
        <v>3000</v>
      </c>
      <c r="C14" s="1741">
        <f>'Expenditures 15-22'!K75</f>
        <v>35587</v>
      </c>
      <c r="D14" s="1741">
        <f>'Expenditures 15-22'!K130</f>
        <v>0</v>
      </c>
      <c r="E14" s="520" t="s">
        <v>1169</v>
      </c>
      <c r="F14" s="1741">
        <f>'Expenditures 15-22'!K185</f>
        <v>0</v>
      </c>
      <c r="G14" s="1741">
        <f>'Expenditures 15-22'!K280</f>
        <v>564</v>
      </c>
      <c r="H14" s="512"/>
      <c r="I14" s="468" t="s">
        <v>1169</v>
      </c>
      <c r="J14" s="468" t="s">
        <v>1169</v>
      </c>
      <c r="K14" s="512" t="s">
        <v>1169</v>
      </c>
      <c r="L14" s="347"/>
    </row>
    <row r="15" spans="1:13" ht="15.75" customHeight="1" x14ac:dyDescent="0.2">
      <c r="A15" s="1576" t="s">
        <v>107</v>
      </c>
      <c r="B15" s="1578">
        <v>4000</v>
      </c>
      <c r="C15" s="1741">
        <f>'Expenditures 15-22'!K102</f>
        <v>274035</v>
      </c>
      <c r="D15" s="1741">
        <f>'Expenditures 15-22'!K139</f>
        <v>0</v>
      </c>
      <c r="E15" s="1741">
        <f>'Expenditures 15-22'!K160</f>
        <v>0</v>
      </c>
      <c r="F15" s="1741">
        <f>'Expenditures 15-22'!K196</f>
        <v>68</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696883</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11057737</v>
      </c>
      <c r="D17" s="1686">
        <f t="shared" si="2"/>
        <v>522151</v>
      </c>
      <c r="E17" s="1686">
        <f t="shared" si="2"/>
        <v>696883</v>
      </c>
      <c r="F17" s="1686">
        <f t="shared" si="2"/>
        <v>263895</v>
      </c>
      <c r="G17" s="1686">
        <f t="shared" si="2"/>
        <v>402359</v>
      </c>
      <c r="H17" s="1686">
        <f t="shared" si="2"/>
        <v>2044</v>
      </c>
      <c r="I17" s="468"/>
      <c r="J17" s="1686">
        <f>SUM(J12:J16)</f>
        <v>0</v>
      </c>
      <c r="K17" s="1686">
        <f>SUM(K12:K16)</f>
        <v>51512</v>
      </c>
      <c r="L17" s="347"/>
    </row>
    <row r="18" spans="1:12" ht="15" customHeight="1" thickTop="1" x14ac:dyDescent="0.2">
      <c r="A18" s="1742" t="s">
        <v>1654</v>
      </c>
      <c r="B18" s="1743">
        <v>4180</v>
      </c>
      <c r="C18" s="1740">
        <f t="shared" ref="C18:H18" si="3">C9</f>
        <v>4284228</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15341965</v>
      </c>
      <c r="D19" s="1686">
        <f t="shared" si="4"/>
        <v>522151</v>
      </c>
      <c r="E19" s="1686">
        <f t="shared" si="4"/>
        <v>696883</v>
      </c>
      <c r="F19" s="1686">
        <f t="shared" si="4"/>
        <v>263895</v>
      </c>
      <c r="G19" s="1686">
        <f t="shared" si="4"/>
        <v>402359</v>
      </c>
      <c r="H19" s="1686">
        <f t="shared" si="4"/>
        <v>2044</v>
      </c>
      <c r="I19" s="468"/>
      <c r="J19" s="1686">
        <f>SUM(J17:J18)</f>
        <v>0</v>
      </c>
      <c r="K19" s="1686">
        <f>SUM(K17:K18)</f>
        <v>51512</v>
      </c>
      <c r="L19" s="347"/>
    </row>
    <row r="20" spans="1:12" ht="16.5" thickTop="1" thickBot="1" x14ac:dyDescent="0.25">
      <c r="A20" s="2132" t="s">
        <v>1655</v>
      </c>
      <c r="B20" s="2133"/>
      <c r="C20" s="1744">
        <f>C8-C17</f>
        <v>807728</v>
      </c>
      <c r="D20" s="1744">
        <f t="shared" ref="D20:K20" si="5">D8-D17</f>
        <v>131084</v>
      </c>
      <c r="E20" s="1744">
        <f t="shared" si="5"/>
        <v>-154037</v>
      </c>
      <c r="F20" s="1744">
        <f t="shared" si="5"/>
        <v>-6746</v>
      </c>
      <c r="G20" s="1744">
        <f t="shared" si="5"/>
        <v>239</v>
      </c>
      <c r="H20" s="1744">
        <f t="shared" si="5"/>
        <v>-2036</v>
      </c>
      <c r="I20" s="1744">
        <f t="shared" si="5"/>
        <v>12401</v>
      </c>
      <c r="J20" s="1744">
        <f t="shared" si="5"/>
        <v>0</v>
      </c>
      <c r="K20" s="1744">
        <f t="shared" si="5"/>
        <v>7137</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600</v>
      </c>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160000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1">
        <f>SUM(C24:C43)</f>
        <v>600</v>
      </c>
      <c r="D44" s="1701">
        <f t="shared" ref="D44:K44" si="6">SUM(D24:D43)</f>
        <v>0</v>
      </c>
      <c r="E44" s="1701">
        <f t="shared" si="6"/>
        <v>160000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1">
        <f>D30</f>
        <v>0</v>
      </c>
      <c r="L52" s="524"/>
    </row>
    <row r="53" spans="1:12" s="485" customFormat="1" ht="26.25" x14ac:dyDescent="0.2">
      <c r="A53" s="1490" t="s">
        <v>1793</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v>160000</v>
      </c>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1">
        <f t="shared" ref="C76:K76" si="7">SUM(C47:C75)</f>
        <v>0</v>
      </c>
      <c r="D76" s="1701">
        <f t="shared" si="7"/>
        <v>160000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4" t="s">
        <v>1177</v>
      </c>
      <c r="B77" s="2125"/>
      <c r="C77" s="1701">
        <f t="shared" ref="C77:K77" si="8">C44-C76</f>
        <v>600</v>
      </c>
      <c r="D77" s="1701">
        <f t="shared" si="8"/>
        <v>-160000</v>
      </c>
      <c r="E77" s="1701">
        <f t="shared" si="8"/>
        <v>160000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8" t="s">
        <v>597</v>
      </c>
      <c r="B78" s="2129"/>
      <c r="C78" s="1700">
        <f t="shared" ref="C78:K78" si="9">C20+C77</f>
        <v>808328</v>
      </c>
      <c r="D78" s="1700">
        <f t="shared" si="9"/>
        <v>-28916</v>
      </c>
      <c r="E78" s="1700">
        <f t="shared" si="9"/>
        <v>5963</v>
      </c>
      <c r="F78" s="1700">
        <f t="shared" si="9"/>
        <v>-6746</v>
      </c>
      <c r="G78" s="1700">
        <f t="shared" si="9"/>
        <v>239</v>
      </c>
      <c r="H78" s="1700">
        <f t="shared" si="9"/>
        <v>-2036</v>
      </c>
      <c r="I78" s="1700">
        <f t="shared" si="9"/>
        <v>12401</v>
      </c>
      <c r="J78" s="1700">
        <f t="shared" si="9"/>
        <v>0</v>
      </c>
      <c r="K78" s="1700">
        <f t="shared" si="9"/>
        <v>7137</v>
      </c>
      <c r="L78" s="533"/>
    </row>
    <row r="79" spans="1:12" ht="13.5" thickTop="1" x14ac:dyDescent="0.2">
      <c r="A79" s="1494" t="s">
        <v>1944</v>
      </c>
      <c r="B79" s="534"/>
      <c r="C79" s="478">
        <v>6274606</v>
      </c>
      <c r="D79" s="535">
        <v>894797</v>
      </c>
      <c r="E79" s="535">
        <v>95947</v>
      </c>
      <c r="F79" s="535">
        <v>508512</v>
      </c>
      <c r="G79" s="535">
        <v>292561</v>
      </c>
      <c r="H79" s="535">
        <v>6505</v>
      </c>
      <c r="I79" s="535">
        <v>1431040</v>
      </c>
      <c r="J79" s="535">
        <v>0</v>
      </c>
      <c r="K79" s="535">
        <v>58436</v>
      </c>
      <c r="L79" s="347"/>
    </row>
    <row r="80" spans="1:12" x14ac:dyDescent="0.2">
      <c r="A80" s="2134" t="s">
        <v>1792</v>
      </c>
      <c r="B80" s="2135"/>
      <c r="C80" s="467"/>
      <c r="D80" s="467"/>
      <c r="E80" s="467"/>
      <c r="F80" s="467"/>
      <c r="G80" s="467"/>
      <c r="H80" s="467"/>
      <c r="I80" s="467"/>
      <c r="J80" s="467"/>
      <c r="K80" s="467"/>
      <c r="L80" s="347"/>
    </row>
    <row r="81" spans="1:12" ht="13.5" thickBot="1" x14ac:dyDescent="0.25">
      <c r="A81" s="2126" t="s">
        <v>1945</v>
      </c>
      <c r="B81" s="2127"/>
      <c r="C81" s="1686">
        <f>(SUM(C78:C80))</f>
        <v>7082934</v>
      </c>
      <c r="D81" s="1686">
        <f>SUM(D78:D80)</f>
        <v>865881</v>
      </c>
      <c r="E81" s="1686">
        <f t="shared" ref="E81:K81" si="10">SUM(E78:E80)</f>
        <v>101910</v>
      </c>
      <c r="F81" s="1686">
        <f t="shared" si="10"/>
        <v>501766</v>
      </c>
      <c r="G81" s="1686">
        <f t="shared" si="10"/>
        <v>292800</v>
      </c>
      <c r="H81" s="1686">
        <f t="shared" si="10"/>
        <v>4469</v>
      </c>
      <c r="I81" s="1686">
        <f t="shared" si="10"/>
        <v>1443441</v>
      </c>
      <c r="J81" s="1686">
        <f t="shared" si="10"/>
        <v>0</v>
      </c>
      <c r="K81" s="1686">
        <f t="shared" si="10"/>
        <v>65573</v>
      </c>
      <c r="L81" s="347"/>
    </row>
    <row r="82" spans="1:12" ht="0.75" customHeight="1" thickTop="1" thickBot="1" x14ac:dyDescent="0.25">
      <c r="A82" s="536" t="s">
        <v>343</v>
      </c>
      <c r="B82" s="537"/>
      <c r="C82" s="538">
        <f>(C81-C79)</f>
        <v>808328</v>
      </c>
      <c r="D82" s="538">
        <f t="shared" ref="D82:K82" si="11">(D81-D79)</f>
        <v>-28916</v>
      </c>
      <c r="E82" s="538">
        <f t="shared" si="11"/>
        <v>5963</v>
      </c>
      <c r="F82" s="538">
        <f t="shared" si="11"/>
        <v>-6746</v>
      </c>
      <c r="G82" s="538">
        <f t="shared" si="11"/>
        <v>239</v>
      </c>
      <c r="H82" s="538">
        <f t="shared" si="11"/>
        <v>-2036</v>
      </c>
      <c r="I82" s="538">
        <f t="shared" si="11"/>
        <v>12401</v>
      </c>
      <c r="J82" s="538">
        <f t="shared" si="11"/>
        <v>0</v>
      </c>
      <c r="K82" s="538">
        <f t="shared" si="11"/>
        <v>7137</v>
      </c>
    </row>
    <row r="83" spans="1:12" ht="14.25" hidden="1" thickTop="1" thickBot="1" x14ac:dyDescent="0.25">
      <c r="A83" s="539" t="s">
        <v>344</v>
      </c>
      <c r="B83" s="464"/>
      <c r="C83" s="540">
        <f>C82/C81</f>
        <v>0.11412332798809081</v>
      </c>
      <c r="D83" s="540">
        <f t="shared" ref="D83:K83" si="12">D82/D81</f>
        <v>-3.3394889136036013E-2</v>
      </c>
      <c r="E83" s="540">
        <f t="shared" si="12"/>
        <v>5.8512412913354919E-2</v>
      </c>
      <c r="F83" s="540">
        <f t="shared" si="12"/>
        <v>-1.3444513976634527E-2</v>
      </c>
      <c r="G83" s="540">
        <f t="shared" si="12"/>
        <v>8.1625683060109291E-4</v>
      </c>
      <c r="H83" s="540">
        <f t="shared" si="12"/>
        <v>-0.45558290445289773</v>
      </c>
      <c r="I83" s="540">
        <f t="shared" si="12"/>
        <v>8.5912759856481835E-3</v>
      </c>
      <c r="J83" s="540" t="e">
        <f t="shared" si="12"/>
        <v>#DIV/0!</v>
      </c>
      <c r="K83" s="540">
        <f t="shared" si="12"/>
        <v>0.1088405288762143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5" right="0.2" top="1.22" bottom="0.37" header="0.65" footer="0.2"/>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3" activePane="bottomLeft" state="frozen"/>
      <selection activeCell="J31" sqref="J31"/>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1799</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3165942</v>
      </c>
      <c r="D5" s="481">
        <v>406708</v>
      </c>
      <c r="E5" s="466"/>
      <c r="F5" s="548">
        <v>102426</v>
      </c>
      <c r="G5" s="466">
        <v>152646</v>
      </c>
      <c r="H5" s="466"/>
      <c r="I5" s="466"/>
      <c r="J5" s="467"/>
      <c r="K5" s="466">
        <v>57798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22659</v>
      </c>
      <c r="D7" s="466"/>
      <c r="E7" s="468"/>
      <c r="F7" s="467"/>
      <c r="G7" s="467"/>
      <c r="H7" s="467"/>
      <c r="I7" s="468"/>
      <c r="J7" s="468"/>
      <c r="K7" s="468"/>
    </row>
    <row r="8" spans="1:12" x14ac:dyDescent="0.2">
      <c r="A8" s="463" t="s">
        <v>413</v>
      </c>
      <c r="B8" s="470">
        <v>1150</v>
      </c>
      <c r="C8" s="475"/>
      <c r="D8" s="475"/>
      <c r="E8" s="477"/>
      <c r="F8" s="477"/>
      <c r="G8" s="481">
        <v>152646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3188601</v>
      </c>
      <c r="D12" s="1705">
        <f t="shared" si="0"/>
        <v>406708</v>
      </c>
      <c r="E12" s="1705">
        <f t="shared" si="0"/>
        <v>0</v>
      </c>
      <c r="F12" s="1705">
        <f t="shared" si="0"/>
        <v>102426</v>
      </c>
      <c r="G12" s="1705">
        <f t="shared" si="0"/>
        <v>305292</v>
      </c>
      <c r="H12" s="1705">
        <f t="shared" si="0"/>
        <v>0</v>
      </c>
      <c r="I12" s="1705">
        <f t="shared" si="0"/>
        <v>0</v>
      </c>
      <c r="J12" s="1705">
        <f t="shared" si="0"/>
        <v>0</v>
      </c>
      <c r="K12" s="1686">
        <f t="shared" si="0"/>
        <v>57798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4635</v>
      </c>
      <c r="D14" s="466">
        <v>592</v>
      </c>
      <c r="E14" s="466"/>
      <c r="F14" s="466">
        <v>149</v>
      </c>
      <c r="G14" s="466">
        <v>444</v>
      </c>
      <c r="H14" s="466"/>
      <c r="I14" s="466"/>
      <c r="J14" s="467"/>
      <c r="K14" s="466">
        <v>84</v>
      </c>
    </row>
    <row r="15" spans="1:12" ht="12.75" customHeight="1" x14ac:dyDescent="0.2">
      <c r="A15" s="463" t="s">
        <v>95</v>
      </c>
      <c r="B15" s="470">
        <v>1220</v>
      </c>
      <c r="C15" s="551">
        <v>9114</v>
      </c>
      <c r="D15" s="466">
        <v>1162</v>
      </c>
      <c r="E15" s="466"/>
      <c r="F15" s="466">
        <v>293</v>
      </c>
      <c r="G15" s="466">
        <v>873</v>
      </c>
      <c r="H15" s="466"/>
      <c r="I15" s="466"/>
      <c r="J15" s="467"/>
      <c r="K15" s="466">
        <v>165</v>
      </c>
    </row>
    <row r="16" spans="1:12" ht="15" customHeight="1" x14ac:dyDescent="0.2">
      <c r="A16" s="463" t="s">
        <v>1663</v>
      </c>
      <c r="B16" s="549">
        <v>1230</v>
      </c>
      <c r="C16" s="551">
        <v>203660</v>
      </c>
      <c r="D16" s="466">
        <v>116647</v>
      </c>
      <c r="E16" s="466"/>
      <c r="F16" s="466"/>
      <c r="G16" s="466">
        <v>93853</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217409</v>
      </c>
      <c r="D18" s="1708">
        <f t="shared" ref="D18:K18" si="1">SUM(D14:D17)</f>
        <v>118401</v>
      </c>
      <c r="E18" s="1708">
        <f t="shared" si="1"/>
        <v>0</v>
      </c>
      <c r="F18" s="1708">
        <f t="shared" si="1"/>
        <v>442</v>
      </c>
      <c r="G18" s="1708">
        <f t="shared" si="1"/>
        <v>95170</v>
      </c>
      <c r="H18" s="1708">
        <f t="shared" si="1"/>
        <v>0</v>
      </c>
      <c r="I18" s="1708">
        <f t="shared" si="1"/>
        <v>0</v>
      </c>
      <c r="J18" s="1708">
        <f t="shared" si="1"/>
        <v>0</v>
      </c>
      <c r="K18" s="1709">
        <f t="shared" si="1"/>
        <v>249</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95308</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95308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40904-4-2</f>
        <v>40898</v>
      </c>
      <c r="D65" s="466">
        <f>3162+2</f>
        <v>3164</v>
      </c>
      <c r="E65" s="466">
        <f>339+1</f>
        <v>340</v>
      </c>
      <c r="F65" s="467">
        <f>3717</f>
        <v>3717</v>
      </c>
      <c r="G65" s="466">
        <f>2133+3</f>
        <v>2136</v>
      </c>
      <c r="H65" s="466">
        <f>9-1</f>
        <v>8</v>
      </c>
      <c r="I65" s="466">
        <v>12401</v>
      </c>
      <c r="J65" s="467"/>
      <c r="K65" s="466">
        <v>543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40898</v>
      </c>
      <c r="D67" s="1686">
        <f t="shared" ref="D67:K67" si="2">SUM(D65:D66)</f>
        <v>3164</v>
      </c>
      <c r="E67" s="1686">
        <f t="shared" si="2"/>
        <v>340</v>
      </c>
      <c r="F67" s="1686">
        <f t="shared" si="2"/>
        <v>3717</v>
      </c>
      <c r="G67" s="1686">
        <f t="shared" si="2"/>
        <v>2136</v>
      </c>
      <c r="H67" s="1686">
        <f t="shared" si="2"/>
        <v>8</v>
      </c>
      <c r="I67" s="1686">
        <f t="shared" si="2"/>
        <v>12401</v>
      </c>
      <c r="J67" s="1686">
        <f t="shared" si="2"/>
        <v>0</v>
      </c>
      <c r="K67" s="1686">
        <f t="shared" si="2"/>
        <v>543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2211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6882</v>
      </c>
      <c r="D73" s="468"/>
      <c r="E73" s="468"/>
      <c r="F73" s="468"/>
      <c r="G73" s="468"/>
      <c r="H73" s="468"/>
      <c r="I73" s="468"/>
      <c r="J73" s="468"/>
      <c r="K73" s="468"/>
    </row>
    <row r="74" spans="1:11" ht="12.75" customHeight="1" x14ac:dyDescent="0.2">
      <c r="A74" s="463" t="s">
        <v>25</v>
      </c>
      <c r="B74" s="470">
        <v>1690</v>
      </c>
      <c r="C74" s="551">
        <v>624</v>
      </c>
      <c r="D74" s="468"/>
      <c r="E74" s="468"/>
      <c r="F74" s="468"/>
      <c r="G74" s="468"/>
      <c r="H74" s="468"/>
      <c r="I74" s="468"/>
      <c r="J74" s="468"/>
      <c r="K74" s="468"/>
    </row>
    <row r="75" spans="1:11" ht="12.75" customHeight="1" thickBot="1" x14ac:dyDescent="0.25">
      <c r="A75" s="1706" t="s">
        <v>548</v>
      </c>
      <c r="B75" s="1707"/>
      <c r="C75" s="1686">
        <f>SUM(C69:C74)</f>
        <v>9717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12993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7145</v>
      </c>
      <c r="D79" s="466"/>
      <c r="E79" s="468"/>
      <c r="F79" s="468"/>
      <c r="G79" s="468"/>
      <c r="H79" s="468"/>
      <c r="I79" s="468"/>
      <c r="J79" s="468"/>
      <c r="K79" s="468"/>
    </row>
    <row r="80" spans="1:11" ht="12.75" customHeight="1" x14ac:dyDescent="0.2">
      <c r="A80" s="463" t="s">
        <v>551</v>
      </c>
      <c r="B80" s="470">
        <v>1730</v>
      </c>
      <c r="C80" s="551">
        <v>1028</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21166</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26777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26777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80</v>
      </c>
      <c r="E95" s="521"/>
      <c r="F95" s="521"/>
      <c r="G95" s="521"/>
      <c r="H95" s="521"/>
      <c r="I95" s="521"/>
      <c r="J95" s="521"/>
      <c r="K95" s="521"/>
    </row>
    <row r="96" spans="1:11" ht="12.75" customHeight="1" x14ac:dyDescent="0.2">
      <c r="A96" s="463" t="s">
        <v>391</v>
      </c>
      <c r="B96" s="470">
        <v>1920</v>
      </c>
      <c r="C96" s="551">
        <v>28497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1682</v>
      </c>
      <c r="D98" s="466"/>
      <c r="E98" s="512"/>
      <c r="F98" s="466"/>
      <c r="G98" s="512"/>
      <c r="H98" s="512"/>
      <c r="I98" s="510"/>
      <c r="J98" s="512"/>
      <c r="K98" s="512"/>
    </row>
    <row r="99" spans="1:12" ht="12.75" customHeight="1" x14ac:dyDescent="0.2">
      <c r="A99" s="463" t="s">
        <v>821</v>
      </c>
      <c r="B99" s="470">
        <v>1950</v>
      </c>
      <c r="C99" s="489">
        <v>25358</v>
      </c>
      <c r="D99" s="466">
        <v>4882</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141</v>
      </c>
      <c r="D102" s="489"/>
      <c r="E102" s="489"/>
      <c r="F102" s="489"/>
      <c r="G102" s="489"/>
      <c r="H102" s="489"/>
      <c r="I102" s="467"/>
      <c r="J102" s="489"/>
      <c r="K102" s="467"/>
    </row>
    <row r="103" spans="1:12" ht="12.75" customHeight="1" x14ac:dyDescent="0.2">
      <c r="A103" s="463" t="s">
        <v>345</v>
      </c>
      <c r="B103" s="470">
        <v>1983</v>
      </c>
      <c r="C103" s="468"/>
      <c r="D103" s="468"/>
      <c r="E103" s="560">
        <v>542506</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v>59</v>
      </c>
    </row>
    <row r="108" spans="1:12" ht="12.75" customHeight="1" thickBot="1" x14ac:dyDescent="0.25">
      <c r="A108" s="1706" t="s">
        <v>487</v>
      </c>
      <c r="B108" s="1710"/>
      <c r="C108" s="1705">
        <f>SUM(C95:C107)</f>
        <v>55678</v>
      </c>
      <c r="D108" s="1705">
        <f t="shared" ref="D108:K108" si="3">SUM(D95:D107)</f>
        <v>4962</v>
      </c>
      <c r="E108" s="1705">
        <f t="shared" si="3"/>
        <v>542506</v>
      </c>
      <c r="F108" s="1705">
        <f t="shared" si="3"/>
        <v>0</v>
      </c>
      <c r="G108" s="1705">
        <f t="shared" si="3"/>
        <v>0</v>
      </c>
      <c r="H108" s="1705">
        <f t="shared" si="3"/>
        <v>0</v>
      </c>
      <c r="I108" s="1705">
        <f t="shared" si="3"/>
        <v>0</v>
      </c>
      <c r="J108" s="1705">
        <f t="shared" si="3"/>
        <v>0</v>
      </c>
      <c r="K108" s="1686">
        <f t="shared" si="3"/>
        <v>59</v>
      </c>
    </row>
    <row r="109" spans="1:12" ht="14.25" thickTop="1" thickBot="1" x14ac:dyDescent="0.25">
      <c r="A109" s="1711" t="s">
        <v>248</v>
      </c>
      <c r="B109" s="1712" t="s">
        <v>570</v>
      </c>
      <c r="C109" s="1713">
        <f t="shared" ref="C109:K109" si="4">SUM(C12,C18,C40,C63,C67,C75,C82,C93,C108,)</f>
        <v>3655554</v>
      </c>
      <c r="D109" s="1713">
        <f t="shared" si="4"/>
        <v>533235</v>
      </c>
      <c r="E109" s="1713">
        <f t="shared" si="4"/>
        <v>542846</v>
      </c>
      <c r="F109" s="1713">
        <f t="shared" si="4"/>
        <v>106585</v>
      </c>
      <c r="G109" s="1713">
        <f t="shared" si="4"/>
        <v>402598</v>
      </c>
      <c r="H109" s="1713">
        <f t="shared" si="4"/>
        <v>8</v>
      </c>
      <c r="I109" s="1713">
        <f t="shared" si="4"/>
        <v>12401</v>
      </c>
      <c r="J109" s="1713">
        <f t="shared" si="4"/>
        <v>0</v>
      </c>
      <c r="K109" s="1700">
        <f t="shared" si="4"/>
        <v>58649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6058784</v>
      </c>
      <c r="D117" s="481">
        <v>120000</v>
      </c>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7"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6058784</v>
      </c>
      <c r="D122" s="1705">
        <f t="shared" si="5"/>
        <v>120000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66521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124736</v>
      </c>
      <c r="D128" s="561"/>
      <c r="E128" s="468"/>
      <c r="F128" s="466">
        <v>20616</v>
      </c>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191257</v>
      </c>
      <c r="D132" s="1705">
        <f>SUM(D125:D131)</f>
        <v>0</v>
      </c>
      <c r="E132" s="469" t="s">
        <v>1169</v>
      </c>
      <c r="F132" s="1705">
        <f>SUM(F125:F131)</f>
        <v>20616</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14356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128245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128245</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230622</v>
      </c>
      <c r="D159" s="578"/>
      <c r="E159" s="561"/>
      <c r="F159" s="576">
        <v>1473</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66725</v>
      </c>
      <c r="D168" s="580"/>
      <c r="E168" s="580"/>
      <c r="F168" s="580">
        <v>230</v>
      </c>
      <c r="G168" s="581"/>
      <c r="H168" s="582"/>
      <c r="I168" s="581"/>
      <c r="J168" s="581"/>
      <c r="K168" s="582"/>
    </row>
    <row r="169" spans="1:11" ht="12.75" customHeight="1" thickTop="1" thickBot="1" x14ac:dyDescent="0.25">
      <c r="A169" s="2150" t="s">
        <v>398</v>
      </c>
      <c r="B169" s="2151"/>
      <c r="C169" s="1720">
        <f t="shared" ref="C169:K169" si="6">SUM(C132,C141,C145,C146:C150,C155,C156:C167,C168)</f>
        <v>502960</v>
      </c>
      <c r="D169" s="1720">
        <f t="shared" si="6"/>
        <v>0</v>
      </c>
      <c r="E169" s="1720">
        <f t="shared" si="6"/>
        <v>0</v>
      </c>
      <c r="F169" s="1720">
        <f t="shared" si="6"/>
        <v>150564</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6561744</v>
      </c>
      <c r="D170" s="1713">
        <f t="shared" si="7"/>
        <v>120000</v>
      </c>
      <c r="E170" s="1713">
        <f t="shared" si="7"/>
        <v>0</v>
      </c>
      <c r="F170" s="1713">
        <f t="shared" si="7"/>
        <v>150564</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4" t="s">
        <v>1800</v>
      </c>
      <c r="B182" s="215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11279</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11279</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443079</v>
      </c>
      <c r="D191" s="468"/>
      <c r="E191" s="561"/>
      <c r="F191" s="468"/>
      <c r="G191" s="585"/>
      <c r="H191" s="468"/>
      <c r="I191" s="468"/>
      <c r="J191" s="468"/>
      <c r="K191" s="468"/>
    </row>
    <row r="192" spans="1:11" ht="12.75" customHeight="1" x14ac:dyDescent="0.2">
      <c r="A192" s="463" t="s">
        <v>1047</v>
      </c>
      <c r="B192" s="470">
        <v>4215</v>
      </c>
      <c r="C192" s="551">
        <v>1328</v>
      </c>
      <c r="D192" s="468"/>
      <c r="E192" s="561"/>
      <c r="F192" s="468"/>
      <c r="G192" s="585"/>
      <c r="H192" s="468"/>
      <c r="I192" s="468"/>
      <c r="J192" s="468"/>
      <c r="K192" s="468"/>
    </row>
    <row r="193" spans="1:11" ht="12.75" customHeight="1" x14ac:dyDescent="0.2">
      <c r="A193" s="463" t="s">
        <v>1059</v>
      </c>
      <c r="B193" s="470">
        <v>4220</v>
      </c>
      <c r="C193" s="551">
        <v>174114</v>
      </c>
      <c r="D193" s="468"/>
      <c r="E193" s="561"/>
      <c r="F193" s="468"/>
      <c r="G193" s="585"/>
      <c r="H193" s="468"/>
      <c r="I193" s="468"/>
      <c r="J193" s="468"/>
      <c r="K193" s="468"/>
    </row>
    <row r="194" spans="1:11" ht="12.75" customHeight="1" x14ac:dyDescent="0.2">
      <c r="A194" s="463" t="s">
        <v>1451</v>
      </c>
      <c r="B194" s="470">
        <v>4225</v>
      </c>
      <c r="C194" s="551">
        <v>10794</v>
      </c>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27937</v>
      </c>
      <c r="D196" s="468"/>
      <c r="E196" s="561"/>
      <c r="F196" s="468"/>
      <c r="G196" s="586"/>
      <c r="H196" s="468"/>
      <c r="I196" s="468"/>
      <c r="J196" s="468"/>
      <c r="K196" s="468"/>
    </row>
    <row r="197" spans="1:11" ht="12.75" customHeight="1" x14ac:dyDescent="0.2">
      <c r="A197" s="463" t="s">
        <v>71</v>
      </c>
      <c r="B197" s="470">
        <v>4299</v>
      </c>
      <c r="C197" s="551">
        <v>2179</v>
      </c>
      <c r="D197" s="468"/>
      <c r="E197" s="561"/>
      <c r="F197" s="468"/>
      <c r="G197" s="585"/>
      <c r="H197" s="468"/>
      <c r="I197" s="468"/>
      <c r="J197" s="468"/>
      <c r="K197" s="468"/>
    </row>
    <row r="198" spans="1:11" ht="12.75" customHeight="1" thickBot="1" x14ac:dyDescent="0.25">
      <c r="A198" s="1706" t="s">
        <v>548</v>
      </c>
      <c r="B198" s="1707"/>
      <c r="C198" s="1686">
        <f>SUM(C190:C197)</f>
        <v>659431</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409558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15300</v>
      </c>
      <c r="D203" s="466"/>
      <c r="E203" s="468"/>
      <c r="F203" s="466"/>
      <c r="G203" s="466"/>
      <c r="H203" s="468"/>
      <c r="I203" s="468"/>
      <c r="J203" s="468"/>
      <c r="K203" s="468"/>
    </row>
    <row r="204" spans="1:11" ht="12.75" customHeight="1" thickBot="1" x14ac:dyDescent="0.25">
      <c r="A204" s="1706" t="s">
        <v>400</v>
      </c>
      <c r="B204" s="1707"/>
      <c r="C204" s="1705">
        <f>SUM(C200:C203)</f>
        <v>424858</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41450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41450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19077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364068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383145</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68932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1932</v>
      </c>
      <c r="B261" s="470">
        <v>4981</v>
      </c>
      <c r="C261" s="575"/>
      <c r="D261" s="576"/>
      <c r="E261" s="468"/>
      <c r="F261" s="576"/>
      <c r="G261" s="576"/>
      <c r="H261" s="468"/>
      <c r="I261" s="468"/>
      <c r="J261" s="468"/>
      <c r="K261" s="468"/>
    </row>
    <row r="262" spans="1:11" ht="12.75" customHeight="1" thickTop="1" thickBot="1" x14ac:dyDescent="0.25">
      <c r="A262" s="1928"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20297</v>
      </c>
      <c r="D263" s="576"/>
      <c r="E263" s="468"/>
      <c r="F263" s="576"/>
      <c r="G263" s="576"/>
      <c r="H263" s="468"/>
      <c r="I263" s="468"/>
      <c r="J263" s="468"/>
      <c r="K263" s="468"/>
    </row>
    <row r="264" spans="1:11" ht="12.75" customHeight="1" thickTop="1" thickBot="1" x14ac:dyDescent="0.25">
      <c r="A264" s="463" t="s">
        <v>377</v>
      </c>
      <c r="B264" s="470">
        <v>4992</v>
      </c>
      <c r="C264" s="575">
        <v>38775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1648167</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1648167</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11865465</v>
      </c>
      <c r="D268" s="1713">
        <f t="shared" si="12"/>
        <v>653235</v>
      </c>
      <c r="E268" s="1713">
        <f t="shared" si="12"/>
        <v>542846</v>
      </c>
      <c r="F268" s="1713">
        <f t="shared" si="12"/>
        <v>257149</v>
      </c>
      <c r="G268" s="1713">
        <f t="shared" si="12"/>
        <v>402598</v>
      </c>
      <c r="H268" s="1713">
        <f t="shared" si="12"/>
        <v>8</v>
      </c>
      <c r="I268" s="1713">
        <f t="shared" si="12"/>
        <v>12401</v>
      </c>
      <c r="J268" s="1713">
        <f t="shared" si="12"/>
        <v>0</v>
      </c>
      <c r="K268" s="1700">
        <f t="shared" si="12"/>
        <v>58649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2" top="0.8" bottom="0.62" header="0.5" footer="0.45"/>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9" activePane="bottomLeft" state="frozen"/>
      <selection activeCell="J31" sqref="J31"/>
      <selection pane="bottomLeft" activeCell="J31" sqref="J3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3494321</v>
      </c>
      <c r="D5" s="466">
        <v>992963</v>
      </c>
      <c r="E5" s="466">
        <v>183672</v>
      </c>
      <c r="F5" s="466">
        <v>124954</v>
      </c>
      <c r="G5" s="466">
        <v>15735</v>
      </c>
      <c r="H5" s="466">
        <v>76</v>
      </c>
      <c r="I5" s="467"/>
      <c r="J5" s="467"/>
      <c r="K5" s="1669">
        <f>SUM(C5:J5)</f>
        <v>4811721</v>
      </c>
      <c r="L5" s="466">
        <v>5015580</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v>87559</v>
      </c>
      <c r="D7" s="467">
        <v>17819</v>
      </c>
      <c r="E7" s="467">
        <v>6105</v>
      </c>
      <c r="F7" s="467">
        <v>10691</v>
      </c>
      <c r="G7" s="467">
        <v>6502</v>
      </c>
      <c r="H7" s="467"/>
      <c r="I7" s="467"/>
      <c r="J7" s="467"/>
      <c r="K7" s="1669">
        <f t="shared" ref="K7:K32" si="0">SUM(C7:J7)</f>
        <v>128676</v>
      </c>
      <c r="L7" s="466">
        <v>145150</v>
      </c>
    </row>
    <row r="8" spans="1:14" x14ac:dyDescent="0.2">
      <c r="A8" s="1504" t="s">
        <v>164</v>
      </c>
      <c r="B8" s="614">
        <v>1200</v>
      </c>
      <c r="C8" s="466">
        <f>945+135007+210707+887665+5625+207694</f>
        <v>1447643</v>
      </c>
      <c r="D8" s="466">
        <f>25+36734+45178+148844+799+43242</f>
        <v>274822</v>
      </c>
      <c r="E8" s="466">
        <f>3099+9640</f>
        <v>12739</v>
      </c>
      <c r="F8" s="466">
        <f>175+17775+55</f>
        <v>18005</v>
      </c>
      <c r="G8" s="466">
        <f>7033</f>
        <v>7033</v>
      </c>
      <c r="H8" s="466">
        <f>187147</f>
        <v>187147</v>
      </c>
      <c r="I8" s="467"/>
      <c r="J8" s="467"/>
      <c r="K8" s="1669">
        <f t="shared" si="0"/>
        <v>1947389</v>
      </c>
      <c r="L8" s="466">
        <v>2003650</v>
      </c>
    </row>
    <row r="9" spans="1:14" x14ac:dyDescent="0.2">
      <c r="A9" s="1504" t="s">
        <v>721</v>
      </c>
      <c r="B9" s="614" t="s">
        <v>968</v>
      </c>
      <c r="C9" s="467">
        <v>171539</v>
      </c>
      <c r="D9" s="467">
        <v>22370</v>
      </c>
      <c r="E9" s="467">
        <v>180</v>
      </c>
      <c r="F9" s="467">
        <v>3640</v>
      </c>
      <c r="G9" s="467"/>
      <c r="H9" s="467"/>
      <c r="I9" s="467"/>
      <c r="J9" s="467"/>
      <c r="K9" s="1669">
        <f t="shared" si="0"/>
        <v>197729</v>
      </c>
      <c r="L9" s="466">
        <v>194825</v>
      </c>
    </row>
    <row r="10" spans="1:14" x14ac:dyDescent="0.2">
      <c r="A10" s="1504" t="s">
        <v>722</v>
      </c>
      <c r="B10" s="614">
        <v>1250</v>
      </c>
      <c r="C10" s="466">
        <v>159393</v>
      </c>
      <c r="D10" s="466">
        <v>52350</v>
      </c>
      <c r="E10" s="466">
        <v>4498</v>
      </c>
      <c r="F10" s="466">
        <v>36306</v>
      </c>
      <c r="G10" s="466">
        <v>16949</v>
      </c>
      <c r="H10" s="466"/>
      <c r="I10" s="467"/>
      <c r="J10" s="467"/>
      <c r="K10" s="1669">
        <f t="shared" si="0"/>
        <v>269496</v>
      </c>
      <c r="L10" s="466">
        <v>216070</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c r="D13" s="466"/>
      <c r="E13" s="466"/>
      <c r="F13" s="466"/>
      <c r="G13" s="466"/>
      <c r="H13" s="466"/>
      <c r="I13" s="467"/>
      <c r="J13" s="467"/>
      <c r="K13" s="1669">
        <f t="shared" si="0"/>
        <v>0</v>
      </c>
      <c r="L13" s="466">
        <v>1200</v>
      </c>
    </row>
    <row r="14" spans="1:14" x14ac:dyDescent="0.2">
      <c r="A14" s="1504" t="s">
        <v>963</v>
      </c>
      <c r="B14" s="614">
        <v>1500</v>
      </c>
      <c r="C14" s="466">
        <v>79233</v>
      </c>
      <c r="D14" s="466">
        <v>12018</v>
      </c>
      <c r="E14" s="466">
        <v>10267</v>
      </c>
      <c r="F14" s="466">
        <v>1077</v>
      </c>
      <c r="G14" s="466"/>
      <c r="H14" s="466">
        <v>2841</v>
      </c>
      <c r="I14" s="467"/>
      <c r="J14" s="467"/>
      <c r="K14" s="1669">
        <f t="shared" si="0"/>
        <v>105436</v>
      </c>
      <c r="L14" s="466">
        <v>108970</v>
      </c>
    </row>
    <row r="15" spans="1:14" x14ac:dyDescent="0.2">
      <c r="A15" s="1504" t="s">
        <v>964</v>
      </c>
      <c r="B15" s="614">
        <v>1600</v>
      </c>
      <c r="C15" s="466">
        <v>3624</v>
      </c>
      <c r="D15" s="466">
        <v>358</v>
      </c>
      <c r="E15" s="466"/>
      <c r="F15" s="466"/>
      <c r="G15" s="466"/>
      <c r="H15" s="466"/>
      <c r="I15" s="467"/>
      <c r="J15" s="467"/>
      <c r="K15" s="1669">
        <f t="shared" si="0"/>
        <v>3982</v>
      </c>
      <c r="L15" s="466">
        <v>4325</v>
      </c>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c r="D17" s="467"/>
      <c r="E17" s="467"/>
      <c r="F17" s="467"/>
      <c r="G17" s="467"/>
      <c r="H17" s="467"/>
      <c r="I17" s="467"/>
      <c r="J17" s="467"/>
      <c r="K17" s="1669">
        <f t="shared" si="0"/>
        <v>0</v>
      </c>
      <c r="L17" s="466"/>
    </row>
    <row r="18" spans="1:12" x14ac:dyDescent="0.2">
      <c r="A18" s="1504" t="s">
        <v>1087</v>
      </c>
      <c r="B18" s="614">
        <v>1800</v>
      </c>
      <c r="C18" s="466"/>
      <c r="D18" s="466"/>
      <c r="E18" s="466">
        <v>35</v>
      </c>
      <c r="F18" s="466"/>
      <c r="G18" s="466"/>
      <c r="H18" s="466"/>
      <c r="I18" s="467"/>
      <c r="J18" s="467"/>
      <c r="K18" s="1669">
        <f t="shared" si="0"/>
        <v>35</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5443312</v>
      </c>
      <c r="D33" s="1668">
        <f t="shared" ref="D33:L33" si="1">SUM(D5:D32)</f>
        <v>1372700</v>
      </c>
      <c r="E33" s="1668">
        <f t="shared" si="1"/>
        <v>217496</v>
      </c>
      <c r="F33" s="1668">
        <f t="shared" si="1"/>
        <v>194673</v>
      </c>
      <c r="G33" s="1668">
        <f t="shared" si="1"/>
        <v>46219</v>
      </c>
      <c r="H33" s="1668">
        <f t="shared" si="1"/>
        <v>190064</v>
      </c>
      <c r="I33" s="1668">
        <f t="shared" si="1"/>
        <v>0</v>
      </c>
      <c r="J33" s="1668">
        <f t="shared" si="1"/>
        <v>0</v>
      </c>
      <c r="K33" s="1668">
        <f t="shared" si="1"/>
        <v>7464464</v>
      </c>
      <c r="L33" s="1668">
        <f t="shared" si="1"/>
        <v>7689770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v>135410</v>
      </c>
      <c r="D37" s="466">
        <v>36681</v>
      </c>
      <c r="E37" s="466"/>
      <c r="F37" s="466">
        <v>150</v>
      </c>
      <c r="G37" s="466"/>
      <c r="H37" s="466"/>
      <c r="I37" s="467"/>
      <c r="J37" s="467"/>
      <c r="K37" s="1669">
        <f t="shared" si="2"/>
        <v>172241</v>
      </c>
      <c r="L37" s="466">
        <v>175150</v>
      </c>
    </row>
    <row r="38" spans="1:14" x14ac:dyDescent="0.2">
      <c r="A38" s="1504" t="s">
        <v>198</v>
      </c>
      <c r="B38" s="614">
        <v>2130</v>
      </c>
      <c r="C38" s="466">
        <v>50640</v>
      </c>
      <c r="D38" s="466">
        <v>9285</v>
      </c>
      <c r="E38" s="466">
        <v>63</v>
      </c>
      <c r="F38" s="466">
        <v>646</v>
      </c>
      <c r="G38" s="466"/>
      <c r="H38" s="466"/>
      <c r="I38" s="467"/>
      <c r="J38" s="467"/>
      <c r="K38" s="1669">
        <f t="shared" si="2"/>
        <v>60634</v>
      </c>
      <c r="L38" s="466">
        <v>60240</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v>213812</v>
      </c>
      <c r="D40" s="466">
        <v>64016</v>
      </c>
      <c r="E40" s="466">
        <v>487</v>
      </c>
      <c r="F40" s="466"/>
      <c r="G40" s="466"/>
      <c r="H40" s="466"/>
      <c r="I40" s="467"/>
      <c r="J40" s="467"/>
      <c r="K40" s="1669">
        <f t="shared" si="2"/>
        <v>278315</v>
      </c>
      <c r="L40" s="466">
        <v>246720</v>
      </c>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399862</v>
      </c>
      <c r="D42" s="1668">
        <f t="shared" ref="D42:L42" si="3">SUM(D36:D41)</f>
        <v>109982</v>
      </c>
      <c r="E42" s="1668">
        <f t="shared" si="3"/>
        <v>550</v>
      </c>
      <c r="F42" s="1668">
        <f t="shared" si="3"/>
        <v>796</v>
      </c>
      <c r="G42" s="1668">
        <f t="shared" si="3"/>
        <v>0</v>
      </c>
      <c r="H42" s="1668">
        <f t="shared" si="3"/>
        <v>0</v>
      </c>
      <c r="I42" s="1668">
        <f t="shared" si="3"/>
        <v>0</v>
      </c>
      <c r="J42" s="1668">
        <f t="shared" si="3"/>
        <v>0</v>
      </c>
      <c r="K42" s="1668">
        <f t="shared" si="3"/>
        <v>511190</v>
      </c>
      <c r="L42" s="1668">
        <f t="shared" si="3"/>
        <v>482110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213834</v>
      </c>
      <c r="D44" s="481">
        <v>68339</v>
      </c>
      <c r="E44" s="481">
        <v>67465</v>
      </c>
      <c r="F44" s="481">
        <v>3842</v>
      </c>
      <c r="G44" s="481"/>
      <c r="H44" s="481"/>
      <c r="I44" s="467"/>
      <c r="J44" s="467"/>
      <c r="K44" s="1670">
        <f>SUM(C44:J44)</f>
        <v>353480</v>
      </c>
      <c r="L44" s="481">
        <v>354290</v>
      </c>
    </row>
    <row r="45" spans="1:14" x14ac:dyDescent="0.2">
      <c r="A45" s="1504" t="s">
        <v>815</v>
      </c>
      <c r="B45" s="614">
        <v>2220</v>
      </c>
      <c r="C45" s="466">
        <v>72975</v>
      </c>
      <c r="D45" s="466">
        <v>161</v>
      </c>
      <c r="E45" s="466">
        <v>4734</v>
      </c>
      <c r="F45" s="466">
        <f>11288+14052</f>
        <v>25340</v>
      </c>
      <c r="G45" s="466">
        <v>2400</v>
      </c>
      <c r="H45" s="466"/>
      <c r="I45" s="467"/>
      <c r="J45" s="467"/>
      <c r="K45" s="1670">
        <f>SUM(C45:J45)</f>
        <v>105610</v>
      </c>
      <c r="L45" s="466">
        <v>96450</v>
      </c>
    </row>
    <row r="46" spans="1:14" x14ac:dyDescent="0.2">
      <c r="A46" s="1504" t="s">
        <v>816</v>
      </c>
      <c r="B46" s="614">
        <v>2230</v>
      </c>
      <c r="C46" s="466"/>
      <c r="D46" s="466"/>
      <c r="E46" s="466">
        <v>22595</v>
      </c>
      <c r="F46" s="466"/>
      <c r="G46" s="466"/>
      <c r="H46" s="466"/>
      <c r="I46" s="467"/>
      <c r="J46" s="467"/>
      <c r="K46" s="1670">
        <f>SUM(C46:J46)</f>
        <v>22595</v>
      </c>
      <c r="L46" s="466">
        <v>6000</v>
      </c>
    </row>
    <row r="47" spans="1:14" ht="12.75" customHeight="1" thickBot="1" x14ac:dyDescent="0.25">
      <c r="A47" s="1666" t="s">
        <v>561</v>
      </c>
      <c r="B47" s="1667" t="s">
        <v>32</v>
      </c>
      <c r="C47" s="1668">
        <f>SUM(C44:C46)</f>
        <v>286809</v>
      </c>
      <c r="D47" s="1668">
        <f t="shared" ref="D47:K47" si="4">SUM(D44:D46)</f>
        <v>68500</v>
      </c>
      <c r="E47" s="1668">
        <f t="shared" si="4"/>
        <v>94794</v>
      </c>
      <c r="F47" s="1668">
        <f t="shared" si="4"/>
        <v>29182</v>
      </c>
      <c r="G47" s="1668">
        <f t="shared" si="4"/>
        <v>2400</v>
      </c>
      <c r="H47" s="1668">
        <f t="shared" si="4"/>
        <v>0</v>
      </c>
      <c r="I47" s="1668">
        <f t="shared" si="4"/>
        <v>0</v>
      </c>
      <c r="J47" s="1668">
        <f t="shared" si="4"/>
        <v>0</v>
      </c>
      <c r="K47" s="1668">
        <f t="shared" si="4"/>
        <v>481685</v>
      </c>
      <c r="L47" s="1668">
        <f>SUM(L44:L46)</f>
        <v>456740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5973</v>
      </c>
      <c r="D49" s="481"/>
      <c r="E49" s="481">
        <v>174881</v>
      </c>
      <c r="F49" s="481">
        <v>2865</v>
      </c>
      <c r="G49" s="481"/>
      <c r="H49" s="481">
        <v>16404</v>
      </c>
      <c r="I49" s="467"/>
      <c r="J49" s="467"/>
      <c r="K49" s="1670">
        <f>SUM(C49:J49)</f>
        <v>200123</v>
      </c>
      <c r="L49" s="481">
        <v>229300</v>
      </c>
    </row>
    <row r="50" spans="1:14" x14ac:dyDescent="0.2">
      <c r="A50" s="1504" t="s">
        <v>818</v>
      </c>
      <c r="B50" s="614">
        <v>2320</v>
      </c>
      <c r="C50" s="466">
        <v>176052</v>
      </c>
      <c r="D50" s="466">
        <v>57996</v>
      </c>
      <c r="E50" s="466">
        <v>664</v>
      </c>
      <c r="F50" s="466">
        <v>211</v>
      </c>
      <c r="G50" s="466"/>
      <c r="H50" s="466"/>
      <c r="I50" s="467"/>
      <c r="J50" s="467"/>
      <c r="K50" s="1670">
        <f>SUM(C50:J50)</f>
        <v>234923</v>
      </c>
      <c r="L50" s="466">
        <v>222960</v>
      </c>
    </row>
    <row r="51" spans="1:14" x14ac:dyDescent="0.2">
      <c r="A51" s="1504" t="s">
        <v>42</v>
      </c>
      <c r="B51" s="614">
        <v>2330</v>
      </c>
      <c r="C51" s="466">
        <v>52181</v>
      </c>
      <c r="D51" s="466">
        <v>9661</v>
      </c>
      <c r="E51" s="466">
        <v>1831</v>
      </c>
      <c r="F51" s="466">
        <v>156</v>
      </c>
      <c r="G51" s="466"/>
      <c r="H51" s="466">
        <v>3105</v>
      </c>
      <c r="I51" s="467"/>
      <c r="J51" s="467"/>
      <c r="K51" s="1670">
        <f>SUM(C51:J51)</f>
        <v>66934</v>
      </c>
      <c r="L51" s="466">
        <v>61930</v>
      </c>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234206</v>
      </c>
      <c r="D53" s="1668">
        <f t="shared" ref="D53:L53" si="5">SUM(D49:D52)</f>
        <v>67657</v>
      </c>
      <c r="E53" s="1668">
        <f t="shared" si="5"/>
        <v>177376</v>
      </c>
      <c r="F53" s="1668">
        <f t="shared" si="5"/>
        <v>3232</v>
      </c>
      <c r="G53" s="1668">
        <f t="shared" si="5"/>
        <v>0</v>
      </c>
      <c r="H53" s="1668">
        <f t="shared" si="5"/>
        <v>19509</v>
      </c>
      <c r="I53" s="1668">
        <f t="shared" si="5"/>
        <v>0</v>
      </c>
      <c r="J53" s="1668">
        <f t="shared" si="5"/>
        <v>0</v>
      </c>
      <c r="K53" s="1668">
        <f t="shared" si="5"/>
        <v>501980</v>
      </c>
      <c r="L53" s="1668">
        <f t="shared" si="5"/>
        <v>514190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457941</v>
      </c>
      <c r="D55" s="481">
        <v>124605</v>
      </c>
      <c r="E55" s="481">
        <v>326</v>
      </c>
      <c r="F55" s="481">
        <v>438</v>
      </c>
      <c r="G55" s="481"/>
      <c r="H55" s="481"/>
      <c r="I55" s="467"/>
      <c r="J55" s="467"/>
      <c r="K55" s="1670">
        <f>SUM(C55:J55)</f>
        <v>583310</v>
      </c>
      <c r="L55" s="481">
        <v>588850</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457941</v>
      </c>
      <c r="D57" s="1672">
        <f t="shared" ref="D57:K57" si="6">SUM(D55:D56)</f>
        <v>124605</v>
      </c>
      <c r="E57" s="1672">
        <f t="shared" si="6"/>
        <v>326</v>
      </c>
      <c r="F57" s="1672">
        <f t="shared" si="6"/>
        <v>438</v>
      </c>
      <c r="G57" s="1672">
        <f t="shared" si="6"/>
        <v>0</v>
      </c>
      <c r="H57" s="1672">
        <f t="shared" si="6"/>
        <v>0</v>
      </c>
      <c r="I57" s="1672">
        <f t="shared" si="6"/>
        <v>0</v>
      </c>
      <c r="J57" s="1672">
        <f t="shared" si="6"/>
        <v>0</v>
      </c>
      <c r="K57" s="1672">
        <f t="shared" si="6"/>
        <v>583310</v>
      </c>
      <c r="L57" s="1668">
        <f>SUM(L55:L56)</f>
        <v>588850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88546</v>
      </c>
      <c r="D60" s="466">
        <v>9741</v>
      </c>
      <c r="E60" s="466">
        <v>10100</v>
      </c>
      <c r="F60" s="466">
        <v>291</v>
      </c>
      <c r="G60" s="466"/>
      <c r="H60" s="466"/>
      <c r="I60" s="467"/>
      <c r="J60" s="467"/>
      <c r="K60" s="1670">
        <f t="shared" si="7"/>
        <v>108678</v>
      </c>
      <c r="L60" s="466">
        <v>103380</v>
      </c>
      <c r="M60" s="609"/>
      <c r="N60" s="609"/>
    </row>
    <row r="61" spans="1:14" s="343" customFormat="1" x14ac:dyDescent="0.2">
      <c r="A61" s="1504" t="s">
        <v>197</v>
      </c>
      <c r="B61" s="614">
        <v>2540</v>
      </c>
      <c r="C61" s="466">
        <v>343577</v>
      </c>
      <c r="D61" s="466">
        <v>71170</v>
      </c>
      <c r="E61" s="466"/>
      <c r="F61" s="466">
        <v>23864</v>
      </c>
      <c r="G61" s="466"/>
      <c r="H61" s="466"/>
      <c r="I61" s="467"/>
      <c r="J61" s="467"/>
      <c r="K61" s="1670">
        <f t="shared" si="7"/>
        <v>438611</v>
      </c>
      <c r="L61" s="466">
        <v>471400</v>
      </c>
      <c r="M61" s="609"/>
      <c r="N61" s="609"/>
    </row>
    <row r="62" spans="1:14" s="343" customFormat="1" x14ac:dyDescent="0.2">
      <c r="A62" s="1504" t="s">
        <v>953</v>
      </c>
      <c r="B62" s="614">
        <v>2550</v>
      </c>
      <c r="C62" s="466"/>
      <c r="D62" s="466"/>
      <c r="E62" s="466"/>
      <c r="F62" s="466"/>
      <c r="G62" s="466"/>
      <c r="H62" s="466"/>
      <c r="I62" s="467"/>
      <c r="J62" s="467"/>
      <c r="K62" s="1670">
        <f t="shared" si="7"/>
        <v>0</v>
      </c>
      <c r="L62" s="466">
        <v>756930</v>
      </c>
      <c r="M62" s="609"/>
      <c r="N62" s="609"/>
    </row>
    <row r="63" spans="1:14" s="609" customFormat="1" x14ac:dyDescent="0.2">
      <c r="A63" s="1504" t="s">
        <v>100</v>
      </c>
      <c r="B63" s="614">
        <v>2560</v>
      </c>
      <c r="C63" s="466">
        <v>228450</v>
      </c>
      <c r="D63" s="466">
        <v>38669</v>
      </c>
      <c r="E63" s="466">
        <v>22243</v>
      </c>
      <c r="F63" s="466">
        <v>358121</v>
      </c>
      <c r="G63" s="466">
        <v>9133</v>
      </c>
      <c r="H63" s="466"/>
      <c r="I63" s="467"/>
      <c r="J63" s="467"/>
      <c r="K63" s="1670">
        <f t="shared" si="7"/>
        <v>656616</v>
      </c>
      <c r="L63" s="466"/>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660573</v>
      </c>
      <c r="D65" s="1668">
        <f t="shared" ref="D65:L65" si="8">SUM(D59:D64)</f>
        <v>119580</v>
      </c>
      <c r="E65" s="1668">
        <f t="shared" si="8"/>
        <v>32343</v>
      </c>
      <c r="F65" s="1668">
        <f t="shared" si="8"/>
        <v>382276</v>
      </c>
      <c r="G65" s="1668">
        <f t="shared" si="8"/>
        <v>9133</v>
      </c>
      <c r="H65" s="1668">
        <f t="shared" si="8"/>
        <v>0</v>
      </c>
      <c r="I65" s="1668">
        <f t="shared" si="8"/>
        <v>0</v>
      </c>
      <c r="J65" s="1668">
        <f t="shared" si="8"/>
        <v>0</v>
      </c>
      <c r="K65" s="1668">
        <f t="shared" si="8"/>
        <v>1203905</v>
      </c>
      <c r="L65" s="1668">
        <f t="shared" si="8"/>
        <v>1331710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v>75</v>
      </c>
      <c r="F68" s="466">
        <v>700</v>
      </c>
      <c r="G68" s="466"/>
      <c r="H68" s="466"/>
      <c r="I68" s="467"/>
      <c r="J68" s="467"/>
      <c r="K68" s="1670">
        <f>SUM(C68:J68)</f>
        <v>775</v>
      </c>
      <c r="L68" s="466">
        <v>4500</v>
      </c>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v>806</v>
      </c>
      <c r="F70" s="466"/>
      <c r="G70" s="466"/>
      <c r="H70" s="466"/>
      <c r="I70" s="467"/>
      <c r="J70" s="467"/>
      <c r="K70" s="1670">
        <f>SUM(C70:J70)</f>
        <v>806</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881</v>
      </c>
      <c r="F72" s="1668">
        <f t="shared" si="9"/>
        <v>700</v>
      </c>
      <c r="G72" s="1668">
        <f t="shared" si="9"/>
        <v>0</v>
      </c>
      <c r="H72" s="1668">
        <f t="shared" si="9"/>
        <v>0</v>
      </c>
      <c r="I72" s="1668">
        <f t="shared" si="9"/>
        <v>0</v>
      </c>
      <c r="J72" s="1668">
        <f t="shared" si="9"/>
        <v>0</v>
      </c>
      <c r="K72" s="1668">
        <f t="shared" si="9"/>
        <v>1581</v>
      </c>
      <c r="L72" s="1668">
        <f>SUM(L67:L71)</f>
        <v>4500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v>250</v>
      </c>
      <c r="M73" s="609"/>
      <c r="N73" s="609"/>
    </row>
    <row r="74" spans="1:14" ht="12.75" customHeight="1" thickTop="1" thickBot="1" x14ac:dyDescent="0.25">
      <c r="A74" s="1666" t="s">
        <v>811</v>
      </c>
      <c r="B74" s="1674">
        <v>2000</v>
      </c>
      <c r="C74" s="1675">
        <f>SUM(C42,C47,C53,C57,C65,C72,C73)</f>
        <v>2039391</v>
      </c>
      <c r="D74" s="1675">
        <f t="shared" ref="D74:K74" si="10">SUM(D42,D47,D53,D57,D65,D72,D73)</f>
        <v>490324</v>
      </c>
      <c r="E74" s="1675">
        <f t="shared" si="10"/>
        <v>306270</v>
      </c>
      <c r="F74" s="1675">
        <f t="shared" si="10"/>
        <v>416624</v>
      </c>
      <c r="G74" s="1675">
        <f t="shared" si="10"/>
        <v>11533</v>
      </c>
      <c r="H74" s="1675">
        <f t="shared" si="10"/>
        <v>19509</v>
      </c>
      <c r="I74" s="1675">
        <f t="shared" si="10"/>
        <v>0</v>
      </c>
      <c r="J74" s="1675">
        <f t="shared" si="10"/>
        <v>0</v>
      </c>
      <c r="K74" s="1675">
        <f t="shared" si="10"/>
        <v>3283651</v>
      </c>
      <c r="L74" s="1675">
        <f>SUM(L42,L47,L53,L57,L65,L72,L73)</f>
        <v>3378350</v>
      </c>
    </row>
    <row r="75" spans="1:14" s="259" customFormat="1" ht="15.75" customHeight="1" thickTop="1" thickBot="1" x14ac:dyDescent="0.25">
      <c r="A75" s="1610" t="s">
        <v>47</v>
      </c>
      <c r="B75" s="1611" t="s">
        <v>575</v>
      </c>
      <c r="C75" s="573">
        <v>9698</v>
      </c>
      <c r="D75" s="573">
        <v>727</v>
      </c>
      <c r="E75" s="573">
        <f>4189+12434</f>
        <v>16623</v>
      </c>
      <c r="F75" s="573">
        <f>7915+624</f>
        <v>8539</v>
      </c>
      <c r="G75" s="573"/>
      <c r="H75" s="573"/>
      <c r="I75" s="531"/>
      <c r="J75" s="531"/>
      <c r="K75" s="1668">
        <f>SUM(C75:J75)</f>
        <v>35587</v>
      </c>
      <c r="L75" s="576">
        <v>68920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238926</v>
      </c>
      <c r="F79" s="616"/>
      <c r="G79" s="616"/>
      <c r="H79" s="466"/>
      <c r="I79" s="477"/>
      <c r="J79" s="477"/>
      <c r="K79" s="1669">
        <f t="shared" si="11"/>
        <v>238926</v>
      </c>
      <c r="L79" s="466">
        <v>220000</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v>35109</v>
      </c>
      <c r="F83" s="616"/>
      <c r="G83" s="616"/>
      <c r="H83" s="466"/>
      <c r="I83" s="477"/>
      <c r="J83" s="477"/>
      <c r="K83" s="1669">
        <f t="shared" si="11"/>
        <v>35109</v>
      </c>
      <c r="L83" s="466">
        <v>55000</v>
      </c>
    </row>
    <row r="84" spans="1:12" ht="13.5" thickBot="1" x14ac:dyDescent="0.25">
      <c r="A84" s="1666" t="s">
        <v>1485</v>
      </c>
      <c r="B84" s="1676">
        <v>4100</v>
      </c>
      <c r="C84" s="616"/>
      <c r="D84" s="616"/>
      <c r="E84" s="1668">
        <f>SUM(E78:E83)</f>
        <v>274035</v>
      </c>
      <c r="F84" s="616"/>
      <c r="G84" s="616"/>
      <c r="H84" s="1668">
        <f>SUM(H78:H83)</f>
        <v>0</v>
      </c>
      <c r="I84" s="477"/>
      <c r="J84" s="477"/>
      <c r="K84" s="1668">
        <f>SUM(K78:K83)</f>
        <v>274035</v>
      </c>
      <c r="L84" s="1668">
        <f>SUM(L78:L83)</f>
        <v>275000</v>
      </c>
    </row>
    <row r="85" spans="1:12" ht="12.75" customHeight="1" thickTop="1" thickBot="1" x14ac:dyDescent="0.25">
      <c r="A85" s="1511" t="s">
        <v>255</v>
      </c>
      <c r="B85" s="635">
        <v>4210</v>
      </c>
      <c r="C85" s="616"/>
      <c r="D85" s="616"/>
      <c r="E85" s="636"/>
      <c r="F85" s="616"/>
      <c r="G85" s="616"/>
      <c r="H85" s="535"/>
      <c r="I85" s="477"/>
      <c r="J85" s="477"/>
      <c r="K85" s="1675">
        <f>H85</f>
        <v>0</v>
      </c>
      <c r="L85" s="530">
        <v>3000</v>
      </c>
    </row>
    <row r="86" spans="1:12" ht="12.75" customHeight="1" thickTop="1" thickBot="1" x14ac:dyDescent="0.25">
      <c r="A86" s="1512" t="s">
        <v>699</v>
      </c>
      <c r="B86" s="637">
        <v>4220</v>
      </c>
      <c r="C86" s="616"/>
      <c r="D86" s="616"/>
      <c r="E86" s="638"/>
      <c r="F86" s="616"/>
      <c r="G86" s="616"/>
      <c r="H86" s="467"/>
      <c r="I86" s="477"/>
      <c r="J86" s="477"/>
      <c r="K86" s="1675">
        <f t="shared" ref="K86:K98" si="12">H86</f>
        <v>0</v>
      </c>
      <c r="L86" s="530"/>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3000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274035</v>
      </c>
      <c r="F102" s="616"/>
      <c r="G102" s="616"/>
      <c r="H102" s="1675">
        <f>SUM(H84,H92,H100,H101)</f>
        <v>0</v>
      </c>
      <c r="I102" s="477"/>
      <c r="J102" s="477"/>
      <c r="K102" s="1675">
        <f>SUM(K84,K92,K100,K101)</f>
        <v>274035</v>
      </c>
      <c r="L102" s="1675">
        <f>SUM(L84,L92,L100,L101)</f>
        <v>278000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7492401</v>
      </c>
      <c r="D114" s="1668">
        <f t="shared" ref="D114:K114" si="13">SUM(D33,D74,D75,D102,D112,D113)</f>
        <v>1863751</v>
      </c>
      <c r="E114" s="1668">
        <f t="shared" si="13"/>
        <v>814424</v>
      </c>
      <c r="F114" s="1668">
        <f t="shared" si="13"/>
        <v>619836</v>
      </c>
      <c r="G114" s="1668">
        <f t="shared" si="13"/>
        <v>57752</v>
      </c>
      <c r="H114" s="1668">
        <f>SUM(H33,H74,H75,H102,H112,H113)</f>
        <v>209573</v>
      </c>
      <c r="I114" s="1668">
        <f t="shared" si="13"/>
        <v>0</v>
      </c>
      <c r="J114" s="1668">
        <f t="shared" si="13"/>
        <v>0</v>
      </c>
      <c r="K114" s="1668">
        <f t="shared" si="13"/>
        <v>11057737</v>
      </c>
      <c r="L114" s="1668">
        <f>SUM(L33,L74,L75,L102,L112,L113)</f>
        <v>11415040</v>
      </c>
    </row>
    <row r="115" spans="1:14" ht="13.5" thickTop="1" x14ac:dyDescent="0.2">
      <c r="A115" s="2162" t="s">
        <v>996</v>
      </c>
      <c r="B115" s="2163"/>
      <c r="C115" s="618"/>
      <c r="D115" s="618"/>
      <c r="E115" s="618"/>
      <c r="F115" s="618"/>
      <c r="G115" s="618"/>
      <c r="H115" s="618"/>
      <c r="I115" s="618"/>
      <c r="J115" s="618"/>
      <c r="K115" s="1682">
        <f>'Revenues 9-14'!C268-'Expenditures 15-22'!K114</f>
        <v>807728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c r="H123" s="466"/>
      <c r="I123" s="467"/>
      <c r="J123" s="467"/>
      <c r="K123" s="1668">
        <f>SUM(C123:J123)</f>
        <v>0</v>
      </c>
      <c r="L123" s="466"/>
    </row>
    <row r="124" spans="1:14" ht="14.25" thickTop="1" thickBot="1" x14ac:dyDescent="0.25">
      <c r="A124" s="1504" t="s">
        <v>197</v>
      </c>
      <c r="B124" s="614">
        <v>2540</v>
      </c>
      <c r="C124" s="466"/>
      <c r="D124" s="466"/>
      <c r="E124" s="466">
        <v>156920</v>
      </c>
      <c r="F124" s="466">
        <v>335184</v>
      </c>
      <c r="G124" s="466">
        <v>30047</v>
      </c>
      <c r="H124" s="466"/>
      <c r="I124" s="467"/>
      <c r="J124" s="467"/>
      <c r="K124" s="1668">
        <f>SUM(C124:J124)</f>
        <v>522151</v>
      </c>
      <c r="L124" s="466">
        <v>551500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156920</v>
      </c>
      <c r="F127" s="1668">
        <f t="shared" si="14"/>
        <v>335184</v>
      </c>
      <c r="G127" s="1668">
        <f t="shared" si="14"/>
        <v>30047</v>
      </c>
      <c r="H127" s="1668">
        <f t="shared" si="14"/>
        <v>0</v>
      </c>
      <c r="I127" s="1668">
        <f t="shared" si="14"/>
        <v>0</v>
      </c>
      <c r="J127" s="1668">
        <f t="shared" si="14"/>
        <v>0</v>
      </c>
      <c r="K127" s="1668">
        <f t="shared" si="14"/>
        <v>522151</v>
      </c>
      <c r="L127" s="1668">
        <f t="shared" si="14"/>
        <v>551500</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156920</v>
      </c>
      <c r="F129" s="1675">
        <f t="shared" si="15"/>
        <v>335184</v>
      </c>
      <c r="G129" s="1675">
        <f t="shared" si="15"/>
        <v>30047</v>
      </c>
      <c r="H129" s="1675">
        <f t="shared" si="15"/>
        <v>0</v>
      </c>
      <c r="I129" s="1675">
        <f t="shared" si="15"/>
        <v>0</v>
      </c>
      <c r="J129" s="1675">
        <f t="shared" si="15"/>
        <v>0</v>
      </c>
      <c r="K129" s="1675">
        <f t="shared" si="15"/>
        <v>522151</v>
      </c>
      <c r="L129" s="1675">
        <f t="shared" si="15"/>
        <v>551500</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1841</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9" t="s">
        <v>620</v>
      </c>
      <c r="B151" s="2159"/>
      <c r="C151" s="1668">
        <f>SUM(C129,C130,C139,C149,C150)</f>
        <v>0</v>
      </c>
      <c r="D151" s="1668">
        <f t="shared" ref="D151:K151" si="16">SUM(D129,D130,D139,D149,D150)</f>
        <v>0</v>
      </c>
      <c r="E151" s="1668">
        <f t="shared" si="16"/>
        <v>156920</v>
      </c>
      <c r="F151" s="1668">
        <f t="shared" si="16"/>
        <v>335184</v>
      </c>
      <c r="G151" s="1668">
        <f t="shared" si="16"/>
        <v>30047</v>
      </c>
      <c r="H151" s="1668">
        <f t="shared" si="16"/>
        <v>0</v>
      </c>
      <c r="I151" s="1668">
        <f t="shared" si="16"/>
        <v>0</v>
      </c>
      <c r="J151" s="1668">
        <f t="shared" si="16"/>
        <v>0</v>
      </c>
      <c r="K151" s="1668">
        <f t="shared" si="16"/>
        <v>522151</v>
      </c>
      <c r="L151" s="1668">
        <f>SUM(L129,L130,L139,L149,L150)</f>
        <v>551500</v>
      </c>
    </row>
    <row r="152" spans="1:14" ht="12.75" customHeight="1" thickTop="1" x14ac:dyDescent="0.2">
      <c r="A152" s="2182" t="s">
        <v>1178</v>
      </c>
      <c r="B152" s="2183"/>
      <c r="C152" s="618"/>
      <c r="D152" s="618"/>
      <c r="E152" s="618"/>
      <c r="F152" s="618"/>
      <c r="G152" s="618"/>
      <c r="H152" s="618"/>
      <c r="I152" s="618"/>
      <c r="J152" s="616"/>
      <c r="K152" s="1682">
        <f>'Revenues 9-14'!D268-'Expenditures 15-22'!K151</f>
        <v>131084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1842</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1841</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1843</v>
      </c>
      <c r="C158" s="616"/>
      <c r="D158" s="616"/>
      <c r="E158" s="616"/>
      <c r="F158" s="616"/>
      <c r="G158" s="616"/>
      <c r="H158" s="467"/>
      <c r="I158" s="616"/>
      <c r="J158" s="616"/>
      <c r="K158" s="1669">
        <f>H158</f>
        <v>0</v>
      </c>
      <c r="L158" s="467"/>
      <c r="M158" s="619"/>
      <c r="N158" s="619"/>
    </row>
    <row r="159" spans="1:14" s="620" customFormat="1" ht="12" x14ac:dyDescent="0.2">
      <c r="A159" s="1824" t="s">
        <v>1844</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1845</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421383</v>
      </c>
      <c r="I169" s="616"/>
      <c r="J169" s="616"/>
      <c r="K169" s="1669">
        <f>SUM(C169:H169)</f>
        <v>421383</v>
      </c>
      <c r="L169" s="656">
        <v>421383</v>
      </c>
    </row>
    <row r="170" spans="1:14" ht="33.75" customHeight="1" x14ac:dyDescent="0.2">
      <c r="A170" s="669" t="s">
        <v>1670</v>
      </c>
      <c r="B170" s="671" t="s">
        <v>31</v>
      </c>
      <c r="C170" s="616"/>
      <c r="D170" s="616"/>
      <c r="E170" s="616"/>
      <c r="F170" s="616"/>
      <c r="G170" s="616"/>
      <c r="H170" s="569">
        <v>275000</v>
      </c>
      <c r="I170" s="616"/>
      <c r="J170" s="616"/>
      <c r="K170" s="1669">
        <f>SUM(C170:J170)</f>
        <v>275000</v>
      </c>
      <c r="L170" s="569">
        <v>275000</v>
      </c>
    </row>
    <row r="171" spans="1:14" ht="15.75" customHeight="1" x14ac:dyDescent="0.2">
      <c r="A171" s="621" t="s">
        <v>766</v>
      </c>
      <c r="B171" s="672" t="s">
        <v>84</v>
      </c>
      <c r="C171" s="616"/>
      <c r="D171" s="616"/>
      <c r="E171" s="466"/>
      <c r="F171" s="616"/>
      <c r="G171" s="616"/>
      <c r="H171" s="569">
        <v>500</v>
      </c>
      <c r="I171" s="477"/>
      <c r="J171" s="616"/>
      <c r="K171" s="1669">
        <f>SUM(C171:J171)</f>
        <v>500</v>
      </c>
      <c r="L171" s="569">
        <v>500</v>
      </c>
    </row>
    <row r="172" spans="1:14" ht="12.75" customHeight="1" thickBot="1" x14ac:dyDescent="0.25">
      <c r="A172" s="1666" t="s">
        <v>638</v>
      </c>
      <c r="B172" s="1667" t="s">
        <v>492</v>
      </c>
      <c r="C172" s="616"/>
      <c r="D172" s="616"/>
      <c r="E172" s="1675">
        <f>SUM(E168,E169,E170,E171)</f>
        <v>0</v>
      </c>
      <c r="F172" s="616"/>
      <c r="G172" s="616"/>
      <c r="H172" s="1675">
        <f>SUM(H168,H169,H170,H171)</f>
        <v>696883</v>
      </c>
      <c r="I172" s="638"/>
      <c r="J172" s="616"/>
      <c r="K172" s="1675">
        <f>SUM(K168,K169,K170,K171)</f>
        <v>696883</v>
      </c>
      <c r="L172" s="1675">
        <f>SUM(L168,L169,L170,L171)</f>
        <v>696883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696883</v>
      </c>
      <c r="I174" s="638"/>
      <c r="J174" s="616"/>
      <c r="K174" s="1675">
        <f>SUM(K160,K172,K173)</f>
        <v>696883</v>
      </c>
      <c r="L174" s="1675">
        <f>SUM(L160,L172,L173)</f>
        <v>696883</v>
      </c>
    </row>
    <row r="175" spans="1:14" ht="13.5" thickTop="1" x14ac:dyDescent="0.2">
      <c r="A175" s="2162" t="s">
        <v>996</v>
      </c>
      <c r="B175" s="2163"/>
      <c r="C175" s="616"/>
      <c r="D175" s="616"/>
      <c r="E175" s="616"/>
      <c r="F175" s="616"/>
      <c r="G175" s="616"/>
      <c r="H175" s="618"/>
      <c r="I175" s="616"/>
      <c r="J175" s="616"/>
      <c r="K175" s="1682">
        <f>'Revenues 9-14'!E268-'Expenditures 15-22'!K174</f>
        <v>-154037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17462</v>
      </c>
      <c r="D182" s="466">
        <v>29</v>
      </c>
      <c r="E182" s="466">
        <v>225947</v>
      </c>
      <c r="F182" s="466">
        <v>20389</v>
      </c>
      <c r="G182" s="466"/>
      <c r="H182" s="466"/>
      <c r="I182" s="467"/>
      <c r="J182" s="467"/>
      <c r="K182" s="1669">
        <f>SUM(C182:J182)</f>
        <v>263827</v>
      </c>
      <c r="L182" s="466">
        <v>317040</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17462</v>
      </c>
      <c r="D184" s="1675">
        <f t="shared" ref="D184:J184" si="17">SUM(D180,D182,D183)</f>
        <v>29</v>
      </c>
      <c r="E184" s="1675">
        <f t="shared" si="17"/>
        <v>225947</v>
      </c>
      <c r="F184" s="1675">
        <f t="shared" si="17"/>
        <v>20389</v>
      </c>
      <c r="G184" s="1675">
        <f t="shared" si="17"/>
        <v>0</v>
      </c>
      <c r="H184" s="1675">
        <f t="shared" si="17"/>
        <v>0</v>
      </c>
      <c r="I184" s="1675">
        <f t="shared" si="17"/>
        <v>0</v>
      </c>
      <c r="J184" s="1675">
        <f t="shared" si="17"/>
        <v>0</v>
      </c>
      <c r="K184" s="1675">
        <f>SUM(K180,K182,K183)</f>
        <v>263827</v>
      </c>
      <c r="L184" s="1675">
        <f>SUM(L180, L182:L183)</f>
        <v>317040</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v>68</v>
      </c>
      <c r="I193" s="477"/>
      <c r="J193" s="616"/>
      <c r="K193" s="1669">
        <f t="shared" si="18"/>
        <v>68</v>
      </c>
      <c r="L193" s="466"/>
    </row>
    <row r="194" spans="1:14" ht="12.75" customHeight="1" thickBot="1" x14ac:dyDescent="0.25">
      <c r="A194" s="1666" t="s">
        <v>1140</v>
      </c>
      <c r="B194" s="1667" t="s">
        <v>559</v>
      </c>
      <c r="C194" s="616"/>
      <c r="D194" s="616"/>
      <c r="E194" s="1668">
        <f>SUM(E188:E193)</f>
        <v>0</v>
      </c>
      <c r="F194" s="616"/>
      <c r="G194" s="616"/>
      <c r="H194" s="1668">
        <f>SUM(H188:H193)</f>
        <v>68</v>
      </c>
      <c r="I194" s="477"/>
      <c r="J194" s="616"/>
      <c r="K194" s="1668">
        <f>SUM(K188:K193)</f>
        <v>68</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68</v>
      </c>
      <c r="I196" s="477"/>
      <c r="J196" s="616"/>
      <c r="K196" s="1675">
        <f>SUM(K194,K195)</f>
        <v>68</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17462</v>
      </c>
      <c r="D210" s="1668">
        <f>SUM(D184,D185)</f>
        <v>29</v>
      </c>
      <c r="E210" s="1668">
        <f>SUM(E184,E185,E196)</f>
        <v>225947</v>
      </c>
      <c r="F210" s="1668">
        <f>SUM(F184,F185)</f>
        <v>20389</v>
      </c>
      <c r="G210" s="1668">
        <f>SUM(G184,G185)</f>
        <v>0</v>
      </c>
      <c r="H210" s="1668">
        <f>SUM(H184,H185,H196,H208,H209)</f>
        <v>68</v>
      </c>
      <c r="I210" s="1668">
        <f>SUM(I184,I185)</f>
        <v>0</v>
      </c>
      <c r="J210" s="1668">
        <f>SUM(J184,J185)</f>
        <v>0</v>
      </c>
      <c r="K210" s="1669">
        <f>SUM(K184,K185,K196,K208,K209)</f>
        <v>263895</v>
      </c>
      <c r="L210" s="1668">
        <f>SUM(L184,L185,L196,L208,L209)</f>
        <v>317040</v>
      </c>
    </row>
    <row r="211" spans="1:14" ht="13.5" thickTop="1" x14ac:dyDescent="0.2">
      <c r="A211" s="2162" t="s">
        <v>996</v>
      </c>
      <c r="B211" s="2163"/>
      <c r="C211" s="618"/>
      <c r="D211" s="618"/>
      <c r="E211" s="618"/>
      <c r="F211" s="618"/>
      <c r="G211" s="618"/>
      <c r="H211" s="618"/>
      <c r="I211" s="616"/>
      <c r="J211" s="616"/>
      <c r="K211" s="1682">
        <f>'Revenues 9-14'!F268-'Expenditures 15-22'!K210</f>
        <v>-6746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62418</v>
      </c>
      <c r="E215" s="616"/>
      <c r="F215" s="616"/>
      <c r="G215" s="616"/>
      <c r="H215" s="616"/>
      <c r="I215" s="616"/>
      <c r="J215" s="616"/>
      <c r="K215" s="1669">
        <f>D215</f>
        <v>62418</v>
      </c>
      <c r="L215" s="466">
        <v>66150</v>
      </c>
    </row>
    <row r="216" spans="1:14" x14ac:dyDescent="0.2">
      <c r="A216" s="1504" t="s">
        <v>163</v>
      </c>
      <c r="B216" s="614" t="s">
        <v>967</v>
      </c>
      <c r="C216" s="616"/>
      <c r="D216" s="467">
        <v>5263</v>
      </c>
      <c r="E216" s="616"/>
      <c r="F216" s="616"/>
      <c r="G216" s="616"/>
      <c r="H216" s="616"/>
      <c r="I216" s="616"/>
      <c r="J216" s="616"/>
      <c r="K216" s="1669">
        <f t="shared" ref="K216:K228" si="19">D216</f>
        <v>5263</v>
      </c>
      <c r="L216" s="466">
        <v>7450</v>
      </c>
    </row>
    <row r="217" spans="1:14" x14ac:dyDescent="0.2">
      <c r="A217" s="1504" t="s">
        <v>164</v>
      </c>
      <c r="B217" s="614">
        <v>1200</v>
      </c>
      <c r="C217" s="616"/>
      <c r="D217" s="466">
        <f>14+2356+17392+73632+64+19606</f>
        <v>113064</v>
      </c>
      <c r="E217" s="616"/>
      <c r="F217" s="616"/>
      <c r="G217" s="616"/>
      <c r="H217" s="616"/>
      <c r="I217" s="616"/>
      <c r="J217" s="616"/>
      <c r="K217" s="1669">
        <f t="shared" si="19"/>
        <v>113064</v>
      </c>
      <c r="L217" s="466">
        <v>129150</v>
      </c>
    </row>
    <row r="218" spans="1:14" x14ac:dyDescent="0.2">
      <c r="A218" s="1504" t="s">
        <v>278</v>
      </c>
      <c r="B218" s="614" t="s">
        <v>968</v>
      </c>
      <c r="C218" s="616"/>
      <c r="D218" s="467">
        <v>12217</v>
      </c>
      <c r="E218" s="616"/>
      <c r="F218" s="616"/>
      <c r="G218" s="616"/>
      <c r="H218" s="616"/>
      <c r="I218" s="616"/>
      <c r="J218" s="616"/>
      <c r="K218" s="1669">
        <f t="shared" si="19"/>
        <v>12217</v>
      </c>
      <c r="L218" s="466">
        <v>12165</v>
      </c>
    </row>
    <row r="219" spans="1:14" x14ac:dyDescent="0.2">
      <c r="A219" s="1504" t="s">
        <v>279</v>
      </c>
      <c r="B219" s="614">
        <v>1250</v>
      </c>
      <c r="C219" s="616"/>
      <c r="D219" s="466">
        <v>4255</v>
      </c>
      <c r="E219" s="616"/>
      <c r="F219" s="616"/>
      <c r="G219" s="616"/>
      <c r="H219" s="616"/>
      <c r="I219" s="616"/>
      <c r="J219" s="616"/>
      <c r="K219" s="1669">
        <f t="shared" si="19"/>
        <v>4255</v>
      </c>
      <c r="L219" s="466">
        <v>5765</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c r="E222" s="616"/>
      <c r="F222" s="616"/>
      <c r="G222" s="616"/>
      <c r="H222" s="616"/>
      <c r="I222" s="616"/>
      <c r="J222" s="616"/>
      <c r="K222" s="1669">
        <f t="shared" si="19"/>
        <v>0</v>
      </c>
      <c r="L222" s="466"/>
    </row>
    <row r="223" spans="1:14" x14ac:dyDescent="0.2">
      <c r="A223" s="1504" t="s">
        <v>963</v>
      </c>
      <c r="B223" s="614">
        <v>1500</v>
      </c>
      <c r="C223" s="616"/>
      <c r="D223" s="466">
        <v>2947</v>
      </c>
      <c r="E223" s="616"/>
      <c r="F223" s="616"/>
      <c r="G223" s="616"/>
      <c r="H223" s="616"/>
      <c r="I223" s="616"/>
      <c r="J223" s="616"/>
      <c r="K223" s="1669">
        <f t="shared" si="19"/>
        <v>2947</v>
      </c>
      <c r="L223" s="466">
        <v>3220</v>
      </c>
    </row>
    <row r="224" spans="1:14" x14ac:dyDescent="0.2">
      <c r="A224" s="1504" t="s">
        <v>964</v>
      </c>
      <c r="B224" s="614">
        <v>1600</v>
      </c>
      <c r="C224" s="616"/>
      <c r="D224" s="466">
        <v>53</v>
      </c>
      <c r="E224" s="616"/>
      <c r="F224" s="616"/>
      <c r="G224" s="616"/>
      <c r="H224" s="616"/>
      <c r="I224" s="616"/>
      <c r="J224" s="616"/>
      <c r="K224" s="1669">
        <f t="shared" si="19"/>
        <v>53</v>
      </c>
      <c r="L224" s="466">
        <v>50</v>
      </c>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c r="E226" s="616"/>
      <c r="F226" s="616"/>
      <c r="G226" s="616"/>
      <c r="H226" s="616"/>
      <c r="I226" s="616"/>
      <c r="J226" s="616"/>
      <c r="K226" s="1669">
        <f t="shared" si="19"/>
        <v>0</v>
      </c>
      <c r="L226" s="466"/>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200217</v>
      </c>
      <c r="E229" s="616"/>
      <c r="F229" s="616"/>
      <c r="G229" s="616"/>
      <c r="H229" s="616"/>
      <c r="I229" s="616"/>
      <c r="J229" s="616"/>
      <c r="K229" s="1668">
        <f>SUM(K215:K228)</f>
        <v>200217</v>
      </c>
      <c r="L229" s="1668">
        <f>SUM(L215:L228)</f>
        <v>223950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v>1941</v>
      </c>
      <c r="E233" s="616"/>
      <c r="F233" s="616"/>
      <c r="G233" s="616"/>
      <c r="H233" s="616"/>
      <c r="I233" s="616"/>
      <c r="J233" s="616"/>
      <c r="K233" s="1669">
        <f t="shared" si="20"/>
        <v>1941</v>
      </c>
      <c r="L233" s="466">
        <v>2000</v>
      </c>
    </row>
    <row r="234" spans="1:12" x14ac:dyDescent="0.2">
      <c r="A234" s="1504" t="s">
        <v>198</v>
      </c>
      <c r="B234" s="614">
        <v>2130</v>
      </c>
      <c r="C234" s="616"/>
      <c r="D234" s="466">
        <v>9619</v>
      </c>
      <c r="E234" s="616"/>
      <c r="F234" s="616"/>
      <c r="G234" s="616"/>
      <c r="H234" s="616"/>
      <c r="I234" s="616"/>
      <c r="J234" s="616"/>
      <c r="K234" s="1669">
        <f t="shared" si="20"/>
        <v>9619</v>
      </c>
      <c r="L234" s="466">
        <v>10200</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v>2951</v>
      </c>
      <c r="E236" s="616"/>
      <c r="F236" s="616"/>
      <c r="G236" s="616"/>
      <c r="H236" s="616"/>
      <c r="I236" s="616"/>
      <c r="J236" s="616"/>
      <c r="K236" s="1669">
        <f t="shared" si="20"/>
        <v>2951</v>
      </c>
      <c r="L236" s="466">
        <v>3000</v>
      </c>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14511</v>
      </c>
      <c r="E238" s="616"/>
      <c r="F238" s="616"/>
      <c r="G238" s="616"/>
      <c r="H238" s="616"/>
      <c r="I238" s="616"/>
      <c r="J238" s="616"/>
      <c r="K238" s="1668">
        <f>SUM(K232:K237)</f>
        <v>14511</v>
      </c>
      <c r="L238" s="1668">
        <f>SUM(L232:L237)</f>
        <v>15200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3030</v>
      </c>
      <c r="E240" s="616"/>
      <c r="F240" s="616"/>
      <c r="G240" s="616"/>
      <c r="H240" s="616"/>
      <c r="I240" s="616"/>
      <c r="J240" s="616"/>
      <c r="K240" s="1670">
        <f>D240</f>
        <v>3030</v>
      </c>
      <c r="L240" s="481">
        <v>3260</v>
      </c>
    </row>
    <row r="241" spans="1:12" x14ac:dyDescent="0.2">
      <c r="A241" s="1504" t="s">
        <v>815</v>
      </c>
      <c r="B241" s="614">
        <v>2220</v>
      </c>
      <c r="C241" s="616"/>
      <c r="D241" s="466">
        <v>13950</v>
      </c>
      <c r="E241" s="616"/>
      <c r="F241" s="616"/>
      <c r="G241" s="616"/>
      <c r="H241" s="616"/>
      <c r="I241" s="616"/>
      <c r="J241" s="616"/>
      <c r="K241" s="1670">
        <f>D241</f>
        <v>13950</v>
      </c>
      <c r="L241" s="466">
        <v>15300</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16980</v>
      </c>
      <c r="E243" s="616"/>
      <c r="F243" s="616"/>
      <c r="G243" s="616"/>
      <c r="H243" s="616"/>
      <c r="I243" s="616"/>
      <c r="J243" s="616"/>
      <c r="K243" s="1668">
        <f>SUM(K240:K242)</f>
        <v>16980</v>
      </c>
      <c r="L243" s="1668">
        <f>SUM(L240:L242)</f>
        <v>18560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457</v>
      </c>
      <c r="E245" s="616"/>
      <c r="F245" s="616"/>
      <c r="G245" s="616"/>
      <c r="H245" s="616"/>
      <c r="I245" s="616"/>
      <c r="J245" s="616"/>
      <c r="K245" s="1670">
        <f>D245</f>
        <v>457</v>
      </c>
      <c r="L245" s="481">
        <v>500</v>
      </c>
    </row>
    <row r="246" spans="1:12" x14ac:dyDescent="0.2">
      <c r="A246" s="1504" t="s">
        <v>818</v>
      </c>
      <c r="B246" s="614">
        <v>2320</v>
      </c>
      <c r="C246" s="616"/>
      <c r="D246" s="466">
        <v>9807</v>
      </c>
      <c r="E246" s="616"/>
      <c r="F246" s="616"/>
      <c r="G246" s="616"/>
      <c r="H246" s="616"/>
      <c r="I246" s="616"/>
      <c r="J246" s="616"/>
      <c r="K246" s="1670">
        <f t="shared" ref="K246:K256" si="21">D246</f>
        <v>9807</v>
      </c>
      <c r="L246" s="466">
        <v>10210</v>
      </c>
    </row>
    <row r="247" spans="1:12" x14ac:dyDescent="0.2">
      <c r="A247" s="1504" t="s">
        <v>819</v>
      </c>
      <c r="B247" s="614">
        <v>2330</v>
      </c>
      <c r="C247" s="616"/>
      <c r="D247" s="466">
        <v>9553</v>
      </c>
      <c r="E247" s="616"/>
      <c r="F247" s="616"/>
      <c r="G247" s="616"/>
      <c r="H247" s="616"/>
      <c r="I247" s="616"/>
      <c r="J247" s="616"/>
      <c r="K247" s="1670">
        <f t="shared" si="21"/>
        <v>9553</v>
      </c>
      <c r="L247" s="466">
        <v>10550</v>
      </c>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1802</v>
      </c>
      <c r="B249" s="683" t="s">
        <v>282</v>
      </c>
      <c r="C249" s="616"/>
      <c r="D249" s="474"/>
      <c r="E249" s="616"/>
      <c r="F249" s="616"/>
      <c r="G249" s="616"/>
      <c r="H249" s="616"/>
      <c r="I249" s="616"/>
      <c r="J249" s="616"/>
      <c r="K249" s="1670">
        <f t="shared" si="21"/>
        <v>0</v>
      </c>
      <c r="L249" s="466"/>
    </row>
    <row r="250" spans="1:12" x14ac:dyDescent="0.2">
      <c r="A250" s="1505" t="s">
        <v>1803</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19817</v>
      </c>
      <c r="E257" s="616"/>
      <c r="F257" s="616"/>
      <c r="G257" s="616"/>
      <c r="H257" s="616"/>
      <c r="I257" s="616"/>
      <c r="J257" s="616"/>
      <c r="K257" s="1668">
        <f>SUM(K245:K256)</f>
        <v>19817</v>
      </c>
      <c r="L257" s="1668">
        <f>SUM(L245:L256)</f>
        <v>21260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25993</v>
      </c>
      <c r="E259" s="616"/>
      <c r="F259" s="616"/>
      <c r="G259" s="616"/>
      <c r="H259" s="616"/>
      <c r="I259" s="616"/>
      <c r="J259" s="616"/>
      <c r="K259" s="1670">
        <f>D259</f>
        <v>25993</v>
      </c>
      <c r="L259" s="481">
        <v>27900</v>
      </c>
    </row>
    <row r="260" spans="1:14" s="597" customFormat="1" x14ac:dyDescent="0.2">
      <c r="A260" s="1522" t="s">
        <v>1801</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25993</v>
      </c>
      <c r="E261" s="616"/>
      <c r="F261" s="616"/>
      <c r="G261" s="616"/>
      <c r="H261" s="616"/>
      <c r="I261" s="616"/>
      <c r="J261" s="616"/>
      <c r="K261" s="1668">
        <f>SUM(K259:K260)</f>
        <v>25993</v>
      </c>
      <c r="L261" s="1668">
        <f>SUM(L259:L260)</f>
        <v>27900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16894</v>
      </c>
      <c r="E264" s="616"/>
      <c r="F264" s="616"/>
      <c r="G264" s="616"/>
      <c r="H264" s="616"/>
      <c r="I264" s="616"/>
      <c r="J264" s="616"/>
      <c r="K264" s="1670">
        <f t="shared" ref="K264:K269" si="22">D264</f>
        <v>16894</v>
      </c>
      <c r="L264" s="466">
        <v>18100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64941</v>
      </c>
      <c r="E266" s="616"/>
      <c r="F266" s="616"/>
      <c r="G266" s="616"/>
      <c r="H266" s="616"/>
      <c r="I266" s="616"/>
      <c r="J266" s="616"/>
      <c r="K266" s="1670">
        <f t="shared" si="22"/>
        <v>64941</v>
      </c>
      <c r="L266" s="466">
        <v>69000</v>
      </c>
    </row>
    <row r="267" spans="1:14" x14ac:dyDescent="0.2">
      <c r="A267" s="1504" t="s">
        <v>953</v>
      </c>
      <c r="B267" s="614">
        <v>2550</v>
      </c>
      <c r="C267" s="616"/>
      <c r="D267" s="466">
        <v>3314</v>
      </c>
      <c r="E267" s="616"/>
      <c r="F267" s="616"/>
      <c r="G267" s="616"/>
      <c r="H267" s="616"/>
      <c r="I267" s="616"/>
      <c r="J267" s="616"/>
      <c r="K267" s="1670">
        <f t="shared" si="22"/>
        <v>3314</v>
      </c>
      <c r="L267" s="466">
        <v>3600</v>
      </c>
    </row>
    <row r="268" spans="1:14" x14ac:dyDescent="0.2">
      <c r="A268" s="1504" t="s">
        <v>100</v>
      </c>
      <c r="B268" s="614">
        <v>2560</v>
      </c>
      <c r="C268" s="616"/>
      <c r="D268" s="466">
        <v>39128</v>
      </c>
      <c r="E268" s="616"/>
      <c r="F268" s="616"/>
      <c r="G268" s="616"/>
      <c r="H268" s="616"/>
      <c r="I268" s="616"/>
      <c r="J268" s="616"/>
      <c r="K268" s="1670">
        <f t="shared" si="22"/>
        <v>39128</v>
      </c>
      <c r="L268" s="466">
        <v>42225</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124277</v>
      </c>
      <c r="E270" s="616"/>
      <c r="F270" s="616"/>
      <c r="G270" s="616"/>
      <c r="H270" s="616"/>
      <c r="I270" s="616"/>
      <c r="J270" s="616"/>
      <c r="K270" s="1668">
        <f>SUM(K263:K269)</f>
        <v>124277</v>
      </c>
      <c r="L270" s="1668">
        <f>SUM(L263:L269)</f>
        <v>132925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201578</v>
      </c>
      <c r="E279" s="616"/>
      <c r="F279" s="616"/>
      <c r="G279" s="616"/>
      <c r="H279" s="616"/>
      <c r="I279" s="616"/>
      <c r="J279" s="616"/>
      <c r="K279" s="1675">
        <f>SUM(K238,K243,K257,K261,K270,K277,K278)</f>
        <v>201578</v>
      </c>
      <c r="L279" s="1675">
        <f>SUM(L238,L243,L257,L261,L270,L277,L278)</f>
        <v>215845</v>
      </c>
    </row>
    <row r="280" spans="1:12" ht="15.75" customHeight="1" thickTop="1" thickBot="1" x14ac:dyDescent="0.25">
      <c r="A280" s="1624" t="s">
        <v>875</v>
      </c>
      <c r="B280" s="1613">
        <v>3000</v>
      </c>
      <c r="C280" s="616"/>
      <c r="D280" s="576">
        <v>564</v>
      </c>
      <c r="E280" s="616"/>
      <c r="F280" s="616"/>
      <c r="G280" s="616"/>
      <c r="H280" s="616"/>
      <c r="I280" s="616"/>
      <c r="J280" s="616"/>
      <c r="K280" s="1677">
        <f>D280</f>
        <v>564</v>
      </c>
      <c r="L280" s="576">
        <v>50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1841</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0" t="s">
        <v>505</v>
      </c>
      <c r="B295" s="2181"/>
      <c r="C295" s="616"/>
      <c r="D295" s="1668">
        <f>SUM(D229,D279,D280,D285)</f>
        <v>402359</v>
      </c>
      <c r="E295" s="616"/>
      <c r="F295" s="616"/>
      <c r="G295" s="616"/>
      <c r="H295" s="1668">
        <f>H293</f>
        <v>0</v>
      </c>
      <c r="I295" s="616"/>
      <c r="J295" s="616"/>
      <c r="K295" s="1668">
        <f>SUM(K229,K279,K280,K285,K293,K294)</f>
        <v>402359</v>
      </c>
      <c r="L295" s="1668">
        <f>SUM(L229,L279,L280,L285,L293,L294)</f>
        <v>439845</v>
      </c>
    </row>
    <row r="296" spans="1:14" ht="13.5" thickTop="1" x14ac:dyDescent="0.2">
      <c r="A296" s="2162" t="s">
        <v>996</v>
      </c>
      <c r="B296" s="2163"/>
      <c r="C296" s="616"/>
      <c r="D296" s="618"/>
      <c r="E296" s="616"/>
      <c r="F296" s="616"/>
      <c r="G296" s="616"/>
      <c r="H296" s="687"/>
      <c r="I296" s="616"/>
      <c r="J296" s="616"/>
      <c r="K296" s="1682">
        <f>'Revenues 9-14'!G268-'Expenditures 15-22'!K295</f>
        <v>239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2044</v>
      </c>
      <c r="H301" s="466"/>
      <c r="I301" s="467"/>
      <c r="J301" s="467"/>
      <c r="K301" s="1669">
        <f>SUM(C301:J301)</f>
        <v>2044</v>
      </c>
      <c r="L301" s="467">
        <v>6515</v>
      </c>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2044</v>
      </c>
      <c r="H303" s="1675">
        <f t="shared" si="23"/>
        <v>0</v>
      </c>
      <c r="I303" s="1675">
        <f t="shared" si="23"/>
        <v>0</v>
      </c>
      <c r="J303" s="1675">
        <f t="shared" si="23"/>
        <v>0</v>
      </c>
      <c r="K303" s="1675">
        <f t="shared" si="23"/>
        <v>2044</v>
      </c>
      <c r="L303" s="1675">
        <f t="shared" si="23"/>
        <v>6515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7" t="s">
        <v>277</v>
      </c>
      <c r="B312" s="2178"/>
      <c r="C312" s="1668">
        <f>SUM(C303)</f>
        <v>0</v>
      </c>
      <c r="D312" s="1668">
        <f>SUM(D303)</f>
        <v>0</v>
      </c>
      <c r="E312" s="1668">
        <f>SUM(E303,E310)</f>
        <v>0</v>
      </c>
      <c r="F312" s="1668">
        <f>SUM(F303)</f>
        <v>0</v>
      </c>
      <c r="G312" s="1668">
        <f>SUM(G303)</f>
        <v>2044</v>
      </c>
      <c r="H312" s="1668">
        <f>SUM(H303,H310)</f>
        <v>0</v>
      </c>
      <c r="I312" s="1668">
        <f>SUM(I303)</f>
        <v>0</v>
      </c>
      <c r="J312" s="1668">
        <f>SUM(J303)</f>
        <v>0</v>
      </c>
      <c r="K312" s="1668">
        <f>SUM(K303,K310,K311)</f>
        <v>2044</v>
      </c>
      <c r="L312" s="1668">
        <f>SUM(L303,L310,L311)</f>
        <v>6515</v>
      </c>
      <c r="M312" s="665"/>
      <c r="N312" s="665"/>
    </row>
    <row r="313" spans="1:14" ht="13.5" thickTop="1" x14ac:dyDescent="0.2">
      <c r="A313" s="2173" t="s">
        <v>996</v>
      </c>
      <c r="B313" s="2174"/>
      <c r="C313" s="626"/>
      <c r="D313" s="626"/>
      <c r="E313" s="626"/>
      <c r="F313" s="626"/>
      <c r="G313" s="626"/>
      <c r="H313" s="626"/>
      <c r="I313" s="626"/>
      <c r="J313" s="626"/>
      <c r="K313" s="1683">
        <f>'Revenues 9-14'!H268-'Expenditures 15-22'!K312</f>
        <v>-2036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69">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69">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665"/>
      <c r="N330" s="665"/>
    </row>
    <row r="331" spans="1:14" s="674" customFormat="1" ht="12.75" customHeight="1" thickTop="1" x14ac:dyDescent="0.2">
      <c r="A331" s="1829" t="s">
        <v>1847</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1841</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1843</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1848</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SUM(L330,L340,L341)</f>
        <v>0</v>
      </c>
    </row>
    <row r="343" spans="1:14" ht="12.75" customHeight="1" thickTop="1" x14ac:dyDescent="0.2">
      <c r="A343" s="2175" t="s">
        <v>996</v>
      </c>
      <c r="B343" s="2176"/>
      <c r="C343" s="616"/>
      <c r="D343" s="616"/>
      <c r="E343" s="616"/>
      <c r="F343" s="616"/>
      <c r="G343" s="616"/>
      <c r="H343" s="616"/>
      <c r="I343" s="616"/>
      <c r="J343" s="616"/>
      <c r="K343" s="1682">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383</v>
      </c>
      <c r="F348" s="466">
        <v>900</v>
      </c>
      <c r="G348" s="466">
        <v>50229</v>
      </c>
      <c r="H348" s="466"/>
      <c r="I348" s="467"/>
      <c r="J348" s="467"/>
      <c r="K348" s="1669">
        <f>SUM(C348:J348)</f>
        <v>51512</v>
      </c>
      <c r="L348" s="466">
        <v>84500</v>
      </c>
    </row>
    <row r="349" spans="1:14" x14ac:dyDescent="0.2">
      <c r="A349" s="1504"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383</v>
      </c>
      <c r="F350" s="1668">
        <f t="shared" si="26"/>
        <v>900</v>
      </c>
      <c r="G350" s="1668">
        <f t="shared" si="26"/>
        <v>50229</v>
      </c>
      <c r="H350" s="1668">
        <f t="shared" si="26"/>
        <v>0</v>
      </c>
      <c r="I350" s="1668">
        <f t="shared" si="26"/>
        <v>0</v>
      </c>
      <c r="J350" s="1668">
        <f t="shared" si="26"/>
        <v>0</v>
      </c>
      <c r="K350" s="1668">
        <f t="shared" si="26"/>
        <v>51512</v>
      </c>
      <c r="L350" s="1668">
        <f t="shared" si="26"/>
        <v>84500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383</v>
      </c>
      <c r="F352" s="1668">
        <f t="shared" si="27"/>
        <v>900</v>
      </c>
      <c r="G352" s="1668">
        <f t="shared" si="27"/>
        <v>50229</v>
      </c>
      <c r="H352" s="1668">
        <f t="shared" si="27"/>
        <v>0</v>
      </c>
      <c r="I352" s="1668">
        <f t="shared" si="27"/>
        <v>0</v>
      </c>
      <c r="J352" s="1668">
        <f t="shared" si="27"/>
        <v>0</v>
      </c>
      <c r="K352" s="1668">
        <f t="shared" si="27"/>
        <v>51512</v>
      </c>
      <c r="L352" s="1668">
        <f t="shared" si="27"/>
        <v>84500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1849</v>
      </c>
      <c r="B354" s="683" t="s">
        <v>1841</v>
      </c>
      <c r="C354" s="616"/>
      <c r="D354" s="616"/>
      <c r="E354" s="616"/>
      <c r="F354" s="616"/>
      <c r="G354" s="616"/>
      <c r="H354" s="474"/>
      <c r="I354" s="701"/>
      <c r="J354" s="616"/>
      <c r="K354" s="1697">
        <f>H354</f>
        <v>0</v>
      </c>
      <c r="L354" s="471"/>
    </row>
    <row r="355" spans="1:14" ht="12.75" customHeight="1" x14ac:dyDescent="0.2">
      <c r="A355" s="1513" t="s">
        <v>1850</v>
      </c>
      <c r="B355" s="690" t="s">
        <v>1843</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383</v>
      </c>
      <c r="F367" s="1668">
        <f t="shared" si="28"/>
        <v>900</v>
      </c>
      <c r="G367" s="1668">
        <f t="shared" si="28"/>
        <v>50229</v>
      </c>
      <c r="H367" s="1668">
        <f t="shared" si="28"/>
        <v>0</v>
      </c>
      <c r="I367" s="1668">
        <f t="shared" si="28"/>
        <v>0</v>
      </c>
      <c r="J367" s="1668">
        <f t="shared" si="28"/>
        <v>0</v>
      </c>
      <c r="K367" s="1668">
        <f t="shared" si="28"/>
        <v>51512</v>
      </c>
      <c r="L367" s="1668">
        <f t="shared" si="28"/>
        <v>84500</v>
      </c>
    </row>
    <row r="368" spans="1:14" ht="13.5" thickTop="1" x14ac:dyDescent="0.2">
      <c r="A368" s="2162" t="s">
        <v>996</v>
      </c>
      <c r="B368" s="2163"/>
      <c r="C368" s="654"/>
      <c r="D368" s="654"/>
      <c r="E368" s="626"/>
      <c r="F368" s="626"/>
      <c r="G368" s="626"/>
      <c r="H368" s="626"/>
      <c r="I368" s="626"/>
      <c r="J368" s="623"/>
      <c r="K368" s="1669">
        <f>'Revenues 9-14'!K268-'Expenditures 15-22'!K367</f>
        <v>7137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25" right="0.2" top="0.9" bottom="0.39" header="0.5" footer="0.2"/>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purl.org/dc/elements/1.1/"/>
    <ds:schemaRef ds:uri="http://purl.org/dc/terms/"/>
    <ds:schemaRef ds:uri="6ce3111e-7420-4802-b50a-75d4e9a0b980"/>
    <ds:schemaRef ds:uri="http://schemas.microsoft.com/office/2006/documentManagement/types"/>
    <ds:schemaRef ds:uri="http://schemas.microsoft.com/sharepoint/v3"/>
    <ds:schemaRef ds:uri="http://purl.org/dc/dcmitype/"/>
    <ds:schemaRef ds:uri="http://schemas.microsoft.com/office/infopath/2007/PartnerControls"/>
    <ds:schemaRef ds:uri="http://www.w3.org/XML/1998/namespace"/>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A</vt:lpstr>
      <vt:lpstr> SEFA B</vt:lpstr>
      <vt:lpstr> SEFA C</vt:lpstr>
      <vt:lpstr>SEFA NOTES</vt:lpstr>
      <vt:lpstr>SF&amp;QC Sec-1</vt:lpstr>
      <vt:lpstr>SF&amp;QC Sec-2</vt:lpstr>
      <vt:lpstr>SF&amp;QC Sec-3</vt:lpstr>
      <vt:lpstr>SSPAF</vt:lpstr>
      <vt:lpstr>' SEFA'!Print_Area</vt:lpstr>
      <vt:lpstr>' SEFA A'!Print_Area</vt:lpstr>
      <vt:lpstr>' SEFA B'!Print_Area</vt:lpstr>
      <vt:lpstr>' SEFA 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2019-10-15T15:58:58Z</cp:lastPrinted>
  <dcterms:created xsi:type="dcterms:W3CDTF">2003-10-29T19:06:34Z</dcterms:created>
  <dcterms:modified xsi:type="dcterms:W3CDTF">2019-12-04T17:36:26Z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