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2799C426-3F55-42F9-88A5-738FB43B3C7A}" xr6:coauthVersionLast="36" xr6:coauthVersionMax="36" xr10:uidLastSave="{00000000-0000-0000-0000-000000000000}"/>
  <bookViews>
    <workbookView xWindow="-120" yWindow="-120" windowWidth="21840" windowHeight="13140" tabRatio="870"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FR19" sheetId="106" state="hidden" r:id="rId23"/>
    <sheet name="CAP" sheetId="187" r:id="rId24"/>
    <sheet name="CAP (2)" sheetId="211" r:id="rId25"/>
    <sheet name="CAP (3)" sheetId="212" r:id="rId26"/>
    <sheet name="CAP (4)" sheetId="213" r:id="rId27"/>
    <sheet name="CAP (5)" sheetId="214" r:id="rId28"/>
    <sheet name="CAP (6)" sheetId="215" r:id="rId29"/>
    <sheet name="CAP (7)" sheetId="216" r:id="rId30"/>
    <sheet name="CAP (8)" sheetId="217" r:id="rId31"/>
    <sheet name="CAP (9)" sheetId="218" r:id="rId32"/>
    <sheet name="CAP (10)" sheetId="219" r:id="rId33"/>
    <sheet name="CAP (11)" sheetId="220" r:id="rId34"/>
    <sheet name="CAP (12)" sheetId="221" r:id="rId35"/>
    <sheet name="AUDITCHECK" sheetId="36" r:id="rId36"/>
    <sheet name="Single Audit Cover" sheetId="169" r:id="rId37"/>
    <sheet name="Single Audit Checklist" sheetId="170" r:id="rId38"/>
    <sheet name="SEFA Reconcile" sheetId="171" r:id="rId39"/>
    <sheet name=" SEFA" sheetId="179" r:id="rId40"/>
    <sheet name="SEFA NOTES" sheetId="173" r:id="rId41"/>
    <sheet name="SF&amp;QC Sec-1" sheetId="174" r:id="rId42"/>
    <sheet name="SF&amp;QC Sec-2" sheetId="199" r:id="rId43"/>
    <sheet name="SF&amp;QC Sec-2 (2)" sheetId="200" r:id="rId44"/>
    <sheet name="SF&amp;QC Sec-2 (3)" sheetId="201" r:id="rId45"/>
    <sheet name="SF&amp;QC Sec-2 (4)" sheetId="202" r:id="rId46"/>
    <sheet name="SF&amp;QC Sec-2 (5)" sheetId="203" r:id="rId47"/>
    <sheet name="SF&amp;QC Sec-2 (6)" sheetId="204" r:id="rId48"/>
    <sheet name="SF&amp;QC Sec-2 (7)" sheetId="205" r:id="rId49"/>
    <sheet name="SF&amp;QC Sec-2 (8)" sheetId="206" r:id="rId50"/>
    <sheet name="SF&amp;QC Sec-2 (9)" sheetId="207" r:id="rId51"/>
    <sheet name="SF&amp;QC Sec-2 (10)" sheetId="208" r:id="rId52"/>
    <sheet name="SF&amp;QC Sec-2 (11)" sheetId="209" r:id="rId53"/>
    <sheet name="SF&amp;QC Sec-2 (12)" sheetId="210" r:id="rId54"/>
    <sheet name="SF&amp;QC Sec-3" sheetId="176" r:id="rId55"/>
    <sheet name="SSPAF" sheetId="177" r:id="rId56"/>
    <sheet name="Data" sheetId="184" state="hidden" r:id="rId57"/>
    <sheet name="Formulas" sheetId="186" state="hidden" r:id="rId58"/>
  </sheets>
  <definedNames>
    <definedName name="_xlnm.Print_Area" localSheetId="39">' SEFA'!$B$1:$M$46</definedName>
    <definedName name="_xlnm.Print_Area" localSheetId="40">'SEFA NOTES'!$A$1:$F$52</definedName>
    <definedName name="_xlnm.Print_Area" localSheetId="38">'SEFA Reconcile'!$A$1:$E$49</definedName>
    <definedName name="_xlnm.Print_Area" localSheetId="41">'SF&amp;QC Sec-1'!$A$1:$J$63</definedName>
    <definedName name="_xlnm.Print_Area" localSheetId="54">'SF&amp;QC Sec-3'!$A$1:$K$48</definedName>
    <definedName name="_xlnm.Print_Area" localSheetId="37">'Single Audit Checklist'!$A$1:$D$124</definedName>
    <definedName name="_xlnm.Print_Area" localSheetId="36">'Single Audit Cover'!$A$1:$L$51</definedName>
    <definedName name="_xlnm.Print_Titles" localSheetId="6">'Acct Summary 7-8'!$A:$B,'Acct Summary 7-8'!$1:$2</definedName>
    <definedName name="_xlnm.Print_Titles" localSheetId="5">'Assets-Liab 5-6'!$A:$B,'Assets-Liab 5-6'!$1:$2</definedName>
    <definedName name="_xlnm.Print_Titles" localSheetId="35">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37">'Single Audit Checklist'!$1:$4</definedName>
    <definedName name="SCHADDRS" localSheetId="39">#REF!</definedName>
    <definedName name="SCHADDRS" localSheetId="17">#REF!</definedName>
    <definedName name="SCHADDRS" localSheetId="23">#REF!</definedName>
    <definedName name="SCHADDRS" localSheetId="32">#REF!</definedName>
    <definedName name="SCHADDRS" localSheetId="33">#REF!</definedName>
    <definedName name="SCHADDRS" localSheetId="34">#REF!</definedName>
    <definedName name="SCHADDRS" localSheetId="24">#REF!</definedName>
    <definedName name="SCHADDRS" localSheetId="25">#REF!</definedName>
    <definedName name="SCHADDRS" localSheetId="26">#REF!</definedName>
    <definedName name="SCHADDRS" localSheetId="27">#REF!</definedName>
    <definedName name="SCHADDRS" localSheetId="28">#REF!</definedName>
    <definedName name="SCHADDRS" localSheetId="29">#REF!</definedName>
    <definedName name="SCHADDRS" localSheetId="30">#REF!</definedName>
    <definedName name="SCHADDRS" localSheetId="31">#REF!</definedName>
    <definedName name="SCHADDRS" localSheetId="21">#REF!</definedName>
    <definedName name="SCHADDRS" localSheetId="4">#REF!</definedName>
    <definedName name="SCHADDRS" localSheetId="40">#REF!</definedName>
    <definedName name="SCHADDRS" localSheetId="38">#REF!</definedName>
    <definedName name="SCHADDRS" localSheetId="41">#REF!</definedName>
    <definedName name="SCHADDRS" localSheetId="54">#REF!</definedName>
    <definedName name="SCHADDRS" localSheetId="37">#REF!</definedName>
    <definedName name="SCHADDRS" localSheetId="36">#REF!</definedName>
    <definedName name="SCHADDRS" localSheetId="55">#REF!</definedName>
    <definedName name="SCHADDRS">#REF!</definedName>
    <definedName name="SCHCTY" localSheetId="39">#REF!</definedName>
    <definedName name="SCHCTY" localSheetId="17">#REF!</definedName>
    <definedName name="SCHCTY" localSheetId="23">#REF!</definedName>
    <definedName name="SCHCTY" localSheetId="32">#REF!</definedName>
    <definedName name="SCHCTY" localSheetId="33">#REF!</definedName>
    <definedName name="SCHCTY" localSheetId="34">#REF!</definedName>
    <definedName name="SCHCTY" localSheetId="24">#REF!</definedName>
    <definedName name="SCHCTY" localSheetId="25">#REF!</definedName>
    <definedName name="SCHCTY" localSheetId="26">#REF!</definedName>
    <definedName name="SCHCTY" localSheetId="27">#REF!</definedName>
    <definedName name="SCHCTY" localSheetId="28">#REF!</definedName>
    <definedName name="SCHCTY" localSheetId="29">#REF!</definedName>
    <definedName name="SCHCTY" localSheetId="30">#REF!</definedName>
    <definedName name="SCHCTY" localSheetId="31">#REF!</definedName>
    <definedName name="SCHCTY" localSheetId="21">#REF!</definedName>
    <definedName name="SCHCTY" localSheetId="4">#REF!</definedName>
    <definedName name="SCHCTY" localSheetId="40">#REF!</definedName>
    <definedName name="SCHCTY" localSheetId="38">#REF!</definedName>
    <definedName name="SCHCTY" localSheetId="41">#REF!</definedName>
    <definedName name="SCHCTY" localSheetId="54">#REF!</definedName>
    <definedName name="SCHCTY" localSheetId="37">#REF!</definedName>
    <definedName name="SCHCTY" localSheetId="36">#REF!</definedName>
    <definedName name="SCHCTY" localSheetId="55">#REF!</definedName>
    <definedName name="SCHCTY">#REF!</definedName>
    <definedName name="SCHNMBR" localSheetId="39">#REF!</definedName>
    <definedName name="SCHNMBR" localSheetId="17">#REF!</definedName>
    <definedName name="SCHNMBR" localSheetId="23">#REF!</definedName>
    <definedName name="SCHNMBR" localSheetId="32">#REF!</definedName>
    <definedName name="SCHNMBR" localSheetId="33">#REF!</definedName>
    <definedName name="SCHNMBR" localSheetId="34">#REF!</definedName>
    <definedName name="SCHNMBR" localSheetId="24">#REF!</definedName>
    <definedName name="SCHNMBR" localSheetId="25">#REF!</definedName>
    <definedName name="SCHNMBR" localSheetId="26">#REF!</definedName>
    <definedName name="SCHNMBR" localSheetId="27">#REF!</definedName>
    <definedName name="SCHNMBR" localSheetId="28">#REF!</definedName>
    <definedName name="SCHNMBR" localSheetId="29">#REF!</definedName>
    <definedName name="SCHNMBR" localSheetId="30">#REF!</definedName>
    <definedName name="SCHNMBR" localSheetId="31">#REF!</definedName>
    <definedName name="SCHNMBR" localSheetId="21">#REF!</definedName>
    <definedName name="SCHNMBR" localSheetId="4">#REF!</definedName>
    <definedName name="SCHNMBR" localSheetId="40">#REF!</definedName>
    <definedName name="SCHNMBR" localSheetId="38">#REF!</definedName>
    <definedName name="SCHNMBR" localSheetId="41">#REF!</definedName>
    <definedName name="SCHNMBR" localSheetId="54">#REF!</definedName>
    <definedName name="SCHNMBR" localSheetId="37">#REF!</definedName>
    <definedName name="SCHNMBR" localSheetId="36">#REF!</definedName>
    <definedName name="SCHNMBR" localSheetId="55">#REF!</definedName>
    <definedName name="SCHNMBR">#REF!</definedName>
    <definedName name="SCHNME" localSheetId="39">#REF!</definedName>
    <definedName name="SCHNME" localSheetId="17">#REF!</definedName>
    <definedName name="SCHNME" localSheetId="23">#REF!</definedName>
    <definedName name="SCHNME" localSheetId="32">#REF!</definedName>
    <definedName name="SCHNME" localSheetId="33">#REF!</definedName>
    <definedName name="SCHNME" localSheetId="34">#REF!</definedName>
    <definedName name="SCHNME" localSheetId="24">#REF!</definedName>
    <definedName name="SCHNME" localSheetId="25">#REF!</definedName>
    <definedName name="SCHNME" localSheetId="26">#REF!</definedName>
    <definedName name="SCHNME" localSheetId="27">#REF!</definedName>
    <definedName name="SCHNME" localSheetId="28">#REF!</definedName>
    <definedName name="SCHNME" localSheetId="29">#REF!</definedName>
    <definedName name="SCHNME" localSheetId="30">#REF!</definedName>
    <definedName name="SCHNME" localSheetId="31">#REF!</definedName>
    <definedName name="SCHNME" localSheetId="21">#REF!</definedName>
    <definedName name="SCHNME" localSheetId="4">#REF!</definedName>
    <definedName name="SCHNME" localSheetId="40">#REF!</definedName>
    <definedName name="SCHNME" localSheetId="38">#REF!</definedName>
    <definedName name="SCHNME" localSheetId="41">#REF!</definedName>
    <definedName name="SCHNME" localSheetId="54">#REF!</definedName>
    <definedName name="SCHNME" localSheetId="37">#REF!</definedName>
    <definedName name="SCHNME" localSheetId="36">#REF!</definedName>
    <definedName name="SCHNME" localSheetId="55">#REF!</definedName>
    <definedName name="SCHNME">#REF!</definedName>
    <definedName name="SUPT" localSheetId="39">#REF!</definedName>
    <definedName name="SUPT" localSheetId="17">#REF!</definedName>
    <definedName name="SUPT" localSheetId="23">#REF!</definedName>
    <definedName name="SUPT" localSheetId="32">#REF!</definedName>
    <definedName name="SUPT" localSheetId="33">#REF!</definedName>
    <definedName name="SUPT" localSheetId="34">#REF!</definedName>
    <definedName name="SUPT" localSheetId="24">#REF!</definedName>
    <definedName name="SUPT" localSheetId="25">#REF!</definedName>
    <definedName name="SUPT" localSheetId="26">#REF!</definedName>
    <definedName name="SUPT" localSheetId="27">#REF!</definedName>
    <definedName name="SUPT" localSheetId="28">#REF!</definedName>
    <definedName name="SUPT" localSheetId="29">#REF!</definedName>
    <definedName name="SUPT" localSheetId="30">#REF!</definedName>
    <definedName name="SUPT" localSheetId="31">#REF!</definedName>
    <definedName name="SUPT" localSheetId="21">#REF!</definedName>
    <definedName name="SUPT" localSheetId="4">#REF!</definedName>
    <definedName name="SUPT" localSheetId="40">#REF!</definedName>
    <definedName name="SUPT" localSheetId="38">#REF!</definedName>
    <definedName name="SUPT" localSheetId="41">#REF!</definedName>
    <definedName name="SUPT" localSheetId="54">#REF!</definedName>
    <definedName name="SUPT" localSheetId="37">#REF!</definedName>
    <definedName name="SUPT" localSheetId="36">#REF!</definedName>
    <definedName name="SUPT" localSheetId="55">#REF!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221" l="1"/>
  <c r="C12" i="221"/>
  <c r="B8" i="221"/>
  <c r="B6" i="221"/>
  <c r="B5" i="221"/>
  <c r="E22" i="220"/>
  <c r="C12" i="220"/>
  <c r="B8" i="220"/>
  <c r="B6" i="220"/>
  <c r="B5" i="220"/>
  <c r="E22" i="219"/>
  <c r="C12" i="219"/>
  <c r="B8" i="219"/>
  <c r="B6" i="219"/>
  <c r="B5" i="219"/>
  <c r="E22" i="218"/>
  <c r="C12" i="218"/>
  <c r="B8" i="218"/>
  <c r="B6" i="218"/>
  <c r="B5" i="218"/>
  <c r="E22" i="217"/>
  <c r="C12" i="217"/>
  <c r="B8" i="217"/>
  <c r="B6" i="217"/>
  <c r="B5" i="217"/>
  <c r="E22" i="216"/>
  <c r="C12" i="216"/>
  <c r="B8" i="216"/>
  <c r="B6" i="216"/>
  <c r="B5" i="216"/>
  <c r="E22" i="215"/>
  <c r="C12" i="215"/>
  <c r="B8" i="215"/>
  <c r="B6" i="215"/>
  <c r="B5" i="215"/>
  <c r="E22" i="214"/>
  <c r="C12" i="214"/>
  <c r="B8" i="214"/>
  <c r="B6" i="214"/>
  <c r="B5" i="214"/>
  <c r="E22" i="213"/>
  <c r="C12" i="213"/>
  <c r="B8" i="213"/>
  <c r="B6" i="213"/>
  <c r="B5" i="213"/>
  <c r="E22" i="212"/>
  <c r="C12" i="212"/>
  <c r="B8" i="212"/>
  <c r="B6" i="212"/>
  <c r="B5" i="212"/>
  <c r="E22" i="211"/>
  <c r="C12" i="211"/>
  <c r="B8" i="211"/>
  <c r="B6" i="211"/>
  <c r="B5" i="211"/>
  <c r="E22" i="187"/>
  <c r="B4" i="210" l="1"/>
  <c r="B4" i="209"/>
  <c r="B4" i="208"/>
  <c r="B4" i="207" l="1"/>
  <c r="B4" i="206"/>
  <c r="B4" i="205"/>
  <c r="B4" i="204"/>
  <c r="B4" i="203"/>
  <c r="B4" i="202"/>
  <c r="B4" i="201"/>
  <c r="B4" i="200"/>
  <c r="B4" i="199"/>
  <c r="C12" i="187" l="1"/>
  <c r="B8" i="187"/>
  <c r="E459" i="184" l="1"/>
  <c r="F541" i="184" l="1"/>
  <c r="E273" i="184"/>
  <c r="F512" i="184" l="1"/>
  <c r="E182" i="184"/>
  <c r="E56" i="184"/>
  <c r="E27" i="184"/>
  <c r="C9" i="4" l="1"/>
  <c r="M40" i="3" l="1"/>
  <c r="M19" i="3"/>
  <c r="M18" i="3"/>
  <c r="M17" i="3"/>
  <c r="M16" i="3"/>
  <c r="L33" i="3"/>
  <c r="F584" i="184" l="1"/>
  <c r="F622" i="184" l="1"/>
  <c r="E147" i="184"/>
  <c r="E178" i="184"/>
  <c r="E205" i="184"/>
  <c r="E16" i="184"/>
  <c r="E203" i="184"/>
  <c r="E174" i="184"/>
  <c r="E181" i="184"/>
  <c r="E206" i="184"/>
  <c r="E194" i="184"/>
  <c r="B6" i="187" l="1"/>
  <c r="B5" i="187"/>
  <c r="E12" i="3"/>
  <c r="I6" i="3"/>
  <c r="D25" i="3"/>
  <c r="D5" i="3"/>
  <c r="F11" i="3"/>
  <c r="I9" i="3"/>
  <c r="H29" i="3"/>
  <c r="H28" i="3"/>
  <c r="I32" i="3"/>
  <c r="H31" i="3"/>
  <c r="C4" i="3"/>
  <c r="E29" i="3"/>
  <c r="G32" i="3"/>
  <c r="F33" i="3"/>
  <c r="F32" i="3"/>
  <c r="E6" i="3"/>
  <c r="E25" i="3"/>
  <c r="K4" i="3"/>
  <c r="C75" i="4"/>
  <c r="I11" i="3"/>
  <c r="E4" i="3"/>
  <c r="G12" i="3"/>
  <c r="K7" i="3"/>
  <c r="E5" i="3"/>
  <c r="F30" i="3"/>
  <c r="D12" i="3"/>
  <c r="K31" i="3"/>
  <c r="E33" i="3"/>
  <c r="F8" i="3"/>
  <c r="D4" i="3"/>
  <c r="J4" i="3"/>
  <c r="C30" i="3"/>
  <c r="C10" i="3"/>
  <c r="C8" i="3"/>
  <c r="J11" i="3"/>
  <c r="J30" i="3"/>
  <c r="D11" i="3"/>
  <c r="K6" i="3"/>
  <c r="F5" i="3"/>
  <c r="E7" i="3"/>
  <c r="J27" i="3"/>
  <c r="I5" i="3"/>
  <c r="C27" i="3"/>
  <c r="C26" i="3"/>
  <c r="D10" i="3"/>
  <c r="D8" i="3"/>
  <c r="K12" i="3"/>
  <c r="H6" i="3"/>
  <c r="G9" i="3"/>
  <c r="D9" i="3"/>
  <c r="D28" i="3"/>
  <c r="K33" i="3"/>
  <c r="I8" i="3"/>
  <c r="H30" i="3"/>
  <c r="F27" i="3"/>
  <c r="J26" i="3"/>
  <c r="K29" i="3"/>
  <c r="C6" i="3"/>
  <c r="D27" i="3"/>
  <c r="K8" i="3"/>
  <c r="C32" i="3"/>
  <c r="K28" i="3"/>
  <c r="J25" i="3"/>
  <c r="E9" i="3"/>
  <c r="G27" i="3"/>
  <c r="E8" i="3"/>
  <c r="F9" i="3"/>
  <c r="I4" i="3"/>
  <c r="I33" i="3"/>
  <c r="F25" i="3"/>
  <c r="J10" i="3"/>
  <c r="H12" i="3"/>
  <c r="H9" i="3"/>
  <c r="H11" i="3"/>
  <c r="G30" i="3"/>
  <c r="I7" i="3"/>
  <c r="F29" i="3"/>
  <c r="K30" i="3"/>
  <c r="I28" i="3"/>
  <c r="H10" i="3"/>
  <c r="K25" i="3"/>
  <c r="K26" i="3"/>
  <c r="F6" i="3"/>
  <c r="J28" i="3"/>
  <c r="C5" i="29"/>
  <c r="C28" i="3"/>
  <c r="I29" i="3"/>
  <c r="E134" i="29"/>
  <c r="G33" i="3"/>
  <c r="K27" i="3"/>
  <c r="D32" i="3"/>
  <c r="C25" i="3"/>
  <c r="K32" i="3"/>
  <c r="C7" i="3"/>
  <c r="J29" i="3"/>
  <c r="J8" i="3"/>
  <c r="J33" i="3"/>
  <c r="K5" i="3"/>
  <c r="C29" i="3"/>
  <c r="J6" i="3"/>
  <c r="E10" i="3"/>
  <c r="C33" i="3"/>
  <c r="G11" i="3"/>
  <c r="J5" i="3"/>
  <c r="I12" i="3"/>
  <c r="G6" i="3"/>
  <c r="K11" i="3"/>
  <c r="E31" i="3"/>
  <c r="J31" i="3"/>
  <c r="C12" i="3"/>
  <c r="F28" i="3"/>
  <c r="J9" i="3"/>
  <c r="G10" i="3"/>
  <c r="F12" i="3"/>
  <c r="F4" i="3"/>
  <c r="H27" i="3"/>
  <c r="G29" i="3"/>
  <c r="J7" i="3"/>
  <c r="C11" i="3"/>
  <c r="H33" i="3"/>
  <c r="G31" i="3"/>
  <c r="H25" i="3"/>
  <c r="I10" i="3"/>
  <c r="F10" i="3"/>
  <c r="I27" i="3"/>
  <c r="C5" i="5"/>
  <c r="H26" i="3"/>
  <c r="H4" i="3"/>
  <c r="D31" i="3"/>
  <c r="C9" i="3"/>
  <c r="H32" i="3"/>
  <c r="I30" i="3"/>
  <c r="E27" i="3"/>
  <c r="C31" i="3"/>
  <c r="G26" i="3"/>
  <c r="E11" i="3"/>
  <c r="I26" i="3"/>
  <c r="E28" i="3"/>
  <c r="D29" i="3"/>
  <c r="H5" i="3"/>
  <c r="H7" i="3"/>
  <c r="D30" i="3"/>
  <c r="K9" i="3"/>
  <c r="F31" i="3"/>
  <c r="D7" i="3"/>
  <c r="C5" i="3"/>
  <c r="G8" i="3"/>
  <c r="G5" i="3"/>
  <c r="G7" i="3"/>
  <c r="D6" i="3"/>
  <c r="K10" i="3"/>
  <c r="J12" i="3"/>
  <c r="I31" i="3"/>
  <c r="D33" i="3"/>
  <c r="E26" i="3"/>
  <c r="H8" i="3"/>
  <c r="E30" i="3"/>
  <c r="J32" i="3"/>
  <c r="F26" i="3"/>
  <c r="E32" i="3"/>
  <c r="D26" i="3"/>
  <c r="F7" i="3"/>
  <c r="G28" i="3"/>
  <c r="C24" i="4" l="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0" i="181"/>
  <c r="F49" i="181"/>
  <c r="F48" i="181"/>
  <c r="F47" i="181"/>
  <c r="F46" i="181"/>
  <c r="D167" i="34" l="1"/>
  <c r="D166" i="34"/>
  <c r="C167" i="34"/>
  <c r="C166" i="34"/>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L334" i="29" l="1"/>
  <c r="C90" i="5"/>
  <c r="C62" i="29"/>
  <c r="F249" i="5"/>
  <c r="F301" i="29"/>
  <c r="F154" i="5"/>
  <c r="D152" i="5"/>
  <c r="G206" i="5"/>
  <c r="I351" i="29"/>
  <c r="E193" i="29"/>
  <c r="D161" i="5"/>
  <c r="G107" i="5"/>
  <c r="D251" i="5"/>
  <c r="H31" i="29"/>
  <c r="D225" i="29"/>
  <c r="J11" i="5"/>
  <c r="D74" i="4"/>
  <c r="I17" i="29"/>
  <c r="F65" i="5"/>
  <c r="D236" i="5"/>
  <c r="H87" i="29"/>
  <c r="F68" i="29"/>
  <c r="I69" i="29"/>
  <c r="D255" i="29"/>
  <c r="K99" i="5"/>
  <c r="C61" i="29"/>
  <c r="E52" i="29"/>
  <c r="C33" i="4"/>
  <c r="J56" i="29"/>
  <c r="F232" i="5"/>
  <c r="F5" i="29"/>
  <c r="C14" i="29"/>
  <c r="G174" i="5"/>
  <c r="K75" i="4"/>
  <c r="C9" i="29"/>
  <c r="I37" i="29"/>
  <c r="D15" i="29"/>
  <c r="F207" i="5"/>
  <c r="F50" i="29"/>
  <c r="F49" i="29"/>
  <c r="D33" i="4"/>
  <c r="K236" i="5"/>
  <c r="D219" i="5"/>
  <c r="D326" i="29"/>
  <c r="C22" i="5"/>
  <c r="J348" i="29"/>
  <c r="C55" i="4"/>
  <c r="G154" i="5"/>
  <c r="H118" i="5"/>
  <c r="D49" i="29"/>
  <c r="D234" i="29"/>
  <c r="D227" i="29"/>
  <c r="E138" i="29"/>
  <c r="H291" i="29"/>
  <c r="H167" i="5"/>
  <c r="E130" i="29"/>
  <c r="C68" i="29"/>
  <c r="D153" i="5"/>
  <c r="D243" i="5"/>
  <c r="J65" i="5"/>
  <c r="J229" i="5"/>
  <c r="I64" i="29"/>
  <c r="G111" i="5"/>
  <c r="J63" i="29"/>
  <c r="G254" i="5"/>
  <c r="J45" i="29"/>
  <c r="H103" i="5"/>
  <c r="K249" i="5"/>
  <c r="I123" i="29"/>
  <c r="D184" i="5"/>
  <c r="J173" i="5"/>
  <c r="H251" i="5"/>
  <c r="C120" i="29"/>
  <c r="J66" i="5"/>
  <c r="K35" i="4"/>
  <c r="F262" i="5"/>
  <c r="E63" i="29"/>
  <c r="E51" i="29"/>
  <c r="C247" i="5"/>
  <c r="J180" i="29"/>
  <c r="C186" i="5"/>
  <c r="K25" i="4"/>
  <c r="H86" i="29"/>
  <c r="F44" i="5"/>
  <c r="H43" i="4"/>
  <c r="C68" i="4"/>
  <c r="C11" i="29"/>
  <c r="C326" i="29"/>
  <c r="D69" i="4"/>
  <c r="F179" i="5"/>
  <c r="C255" i="5"/>
  <c r="C168" i="5"/>
  <c r="D125" i="29"/>
  <c r="C49" i="4"/>
  <c r="G190" i="5"/>
  <c r="F7" i="5"/>
  <c r="H93" i="29"/>
  <c r="F55" i="29"/>
  <c r="H88" i="29"/>
  <c r="F99" i="5"/>
  <c r="K17" i="5"/>
  <c r="D138" i="5"/>
  <c r="H90" i="29"/>
  <c r="C206" i="5"/>
  <c r="D55" i="29"/>
  <c r="D97" i="5"/>
  <c r="J118" i="5"/>
  <c r="H364" i="29"/>
  <c r="C102" i="5"/>
  <c r="D179" i="5"/>
  <c r="C174" i="5"/>
  <c r="D38" i="29"/>
  <c r="K167" i="5"/>
  <c r="C177" i="5"/>
  <c r="J230" i="5"/>
  <c r="D227" i="5"/>
  <c r="F240" i="5"/>
  <c r="C19" i="29"/>
  <c r="J240" i="5"/>
  <c r="G236" i="5"/>
  <c r="I327" i="29"/>
  <c r="J15" i="29"/>
  <c r="C37" i="29"/>
  <c r="H320" i="29"/>
  <c r="G75" i="29"/>
  <c r="C125" i="5"/>
  <c r="H63" i="29"/>
  <c r="H5" i="5"/>
  <c r="H192" i="29"/>
  <c r="E308" i="29"/>
  <c r="J248" i="5"/>
  <c r="H120" i="5"/>
  <c r="F348" i="29"/>
  <c r="C81" i="5"/>
  <c r="D5" i="5"/>
  <c r="D180" i="5"/>
  <c r="I52" i="29"/>
  <c r="G351" i="29"/>
  <c r="I173" i="5"/>
  <c r="K250" i="5"/>
  <c r="H302" i="29"/>
  <c r="C192" i="5"/>
  <c r="C235" i="5"/>
  <c r="C239" i="5"/>
  <c r="C253" i="5"/>
  <c r="E73" i="29"/>
  <c r="E36" i="4"/>
  <c r="J302" i="29"/>
  <c r="F165" i="5"/>
  <c r="D80" i="5"/>
  <c r="D215" i="29"/>
  <c r="C144" i="5"/>
  <c r="C39" i="29"/>
  <c r="F261" i="5"/>
  <c r="I182" i="29"/>
  <c r="H361" i="29"/>
  <c r="C14" i="5"/>
  <c r="H106" i="5"/>
  <c r="E133" i="29"/>
  <c r="E251" i="5"/>
  <c r="F255" i="5"/>
  <c r="J39" i="29"/>
  <c r="I102" i="5"/>
  <c r="F62" i="29"/>
  <c r="H123" i="29"/>
  <c r="G180" i="5"/>
  <c r="G256" i="5"/>
  <c r="G120" i="5"/>
  <c r="C89" i="5"/>
  <c r="H338" i="29"/>
  <c r="C84" i="5"/>
  <c r="C26" i="4"/>
  <c r="E50" i="4"/>
  <c r="D222" i="29"/>
  <c r="F128" i="5"/>
  <c r="C107" i="5"/>
  <c r="H203" i="29"/>
  <c r="I120" i="29"/>
  <c r="C254" i="5"/>
  <c r="D8" i="29"/>
  <c r="C327" i="29"/>
  <c r="F42" i="4"/>
  <c r="D248" i="29"/>
  <c r="D61" i="4"/>
  <c r="G14" i="5"/>
  <c r="F59" i="29"/>
  <c r="F8" i="29"/>
  <c r="F351" i="29"/>
  <c r="K229" i="5"/>
  <c r="D241" i="5"/>
  <c r="H339" i="29"/>
  <c r="J11" i="29"/>
  <c r="H306" i="29"/>
  <c r="D260" i="29"/>
  <c r="F226" i="5"/>
  <c r="I40" i="29"/>
  <c r="D266" i="29"/>
  <c r="F129" i="5"/>
  <c r="D6" i="5"/>
  <c r="C27" i="5"/>
  <c r="I348" i="29"/>
  <c r="H107" i="5"/>
  <c r="D34" i="4"/>
  <c r="J225" i="5"/>
  <c r="I62" i="29"/>
  <c r="G140" i="5"/>
  <c r="C226" i="5"/>
  <c r="C241" i="5"/>
  <c r="F243" i="5"/>
  <c r="F56" i="5"/>
  <c r="H188" i="29"/>
  <c r="C163" i="5"/>
  <c r="C237" i="5"/>
  <c r="D174" i="5"/>
  <c r="C214" i="5"/>
  <c r="G261" i="5"/>
  <c r="H13" i="29"/>
  <c r="C11" i="5"/>
  <c r="K96" i="5"/>
  <c r="C101" i="5"/>
  <c r="D248" i="5"/>
  <c r="C329" i="29"/>
  <c r="G230" i="5"/>
  <c r="I301" i="29"/>
  <c r="H337" i="29"/>
  <c r="E39" i="29"/>
  <c r="J68" i="29"/>
  <c r="G126" i="29"/>
  <c r="G235" i="5"/>
  <c r="D242" i="29"/>
  <c r="H119" i="5"/>
  <c r="F33" i="4"/>
  <c r="H51" i="29"/>
  <c r="D63" i="4"/>
  <c r="C17" i="5"/>
  <c r="J223" i="5"/>
  <c r="G41" i="29"/>
  <c r="D49" i="4"/>
  <c r="J26" i="4"/>
  <c r="E34" i="4"/>
  <c r="J251" i="5"/>
  <c r="J96" i="5"/>
  <c r="G320" i="29"/>
  <c r="E100" i="5"/>
  <c r="F38" i="29"/>
  <c r="G202" i="5"/>
  <c r="J174" i="5"/>
  <c r="I322" i="29"/>
  <c r="C225" i="5"/>
  <c r="D100" i="5"/>
  <c r="F97" i="5"/>
  <c r="E42" i="4"/>
  <c r="G143" i="5"/>
  <c r="D263" i="29"/>
  <c r="D154" i="5"/>
  <c r="H5" i="29"/>
  <c r="H45" i="29"/>
  <c r="C264" i="5"/>
  <c r="C322" i="29"/>
  <c r="H27" i="29"/>
  <c r="D66" i="5"/>
  <c r="F248" i="5"/>
  <c r="E50" i="29"/>
  <c r="F42" i="5"/>
  <c r="D150" i="5"/>
  <c r="I9" i="29"/>
  <c r="H138" i="29"/>
  <c r="D63" i="29"/>
  <c r="H58" i="4"/>
  <c r="H174" i="5"/>
  <c r="H241" i="5"/>
  <c r="G5" i="5"/>
  <c r="I12" i="29"/>
  <c r="H247" i="5"/>
  <c r="H79" i="29"/>
  <c r="E306" i="29"/>
  <c r="D15" i="5"/>
  <c r="E66" i="5"/>
  <c r="F259" i="5"/>
  <c r="D208" i="5"/>
  <c r="G327" i="29"/>
  <c r="D45" i="29"/>
  <c r="G207" i="5"/>
  <c r="C25" i="4"/>
  <c r="F40" i="29"/>
  <c r="E33" i="4"/>
  <c r="D202" i="5"/>
  <c r="I125" i="29"/>
  <c r="D67" i="4"/>
  <c r="D148" i="5"/>
  <c r="G212" i="5"/>
  <c r="H81" i="29"/>
  <c r="H238" i="5"/>
  <c r="H32" i="29"/>
  <c r="H231" i="5"/>
  <c r="H136" i="29"/>
  <c r="G15" i="29"/>
  <c r="I126" i="29"/>
  <c r="F185" i="29"/>
  <c r="E319" i="29"/>
  <c r="G319" i="29"/>
  <c r="D232" i="29"/>
  <c r="C120" i="5"/>
  <c r="C324" i="29"/>
  <c r="J5" i="5"/>
  <c r="H82" i="29"/>
  <c r="D25" i="4"/>
  <c r="H142" i="29"/>
  <c r="J34" i="4"/>
  <c r="J44" i="29"/>
  <c r="F70" i="29"/>
  <c r="K150" i="5"/>
  <c r="H56" i="29"/>
  <c r="K15" i="5"/>
  <c r="D254" i="5"/>
  <c r="G328" i="29"/>
  <c r="F246" i="5"/>
  <c r="H97" i="29"/>
  <c r="F254" i="5"/>
  <c r="E75" i="4"/>
  <c r="F25" i="4"/>
  <c r="C187" i="5"/>
  <c r="C63" i="4"/>
  <c r="H39" i="29"/>
  <c r="H100" i="5"/>
  <c r="K74" i="4"/>
  <c r="E37" i="29"/>
  <c r="G74" i="4"/>
  <c r="C320" i="29"/>
  <c r="C164" i="5"/>
  <c r="H12" i="29"/>
  <c r="D178" i="5"/>
  <c r="D301" i="29"/>
  <c r="G223" i="5"/>
  <c r="K118" i="5"/>
  <c r="E25" i="4"/>
  <c r="C38" i="29"/>
  <c r="H75" i="4"/>
  <c r="H108" i="29"/>
  <c r="C179" i="5"/>
  <c r="E59" i="29"/>
  <c r="H7" i="29"/>
  <c r="F152" i="5"/>
  <c r="F112" i="5"/>
  <c r="I323" i="29"/>
  <c r="G222" i="5"/>
  <c r="D223" i="29"/>
  <c r="G348" i="29"/>
  <c r="H10" i="29"/>
  <c r="F106" i="5"/>
  <c r="D69" i="29"/>
  <c r="D66" i="4"/>
  <c r="J12" i="29"/>
  <c r="H355" i="29"/>
  <c r="J107" i="5"/>
  <c r="G42" i="4"/>
  <c r="D13" i="29"/>
  <c r="E244" i="5"/>
  <c r="H327" i="29"/>
  <c r="D322" i="29"/>
  <c r="E237" i="5"/>
  <c r="E17" i="29"/>
  <c r="K11" i="5"/>
  <c r="H125" i="29"/>
  <c r="C158" i="5"/>
  <c r="K238" i="5"/>
  <c r="C234" i="5"/>
  <c r="E149" i="5"/>
  <c r="G128" i="29"/>
  <c r="H148" i="29"/>
  <c r="C113" i="5"/>
  <c r="F119" i="5"/>
  <c r="F250" i="5"/>
  <c r="J60" i="29"/>
  <c r="G70" i="29"/>
  <c r="D206" i="5"/>
  <c r="D228" i="29"/>
  <c r="C70" i="4"/>
  <c r="H55" i="29"/>
  <c r="I70" i="29"/>
  <c r="F153" i="5"/>
  <c r="C105" i="5"/>
  <c r="C220" i="5"/>
  <c r="D140" i="5"/>
  <c r="E236" i="5"/>
  <c r="F7" i="29"/>
  <c r="C135" i="5"/>
  <c r="D246" i="5"/>
  <c r="C73" i="5"/>
  <c r="J120" i="29"/>
  <c r="G123" i="29"/>
  <c r="F35" i="4"/>
  <c r="H232" i="5"/>
  <c r="C41" i="29"/>
  <c r="E78" i="29"/>
  <c r="D236" i="29"/>
  <c r="C64" i="4"/>
  <c r="C54" i="4"/>
  <c r="F118" i="5"/>
  <c r="E17" i="5"/>
  <c r="D217" i="29"/>
  <c r="H30" i="29"/>
  <c r="H190" i="29"/>
  <c r="F257" i="5"/>
  <c r="C96" i="5"/>
  <c r="G349" i="29"/>
  <c r="C190" i="5"/>
  <c r="D119" i="5"/>
  <c r="J50" i="29"/>
  <c r="J149" i="5"/>
  <c r="F47" i="5"/>
  <c r="C17" i="29"/>
  <c r="D258" i="5"/>
  <c r="C160" i="5"/>
  <c r="H18" i="29"/>
  <c r="H229" i="5"/>
  <c r="D249" i="5"/>
  <c r="I44" i="29"/>
  <c r="J236" i="5"/>
  <c r="C16" i="5"/>
  <c r="C39" i="5"/>
  <c r="H20" i="29"/>
  <c r="F52" i="29"/>
  <c r="E123" i="29"/>
  <c r="H324" i="29"/>
  <c r="G225" i="5"/>
  <c r="G117" i="5"/>
  <c r="F180" i="5"/>
  <c r="D128" i="29"/>
  <c r="G258" i="5"/>
  <c r="E246" i="5"/>
  <c r="H55" i="4"/>
  <c r="H26" i="4"/>
  <c r="C130" i="5"/>
  <c r="D260" i="5"/>
  <c r="F73" i="29"/>
  <c r="D112" i="5"/>
  <c r="H319" i="29"/>
  <c r="F75" i="29"/>
  <c r="C180" i="5"/>
  <c r="D240" i="29"/>
  <c r="H193" i="29"/>
  <c r="C134" i="5"/>
  <c r="G246" i="5"/>
  <c r="J43" i="4"/>
  <c r="H329" i="29"/>
  <c r="C348" i="29"/>
  <c r="H54" i="4"/>
  <c r="G249" i="5"/>
  <c r="J125" i="29"/>
  <c r="D223" i="5"/>
  <c r="G71" i="29"/>
  <c r="I107" i="5"/>
  <c r="D273" i="29"/>
  <c r="D16" i="29"/>
  <c r="H120" i="29"/>
  <c r="F256" i="5"/>
  <c r="G17" i="29"/>
  <c r="J13" i="29"/>
  <c r="F71" i="29"/>
  <c r="H244" i="5"/>
  <c r="F208" i="5"/>
  <c r="H226" i="5"/>
  <c r="G302" i="29"/>
  <c r="D162" i="5"/>
  <c r="G26" i="4"/>
  <c r="G228" i="5"/>
  <c r="K247" i="5"/>
  <c r="E64" i="29"/>
  <c r="I36" i="29"/>
  <c r="F150" i="5"/>
  <c r="E327" i="29"/>
  <c r="D319" i="29"/>
  <c r="F69" i="29"/>
  <c r="H34" i="4"/>
  <c r="J36" i="4"/>
  <c r="I66" i="5"/>
  <c r="G158" i="5"/>
  <c r="C112" i="5"/>
  <c r="H46" i="29"/>
  <c r="F66" i="5"/>
  <c r="D130" i="29"/>
  <c r="E135" i="29"/>
  <c r="C246" i="5"/>
  <c r="G242" i="5"/>
  <c r="H11" i="5"/>
  <c r="C259" i="5"/>
  <c r="C21" i="5"/>
  <c r="F265" i="5"/>
  <c r="G239" i="5"/>
  <c r="J71" i="29"/>
  <c r="H36" i="29"/>
  <c r="D14" i="29"/>
  <c r="C40" i="29"/>
  <c r="G247" i="5"/>
  <c r="J49" i="29"/>
  <c r="H170" i="29"/>
  <c r="E323" i="29"/>
  <c r="F263" i="5"/>
  <c r="C258" i="5"/>
  <c r="H323" i="29"/>
  <c r="F251" i="5"/>
  <c r="F126" i="5"/>
  <c r="F130" i="5"/>
  <c r="E325" i="29"/>
  <c r="F324" i="29"/>
  <c r="G185" i="29"/>
  <c r="C13" i="29"/>
  <c r="E44" i="29"/>
  <c r="H101" i="29"/>
  <c r="K119" i="5"/>
  <c r="J35" i="4"/>
  <c r="I55" i="29"/>
  <c r="E11" i="5"/>
  <c r="D241" i="29"/>
  <c r="C323" i="29"/>
  <c r="J16" i="29"/>
  <c r="I11" i="5"/>
  <c r="D229" i="5"/>
  <c r="D256" i="29"/>
  <c r="J61" i="29"/>
  <c r="D235" i="29"/>
  <c r="D276" i="29"/>
  <c r="F319" i="29"/>
  <c r="D228" i="5"/>
  <c r="J106" i="5"/>
  <c r="I14" i="29"/>
  <c r="C65" i="4"/>
  <c r="C207" i="5"/>
  <c r="F48" i="5"/>
  <c r="H14" i="29"/>
  <c r="D183" i="29"/>
  <c r="F238" i="5"/>
  <c r="C69" i="29"/>
  <c r="H326" i="29"/>
  <c r="D65" i="5"/>
  <c r="C75" i="29"/>
  <c r="F17" i="29"/>
  <c r="F16" i="29"/>
  <c r="J14" i="29"/>
  <c r="H249" i="5"/>
  <c r="D57" i="4"/>
  <c r="H237" i="5"/>
  <c r="D259" i="5"/>
  <c r="C203" i="5"/>
  <c r="G60" i="29"/>
  <c r="K231" i="5"/>
  <c r="G195" i="5"/>
  <c r="D225" i="5"/>
  <c r="I59" i="29"/>
  <c r="C99" i="5"/>
  <c r="E125" i="29"/>
  <c r="I61" i="29"/>
  <c r="H201" i="29"/>
  <c r="E326" i="29"/>
  <c r="H235" i="5"/>
  <c r="F113" i="5"/>
  <c r="H163" i="29"/>
  <c r="C236" i="5"/>
  <c r="H240" i="5"/>
  <c r="C16" i="29"/>
  <c r="E162" i="5"/>
  <c r="C212" i="5"/>
  <c r="C124" i="29"/>
  <c r="H36" i="4"/>
  <c r="E238" i="5"/>
  <c r="F227" i="5"/>
  <c r="G163" i="5"/>
  <c r="G241" i="5"/>
  <c r="G233" i="5"/>
  <c r="C37" i="5"/>
  <c r="J33" i="4"/>
  <c r="D65" i="4"/>
  <c r="C325" i="29"/>
  <c r="F258" i="5"/>
  <c r="D224" i="5"/>
  <c r="D104" i="5"/>
  <c r="H64" i="29"/>
  <c r="D166" i="5"/>
  <c r="J123" i="29"/>
  <c r="C15" i="5"/>
  <c r="G37" i="29"/>
  <c r="C67" i="29"/>
  <c r="D137" i="5"/>
  <c r="C263" i="5"/>
  <c r="D168" i="5"/>
  <c r="H15" i="5"/>
  <c r="D27" i="4"/>
  <c r="H135" i="29"/>
  <c r="J19" i="29"/>
  <c r="G136" i="5"/>
  <c r="H26" i="29"/>
  <c r="K14" i="5"/>
  <c r="F100" i="5"/>
  <c r="D242" i="5"/>
  <c r="H99" i="5"/>
  <c r="F130" i="29"/>
  <c r="H21" i="29"/>
  <c r="G226" i="5"/>
  <c r="C35" i="4"/>
  <c r="C162" i="5"/>
  <c r="H245" i="5"/>
  <c r="J245" i="5"/>
  <c r="C153" i="5"/>
  <c r="J17" i="29"/>
  <c r="E190" i="29"/>
  <c r="F223" i="5"/>
  <c r="H96" i="5"/>
  <c r="E180" i="29"/>
  <c r="E106" i="5"/>
  <c r="H288" i="29"/>
  <c r="D35" i="4"/>
  <c r="G36" i="4"/>
  <c r="C60" i="29"/>
  <c r="D264" i="29"/>
  <c r="H202" i="29"/>
  <c r="H144" i="29"/>
  <c r="C139" i="5"/>
  <c r="D39" i="29"/>
  <c r="C233" i="5"/>
  <c r="D5" i="29"/>
  <c r="D222" i="5"/>
  <c r="E45" i="29"/>
  <c r="J328" i="29"/>
  <c r="E230" i="5"/>
  <c r="D7" i="29"/>
  <c r="H242" i="5"/>
  <c r="D70" i="4"/>
  <c r="G45" i="29"/>
  <c r="F182" i="29"/>
  <c r="D283" i="29"/>
  <c r="H360" i="29"/>
  <c r="G11" i="29"/>
  <c r="F13" i="29"/>
  <c r="G182" i="29"/>
  <c r="F185" i="5"/>
  <c r="K226" i="5"/>
  <c r="G73" i="29"/>
  <c r="D50" i="29"/>
  <c r="C34" i="4"/>
  <c r="E65" i="5"/>
  <c r="D147" i="5"/>
  <c r="E189" i="29"/>
  <c r="D185" i="5"/>
  <c r="E49" i="29"/>
  <c r="D68" i="29"/>
  <c r="H60" i="4"/>
  <c r="H109" i="29"/>
  <c r="G187" i="5"/>
  <c r="F60" i="29"/>
  <c r="C73" i="4"/>
  <c r="K120" i="5"/>
  <c r="J326" i="29"/>
  <c r="E185" i="29"/>
  <c r="D215" i="5"/>
  <c r="H363" i="29"/>
  <c r="K5" i="5"/>
  <c r="J28" i="4"/>
  <c r="G64" i="29"/>
  <c r="C104" i="5"/>
  <c r="G238" i="5"/>
  <c r="J246" i="5"/>
  <c r="F203" i="5"/>
  <c r="D79" i="5"/>
  <c r="F349" i="29"/>
  <c r="K173" i="5"/>
  <c r="C26" i="5"/>
  <c r="I96" i="5"/>
  <c r="E117" i="5"/>
  <c r="G28" i="4"/>
  <c r="G36" i="29"/>
  <c r="D250" i="5"/>
  <c r="D329" i="29"/>
  <c r="E245" i="5"/>
  <c r="H134" i="29"/>
  <c r="C180" i="29"/>
  <c r="J238" i="5"/>
  <c r="F242" i="5"/>
  <c r="K168" i="5"/>
  <c r="I326" i="29"/>
  <c r="E242" i="5"/>
  <c r="E55" i="29"/>
  <c r="D269" i="29"/>
  <c r="C223" i="5"/>
  <c r="K237" i="5"/>
  <c r="I71" i="29"/>
  <c r="J324" i="29"/>
  <c r="H321" i="29"/>
  <c r="J226" i="5"/>
  <c r="C215" i="5"/>
  <c r="F125" i="5"/>
  <c r="D11" i="5"/>
  <c r="C87" i="5"/>
  <c r="C147" i="5"/>
  <c r="I75" i="29"/>
  <c r="D280" i="29"/>
  <c r="H163" i="5"/>
  <c r="I319" i="29"/>
  <c r="F51" i="5"/>
  <c r="C15" i="29"/>
  <c r="F245" i="5"/>
  <c r="E102" i="5"/>
  <c r="D139" i="5"/>
  <c r="J325" i="29"/>
  <c r="C6" i="5"/>
  <c r="C36" i="29"/>
  <c r="H85" i="29"/>
  <c r="D40" i="29"/>
  <c r="H49" i="29"/>
  <c r="C25" i="5"/>
  <c r="G19" i="29"/>
  <c r="G38" i="29"/>
  <c r="C71" i="29"/>
  <c r="D240" i="5"/>
  <c r="E351" i="29"/>
  <c r="H169" i="29"/>
  <c r="D72" i="4"/>
  <c r="H24" i="29"/>
  <c r="D245" i="5"/>
  <c r="G43" i="4"/>
  <c r="D157" i="5"/>
  <c r="D328" i="29"/>
  <c r="F36" i="4"/>
  <c r="H356" i="29"/>
  <c r="H325" i="29"/>
  <c r="J120" i="5"/>
  <c r="F122" i="29"/>
  <c r="E15" i="5"/>
  <c r="C50" i="29"/>
  <c r="H157" i="29"/>
  <c r="C195" i="5"/>
  <c r="D131" i="5"/>
  <c r="D71" i="4"/>
  <c r="C118" i="5"/>
  <c r="J62" i="29"/>
  <c r="H52" i="29"/>
  <c r="H309" i="29"/>
  <c r="D230" i="5"/>
  <c r="H7" i="5"/>
  <c r="I35" i="4"/>
  <c r="C149" i="5"/>
  <c r="I183" i="29"/>
  <c r="I122" i="29"/>
  <c r="H96" i="29"/>
  <c r="H73" i="29"/>
  <c r="H248" i="5"/>
  <c r="E79" i="29"/>
  <c r="F241" i="5"/>
  <c r="E101" i="29"/>
  <c r="F168" i="5"/>
  <c r="H307" i="29"/>
  <c r="E188" i="29"/>
  <c r="D17" i="29"/>
  <c r="D99" i="5"/>
  <c r="G59" i="29"/>
  <c r="F51" i="29"/>
  <c r="H78" i="29"/>
  <c r="C43" i="4"/>
  <c r="K107" i="5"/>
  <c r="E9" i="5"/>
  <c r="I41" i="29"/>
  <c r="H168" i="5"/>
  <c r="G159" i="5"/>
  <c r="E171" i="29"/>
  <c r="I150" i="5"/>
  <c r="D61" i="29"/>
  <c r="G11" i="5"/>
  <c r="E301" i="29"/>
  <c r="C38" i="5"/>
  <c r="E61" i="29"/>
  <c r="C161" i="5"/>
  <c r="F10" i="29"/>
  <c r="F239" i="5"/>
  <c r="G184" i="5"/>
  <c r="C91" i="5"/>
  <c r="H223" i="5"/>
  <c r="G122" i="29"/>
  <c r="H67" i="29"/>
  <c r="G179" i="5"/>
  <c r="E10" i="29"/>
  <c r="D348" i="29"/>
  <c r="F61" i="29"/>
  <c r="K121" i="5"/>
  <c r="C256" i="5"/>
  <c r="C35" i="5"/>
  <c r="G185" i="5"/>
  <c r="G13" i="29"/>
  <c r="G180" i="29"/>
  <c r="J69" i="29"/>
  <c r="D51" i="29"/>
  <c r="F213" i="5"/>
  <c r="J150" i="5"/>
  <c r="D55" i="4"/>
  <c r="C182" i="29"/>
  <c r="G106" i="5"/>
  <c r="J15" i="5"/>
  <c r="J323" i="29"/>
  <c r="H106" i="29"/>
  <c r="C216" i="5"/>
  <c r="F206" i="5"/>
  <c r="C46" i="29"/>
  <c r="F15" i="5"/>
  <c r="I329" i="29"/>
  <c r="C238" i="5"/>
  <c r="H301" i="29"/>
  <c r="J9" i="29"/>
  <c r="C302" i="29"/>
  <c r="E239" i="5"/>
  <c r="F163" i="5"/>
  <c r="C197" i="5"/>
  <c r="C66" i="5"/>
  <c r="C58" i="4"/>
  <c r="E249" i="5"/>
  <c r="C74" i="4"/>
  <c r="F162" i="5"/>
  <c r="D259" i="29"/>
  <c r="G134" i="5"/>
  <c r="E324" i="29"/>
  <c r="I128" i="29"/>
  <c r="G153" i="5"/>
  <c r="D43" i="4"/>
  <c r="K251" i="5"/>
  <c r="D211" i="5"/>
  <c r="C10" i="5"/>
  <c r="C127" i="5"/>
  <c r="D113" i="5"/>
  <c r="K66" i="5"/>
  <c r="J37" i="29"/>
  <c r="G113" i="5"/>
  <c r="C29" i="5"/>
  <c r="G265" i="5"/>
  <c r="F247" i="5"/>
  <c r="D254" i="29"/>
  <c r="F98" i="5"/>
  <c r="C231" i="5"/>
  <c r="C59" i="29"/>
  <c r="J99" i="5"/>
  <c r="C250" i="5"/>
  <c r="K246" i="5"/>
  <c r="D18" i="29"/>
  <c r="F164" i="5"/>
  <c r="G248" i="5"/>
  <c r="F159" i="5"/>
  <c r="F17" i="5"/>
  <c r="D182" i="29"/>
  <c r="H17" i="29"/>
  <c r="E56" i="29"/>
  <c r="I15" i="29"/>
  <c r="C30" i="5"/>
  <c r="C129" i="5"/>
  <c r="J17" i="5"/>
  <c r="F323" i="29"/>
  <c r="E36" i="29"/>
  <c r="H38" i="29"/>
  <c r="G257" i="5"/>
  <c r="J301" i="29"/>
  <c r="H354" i="29"/>
  <c r="J100" i="5"/>
  <c r="C265" i="5"/>
  <c r="D321" i="29"/>
  <c r="H236" i="5"/>
  <c r="D213" i="5"/>
  <c r="F229" i="5"/>
  <c r="C156" i="5"/>
  <c r="E99" i="29"/>
  <c r="E122" i="29"/>
  <c r="K225" i="5"/>
  <c r="F63" i="29"/>
  <c r="C228" i="5"/>
  <c r="D19" i="29"/>
  <c r="G329" i="29"/>
  <c r="D44" i="29"/>
  <c r="G262" i="5"/>
  <c r="I50" i="29"/>
  <c r="F186" i="5"/>
  <c r="F12" i="29"/>
  <c r="J231" i="5"/>
  <c r="D221" i="29"/>
  <c r="D263" i="5"/>
  <c r="E103" i="5"/>
  <c r="F16" i="5"/>
  <c r="J75" i="29"/>
  <c r="H35" i="4"/>
  <c r="K42" i="4"/>
  <c r="C148" i="5"/>
  <c r="D95" i="5"/>
  <c r="K16" i="5"/>
  <c r="F322" i="29"/>
  <c r="C12" i="29"/>
  <c r="D111" i="5"/>
  <c r="H185" i="29"/>
  <c r="J349" i="29"/>
  <c r="F19" i="29"/>
  <c r="F58" i="5"/>
  <c r="I68" i="29"/>
  <c r="G5" i="29"/>
  <c r="D325" i="29"/>
  <c r="K241" i="5"/>
  <c r="E46" i="29"/>
  <c r="C7" i="5"/>
  <c r="J130" i="29"/>
  <c r="D278" i="29"/>
  <c r="C88" i="5"/>
  <c r="D187" i="5"/>
  <c r="F11" i="5"/>
  <c r="J38" i="29"/>
  <c r="G201" i="5"/>
  <c r="D272" i="29"/>
  <c r="D58" i="4"/>
  <c r="C80" i="5"/>
  <c r="E13" i="29"/>
  <c r="D218" i="29"/>
  <c r="I34" i="4"/>
  <c r="H162" i="5"/>
  <c r="C65" i="5"/>
  <c r="G17" i="5"/>
  <c r="G97" i="5"/>
  <c r="D29" i="4"/>
  <c r="D10" i="29"/>
  <c r="E163" i="5"/>
  <c r="C56" i="29"/>
  <c r="F121" i="5"/>
  <c r="K97" i="5"/>
  <c r="F120" i="5"/>
  <c r="C159" i="5"/>
  <c r="D262" i="5"/>
  <c r="H179" i="5"/>
  <c r="G251" i="5"/>
  <c r="C351" i="29"/>
  <c r="H91" i="29"/>
  <c r="H14" i="5"/>
  <c r="G325" i="29"/>
  <c r="C202" i="5"/>
  <c r="E227" i="5"/>
  <c r="J46" i="29"/>
  <c r="J51" i="29"/>
  <c r="C67" i="4"/>
  <c r="C44" i="29"/>
  <c r="G260" i="5"/>
  <c r="G213" i="5"/>
  <c r="D251" i="29"/>
  <c r="C193" i="5"/>
  <c r="E5" i="5"/>
  <c r="H37" i="29"/>
  <c r="F64" i="29"/>
  <c r="D237" i="29"/>
  <c r="D42" i="4"/>
  <c r="D62" i="29"/>
  <c r="C131" i="5"/>
  <c r="C60" i="4"/>
  <c r="H239" i="5"/>
  <c r="I324" i="29"/>
  <c r="J239" i="5"/>
  <c r="C66" i="4"/>
  <c r="H22" i="29"/>
  <c r="F62" i="5"/>
  <c r="C74" i="5"/>
  <c r="C185" i="5"/>
  <c r="C123" i="29"/>
  <c r="J8" i="29"/>
  <c r="J5" i="29"/>
  <c r="C77" i="5"/>
  <c r="H183" i="29"/>
  <c r="E120" i="29"/>
  <c r="K106" i="5"/>
  <c r="C200" i="5"/>
  <c r="G56" i="29"/>
  <c r="D201" i="5"/>
  <c r="C232" i="5"/>
  <c r="K235" i="5"/>
  <c r="D224" i="29"/>
  <c r="C261" i="5"/>
  <c r="F326" i="29"/>
  <c r="F102" i="5"/>
  <c r="J7" i="29"/>
  <c r="C227" i="5"/>
  <c r="G68" i="29"/>
  <c r="D73" i="29"/>
  <c r="E250" i="5"/>
  <c r="E192" i="29"/>
  <c r="F117" i="5"/>
  <c r="H322" i="29"/>
  <c r="C248" i="5"/>
  <c r="D64" i="4"/>
  <c r="E232" i="5"/>
  <c r="F244" i="5"/>
  <c r="E38" i="29"/>
  <c r="F96" i="5"/>
  <c r="C240" i="5"/>
  <c r="G322" i="29"/>
  <c r="F45" i="29"/>
  <c r="H28" i="4"/>
  <c r="I17" i="5"/>
  <c r="D135" i="5"/>
  <c r="G214" i="5"/>
  <c r="F160" i="5"/>
  <c r="F231" i="5"/>
  <c r="H25" i="29"/>
  <c r="D26" i="4"/>
  <c r="D98" i="5"/>
  <c r="F320" i="29"/>
  <c r="I124" i="29"/>
  <c r="H164" i="29"/>
  <c r="I8" i="29"/>
  <c r="C55" i="29"/>
  <c r="J235" i="5"/>
  <c r="C71" i="5"/>
  <c r="F216" i="5"/>
  <c r="J16" i="5"/>
  <c r="E60" i="29"/>
  <c r="D160" i="5"/>
  <c r="E309" i="29"/>
  <c r="H228" i="5"/>
  <c r="D78" i="5"/>
  <c r="E14" i="29"/>
  <c r="J70" i="29"/>
  <c r="C57" i="4"/>
  <c r="D216" i="5"/>
  <c r="E104" i="5"/>
  <c r="C8" i="29"/>
  <c r="C319" i="29"/>
  <c r="I10" i="29"/>
  <c r="G259" i="5"/>
  <c r="H70" i="29"/>
  <c r="C36" i="4"/>
  <c r="G192" i="5"/>
  <c r="J124" i="29"/>
  <c r="C208" i="5"/>
  <c r="H61" i="29"/>
  <c r="G14" i="29"/>
  <c r="D71" i="29"/>
  <c r="D233" i="29"/>
  <c r="I39" i="29"/>
  <c r="G67" i="29"/>
  <c r="H23" i="29"/>
  <c r="D67" i="29"/>
  <c r="E19" i="29"/>
  <c r="D41" i="29"/>
  <c r="F125" i="29"/>
  <c r="C56" i="4"/>
  <c r="H351" i="29"/>
  <c r="E173" i="5"/>
  <c r="H200" i="29"/>
  <c r="G65" i="5"/>
  <c r="H68" i="29"/>
  <c r="C52" i="29"/>
  <c r="C157" i="5"/>
  <c r="C32" i="5"/>
  <c r="H69" i="29"/>
  <c r="E69" i="29"/>
  <c r="J243" i="5"/>
  <c r="F41" i="29"/>
  <c r="D30" i="4"/>
  <c r="K242" i="5"/>
  <c r="F52" i="5"/>
  <c r="H16" i="29"/>
  <c r="J121" i="5"/>
  <c r="I38" i="29"/>
  <c r="C128" i="5"/>
  <c r="G25" i="4"/>
  <c r="J59" i="29"/>
  <c r="D46" i="29"/>
  <c r="I149" i="5"/>
  <c r="E12" i="29"/>
  <c r="D81" i="5"/>
  <c r="J351" i="29"/>
  <c r="J237" i="5"/>
  <c r="G63" i="29"/>
  <c r="C262" i="5"/>
  <c r="F14" i="29"/>
  <c r="H98" i="29"/>
  <c r="G8" i="5"/>
  <c r="G10" i="29"/>
  <c r="F236" i="5"/>
  <c r="J18" i="29"/>
  <c r="E7" i="29"/>
  <c r="E97" i="5"/>
  <c r="K248" i="5"/>
  <c r="H205" i="29"/>
  <c r="H71" i="29"/>
  <c r="J321" i="29"/>
  <c r="E243" i="5"/>
  <c r="K180" i="5"/>
  <c r="C140" i="5"/>
  <c r="G243" i="5"/>
  <c r="E40" i="29"/>
  <c r="H166" i="29"/>
  <c r="G15" i="5"/>
  <c r="J73" i="29"/>
  <c r="C7" i="29"/>
  <c r="E68" i="29"/>
  <c r="D302" i="29"/>
  <c r="C10" i="29"/>
  <c r="I43" i="4"/>
  <c r="I65" i="5"/>
  <c r="C260" i="5"/>
  <c r="D136" i="5"/>
  <c r="E168" i="5"/>
  <c r="D9" i="29"/>
  <c r="E67" i="29"/>
  <c r="C146" i="5"/>
  <c r="J14" i="5"/>
  <c r="I49" i="29"/>
  <c r="H28" i="29"/>
  <c r="C62" i="4"/>
  <c r="E31" i="4"/>
  <c r="C257" i="5"/>
  <c r="H206" i="29"/>
  <c r="J41" i="29"/>
  <c r="H102" i="5"/>
  <c r="F201" i="5"/>
  <c r="J320" i="29"/>
  <c r="G193" i="5"/>
  <c r="D73" i="4"/>
  <c r="C27" i="4"/>
  <c r="K163" i="5"/>
  <c r="D216" i="29"/>
  <c r="E70" i="29"/>
  <c r="F26" i="4"/>
  <c r="D261" i="5"/>
  <c r="G75" i="4"/>
  <c r="J249" i="5"/>
  <c r="E6" i="29"/>
  <c r="E302" i="29"/>
  <c r="D54" i="4"/>
  <c r="H61" i="4"/>
  <c r="E307" i="29"/>
  <c r="F124" i="29"/>
  <c r="F128" i="29"/>
  <c r="H182" i="29"/>
  <c r="G124" i="29"/>
  <c r="F56" i="29"/>
  <c r="C201" i="5"/>
  <c r="H124" i="29"/>
  <c r="E328" i="29"/>
  <c r="D234" i="5"/>
  <c r="G162" i="5"/>
  <c r="C349" i="29"/>
  <c r="G215" i="5"/>
  <c r="G324" i="29"/>
  <c r="J183" i="29"/>
  <c r="I130" i="29"/>
  <c r="H145" i="29"/>
  <c r="G264" i="5"/>
  <c r="F49" i="4"/>
  <c r="E229" i="5"/>
  <c r="H143" i="29"/>
  <c r="C184" i="5"/>
  <c r="G135" i="5"/>
  <c r="E150" i="5"/>
  <c r="H65" i="5"/>
  <c r="D60" i="4"/>
  <c r="C24" i="5"/>
  <c r="K28" i="4"/>
  <c r="G112" i="5"/>
  <c r="D275" i="29"/>
  <c r="I16" i="29"/>
  <c r="D120" i="29"/>
  <c r="K102" i="5"/>
  <c r="G250" i="5"/>
  <c r="F230" i="5"/>
  <c r="J64" i="29"/>
  <c r="D59" i="4"/>
  <c r="G220" i="5"/>
  <c r="D52" i="29"/>
  <c r="H150" i="5"/>
  <c r="D68" i="4"/>
  <c r="G194" i="5"/>
  <c r="K162" i="5"/>
  <c r="C23" i="5"/>
  <c r="E28" i="4"/>
  <c r="G66" i="5"/>
  <c r="G219" i="5"/>
  <c r="K26" i="4"/>
  <c r="I67" i="29"/>
  <c r="D37" i="29"/>
  <c r="H191" i="29"/>
  <c r="I11" i="29"/>
  <c r="F27" i="4"/>
  <c r="D219" i="29"/>
  <c r="H83" i="29"/>
  <c r="D163" i="5"/>
  <c r="I16" i="5"/>
  <c r="D282" i="29"/>
  <c r="K149" i="5"/>
  <c r="H44" i="29"/>
  <c r="H290" i="29"/>
  <c r="G244" i="5"/>
  <c r="F127" i="5"/>
  <c r="J75" i="4"/>
  <c r="H56" i="4"/>
  <c r="H348" i="29"/>
  <c r="D247" i="29"/>
  <c r="G55" i="29"/>
  <c r="E223" i="5"/>
  <c r="D117" i="5"/>
  <c r="G16" i="5"/>
  <c r="F45" i="5"/>
  <c r="J50" i="4"/>
  <c r="C136" i="5"/>
  <c r="C95" i="5"/>
  <c r="E349" i="29"/>
  <c r="F50" i="5"/>
  <c r="C150" i="5"/>
  <c r="F59" i="5"/>
  <c r="K43" i="4"/>
  <c r="D257" i="5"/>
  <c r="D212" i="5"/>
  <c r="F224" i="5"/>
  <c r="D134" i="5"/>
  <c r="C28" i="4"/>
  <c r="G100" i="5"/>
  <c r="I174" i="5"/>
  <c r="I185" i="29"/>
  <c r="K36" i="4"/>
  <c r="F43" i="4"/>
  <c r="G18" i="29"/>
  <c r="H94" i="29"/>
  <c r="G186" i="5"/>
  <c r="H250" i="5"/>
  <c r="F15" i="29"/>
  <c r="C301" i="29"/>
  <c r="H130" i="29"/>
  <c r="I75" i="4"/>
  <c r="C42" i="4"/>
  <c r="D238" i="5"/>
  <c r="E195" i="29"/>
  <c r="J40" i="29"/>
  <c r="F57" i="5"/>
  <c r="F37" i="29"/>
  <c r="D36" i="4"/>
  <c r="K265" i="5"/>
  <c r="K117" i="5"/>
  <c r="H80" i="29"/>
  <c r="F46" i="29"/>
  <c r="G7" i="5"/>
  <c r="F18" i="29"/>
  <c r="D159" i="5"/>
  <c r="F228" i="5"/>
  <c r="H19" i="29"/>
  <c r="H57" i="4"/>
  <c r="H107" i="29"/>
  <c r="D274" i="29"/>
  <c r="I7" i="29"/>
  <c r="D226" i="29"/>
  <c r="D56" i="29"/>
  <c r="H227" i="5"/>
  <c r="D14" i="5"/>
  <c r="D28" i="4"/>
  <c r="H105" i="29"/>
  <c r="J55" i="29"/>
  <c r="H42" i="4"/>
  <c r="D214" i="5"/>
  <c r="F9" i="29"/>
  <c r="H165" i="29"/>
  <c r="G224" i="5"/>
  <c r="J97" i="5"/>
  <c r="G203" i="5"/>
  <c r="C230" i="5"/>
  <c r="E121" i="5"/>
  <c r="C213" i="5"/>
  <c r="G9" i="29"/>
  <c r="J228" i="5"/>
  <c r="H8" i="29"/>
  <c r="I33" i="4"/>
  <c r="D127" i="5"/>
  <c r="F53" i="5"/>
  <c r="E8" i="29"/>
  <c r="H15" i="29"/>
  <c r="H199" i="29"/>
  <c r="E75" i="29"/>
  <c r="D60" i="29"/>
  <c r="F107" i="5"/>
  <c r="F184" i="5"/>
  <c r="C194" i="5"/>
  <c r="J52" i="29"/>
  <c r="E18" i="29"/>
  <c r="G46" i="29"/>
  <c r="F50" i="4"/>
  <c r="H75" i="29"/>
  <c r="F74" i="4"/>
  <c r="D320" i="29"/>
  <c r="J122" i="29"/>
  <c r="F75" i="4"/>
  <c r="D244" i="5"/>
  <c r="H59" i="29"/>
  <c r="F233" i="5"/>
  <c r="C183" i="29"/>
  <c r="D121" i="5"/>
  <c r="H308" i="29"/>
  <c r="H159" i="29"/>
  <c r="C64" i="29"/>
  <c r="F327" i="29"/>
  <c r="K65" i="5"/>
  <c r="H33" i="4"/>
  <c r="E5" i="29"/>
  <c r="F123" i="29"/>
  <c r="C122" i="29"/>
  <c r="E43" i="4"/>
  <c r="D64" i="29"/>
  <c r="J10" i="29"/>
  <c r="D327" i="29"/>
  <c r="C86" i="5"/>
  <c r="C72" i="5"/>
  <c r="C92" i="5"/>
  <c r="E82" i="29"/>
  <c r="E228" i="5"/>
  <c r="E128" i="29"/>
  <c r="H189" i="29"/>
  <c r="F174" i="5"/>
  <c r="K240" i="5"/>
  <c r="H59" i="4"/>
  <c r="G231" i="5"/>
  <c r="G152" i="5"/>
  <c r="C79" i="5"/>
  <c r="F149" i="5"/>
  <c r="E80" i="29"/>
  <c r="D233" i="5"/>
  <c r="G49" i="29"/>
  <c r="F260" i="5"/>
  <c r="H225" i="5"/>
  <c r="E71" i="29"/>
  <c r="H111" i="29"/>
  <c r="F44" i="29"/>
  <c r="H332" i="29"/>
  <c r="D149" i="5"/>
  <c r="F187" i="5"/>
  <c r="G157" i="5"/>
  <c r="C63" i="29"/>
  <c r="G39" i="29"/>
  <c r="G149" i="5"/>
  <c r="K244" i="5"/>
  <c r="C128" i="29"/>
  <c r="D50" i="4"/>
  <c r="C72" i="4"/>
  <c r="G191" i="5"/>
  <c r="H289" i="29"/>
  <c r="C31" i="5"/>
  <c r="C28" i="5"/>
  <c r="G50" i="29"/>
  <c r="F235" i="5"/>
  <c r="G61" i="29"/>
  <c r="E62" i="29"/>
  <c r="E16" i="5"/>
  <c r="C224" i="5"/>
  <c r="C244" i="5"/>
  <c r="G326" i="29"/>
  <c r="D203" i="5"/>
  <c r="G323" i="29"/>
  <c r="G137" i="5"/>
  <c r="G301" i="29"/>
  <c r="E35" i="4"/>
  <c r="G144" i="5"/>
  <c r="H74" i="4"/>
  <c r="H246" i="5"/>
  <c r="H60" i="29"/>
  <c r="C85" i="5"/>
  <c r="C328" i="29"/>
  <c r="I51" i="29"/>
  <c r="F46" i="5"/>
  <c r="H158" i="29"/>
  <c r="K228" i="5"/>
  <c r="C321" i="29"/>
  <c r="I328" i="29"/>
  <c r="I18" i="29"/>
  <c r="K230" i="5"/>
  <c r="K223" i="5"/>
  <c r="F325" i="29"/>
  <c r="C152" i="5"/>
  <c r="E191" i="29"/>
  <c r="G183" i="29"/>
  <c r="H29" i="29"/>
  <c r="F11" i="29"/>
  <c r="C18" i="29"/>
  <c r="C137" i="5"/>
  <c r="D245" i="29"/>
  <c r="J185" i="29"/>
  <c r="F225" i="5"/>
  <c r="G227" i="5"/>
  <c r="G69" i="29"/>
  <c r="K227" i="5"/>
  <c r="E11" i="29"/>
  <c r="D232" i="5"/>
  <c r="H11" i="29"/>
  <c r="D252" i="29"/>
  <c r="I349" i="29"/>
  <c r="C243" i="5"/>
  <c r="C100" i="5"/>
  <c r="D62" i="4"/>
  <c r="C138" i="5"/>
  <c r="H133" i="29"/>
  <c r="J247" i="5"/>
  <c r="J102" i="5"/>
  <c r="I19" i="29"/>
  <c r="D235" i="5"/>
  <c r="E348" i="29"/>
  <c r="D323" i="29"/>
  <c r="C71" i="4"/>
  <c r="F111" i="5"/>
  <c r="E16" i="29"/>
  <c r="F180" i="29"/>
  <c r="F200" i="5"/>
  <c r="H166" i="5"/>
  <c r="F36" i="29"/>
  <c r="J322" i="29"/>
  <c r="C178" i="5"/>
  <c r="D59" i="29"/>
  <c r="F39" i="29"/>
  <c r="H62" i="29"/>
  <c r="D253" i="29"/>
  <c r="G118" i="5"/>
  <c r="K100" i="5"/>
  <c r="D36" i="29"/>
  <c r="I28" i="4"/>
  <c r="I302" i="29"/>
  <c r="D102" i="5"/>
  <c r="D220" i="29"/>
  <c r="E124" i="29"/>
  <c r="E83" i="29"/>
  <c r="J119" i="5"/>
  <c r="H16" i="5"/>
  <c r="C106" i="5"/>
  <c r="G7" i="29"/>
  <c r="G200" i="5"/>
  <c r="D200" i="5"/>
  <c r="F157" i="5"/>
  <c r="H195" i="29"/>
  <c r="E225" i="5"/>
  <c r="I100" i="5"/>
  <c r="G12" i="29"/>
  <c r="F5" i="5"/>
  <c r="I180" i="29"/>
  <c r="H121" i="5"/>
  <c r="F131" i="5"/>
  <c r="I56" i="29"/>
  <c r="E240" i="5"/>
  <c r="C126" i="5"/>
  <c r="I325" i="29"/>
  <c r="E226" i="5"/>
  <c r="H9" i="5"/>
  <c r="E26" i="4"/>
  <c r="E174" i="5"/>
  <c r="J25" i="4"/>
  <c r="D239" i="5"/>
  <c r="H50" i="29"/>
  <c r="D268" i="29"/>
  <c r="D107" i="5"/>
  <c r="D56" i="4"/>
  <c r="H17" i="5"/>
  <c r="C251" i="5"/>
  <c r="D17" i="5"/>
  <c r="D75" i="29"/>
  <c r="F54" i="5"/>
  <c r="H243" i="5"/>
  <c r="I5" i="5"/>
  <c r="D207" i="5"/>
  <c r="J227" i="5"/>
  <c r="I73" i="29"/>
  <c r="G240" i="5"/>
  <c r="D123" i="29"/>
  <c r="G173" i="5"/>
  <c r="D231" i="5"/>
  <c r="F34" i="4"/>
  <c r="K34" i="4"/>
  <c r="H349" i="29"/>
  <c r="C69" i="5"/>
  <c r="D11" i="29"/>
  <c r="G139" i="5"/>
  <c r="C111" i="5"/>
  <c r="C165" i="5"/>
  <c r="H50" i="4"/>
  <c r="J241" i="5"/>
  <c r="H171" i="29"/>
  <c r="D247" i="5"/>
  <c r="C219" i="5"/>
  <c r="C185" i="29"/>
  <c r="C130" i="29"/>
  <c r="F215" i="5"/>
  <c r="E320" i="29"/>
  <c r="F120" i="29"/>
  <c r="D265" i="5"/>
  <c r="H128" i="29"/>
  <c r="F212" i="5"/>
  <c r="E183" i="29"/>
  <c r="J327" i="29"/>
  <c r="H265" i="5"/>
  <c r="I168" i="5"/>
  <c r="D237" i="5"/>
  <c r="I60" i="29"/>
  <c r="F211" i="5"/>
  <c r="F28" i="4"/>
  <c r="C70" i="29"/>
  <c r="D185" i="29"/>
  <c r="G321" i="29"/>
  <c r="D246" i="29"/>
  <c r="C70" i="5"/>
  <c r="D120" i="5"/>
  <c r="H333" i="29"/>
  <c r="E9" i="29"/>
  <c r="I46" i="29"/>
  <c r="D167" i="5"/>
  <c r="K33" i="4"/>
  <c r="E136" i="29"/>
  <c r="K174" i="5"/>
  <c r="E241" i="5"/>
  <c r="C45" i="29"/>
  <c r="H99" i="29"/>
  <c r="D264" i="5"/>
  <c r="G255" i="5"/>
  <c r="F183" i="29"/>
  <c r="G168" i="5"/>
  <c r="C34" i="5"/>
  <c r="J117" i="5"/>
  <c r="C196" i="5"/>
  <c r="I13" i="29"/>
  <c r="E41" i="29"/>
  <c r="E118" i="5"/>
  <c r="D7" i="5"/>
  <c r="G245" i="5"/>
  <c r="G138" i="5"/>
  <c r="D70" i="29"/>
  <c r="F202" i="5"/>
  <c r="H180" i="5"/>
  <c r="C154" i="5"/>
  <c r="E329" i="29"/>
  <c r="D122" i="29"/>
  <c r="G102" i="5"/>
  <c r="J128" i="29"/>
  <c r="D249" i="29"/>
  <c r="C61" i="4"/>
  <c r="H207" i="29"/>
  <c r="E248" i="5"/>
  <c r="D77" i="5"/>
  <c r="H167" i="29"/>
  <c r="G52" i="29"/>
  <c r="I321" i="29"/>
  <c r="H41" i="29"/>
  <c r="D349" i="29"/>
  <c r="D173" i="5"/>
  <c r="G121" i="5"/>
  <c r="C97" i="5"/>
  <c r="C78" i="5"/>
  <c r="E81" i="29"/>
  <c r="I45" i="29"/>
  <c r="I63" i="29"/>
  <c r="F60" i="5"/>
  <c r="C119" i="5"/>
  <c r="E182" i="29"/>
  <c r="G16" i="29"/>
  <c r="D180" i="29"/>
  <c r="H180" i="29"/>
  <c r="C36" i="5"/>
  <c r="C173" i="5"/>
  <c r="E235" i="5"/>
  <c r="I15" i="5"/>
  <c r="G119" i="5"/>
  <c r="F173" i="5"/>
  <c r="H178" i="5"/>
  <c r="H230" i="5"/>
  <c r="E119" i="5"/>
  <c r="G160" i="5"/>
  <c r="D75" i="4"/>
  <c r="C59" i="4"/>
  <c r="J244" i="5"/>
  <c r="K239" i="5"/>
  <c r="G62" i="29"/>
  <c r="E107" i="5"/>
  <c r="E99" i="5"/>
  <c r="F214" i="5"/>
  <c r="E15" i="29"/>
  <c r="G44" i="29"/>
  <c r="C49" i="29"/>
  <c r="E322" i="29"/>
  <c r="C69" i="4"/>
  <c r="C125" i="29"/>
  <c r="F161" i="5"/>
  <c r="K245" i="5"/>
  <c r="K243" i="5"/>
  <c r="G8" i="29"/>
  <c r="E120" i="5"/>
  <c r="H89" i="29"/>
  <c r="F302" i="29"/>
  <c r="C73" i="29"/>
  <c r="J319" i="29"/>
  <c r="F67" i="29"/>
  <c r="K232" i="5"/>
  <c r="D220" i="5"/>
  <c r="I14" i="5"/>
  <c r="G130" i="29"/>
  <c r="G197" i="5"/>
  <c r="J232" i="5"/>
  <c r="F328" i="29"/>
  <c r="D186" i="5"/>
  <c r="F329" i="29"/>
  <c r="H104" i="5"/>
  <c r="E247" i="5"/>
  <c r="C33" i="5"/>
  <c r="G237" i="5"/>
  <c r="D96" i="5"/>
  <c r="H149" i="5"/>
  <c r="C98" i="5"/>
  <c r="G208" i="5"/>
  <c r="G216" i="5"/>
  <c r="C121" i="5"/>
  <c r="H117" i="5"/>
  <c r="J329" i="29"/>
  <c r="D351" i="29"/>
  <c r="C20" i="5"/>
  <c r="J67" i="29"/>
  <c r="I320" i="29"/>
  <c r="E231" i="5"/>
  <c r="G229" i="5"/>
  <c r="J250" i="5"/>
  <c r="H122" i="29"/>
  <c r="J182" i="29"/>
  <c r="G232" i="5"/>
  <c r="G211" i="5"/>
  <c r="H97" i="5"/>
  <c r="H146" i="29"/>
  <c r="J168" i="5"/>
  <c r="F104" i="5"/>
  <c r="F61" i="5"/>
  <c r="G96" i="5"/>
  <c r="F14" i="5"/>
  <c r="D324" i="29"/>
  <c r="G99" i="5"/>
  <c r="H66" i="5"/>
  <c r="C117" i="5"/>
  <c r="F55" i="5"/>
  <c r="C191" i="5"/>
  <c r="G263" i="5"/>
  <c r="H9" i="29"/>
  <c r="H292" i="29"/>
  <c r="C50" i="4"/>
  <c r="C242" i="5"/>
  <c r="C143" i="5"/>
  <c r="C229" i="5"/>
  <c r="E321" i="29"/>
  <c r="F43" i="5"/>
  <c r="D12" i="29"/>
  <c r="G120" i="29"/>
  <c r="G147" i="5"/>
  <c r="D265" i="29"/>
  <c r="H95" i="29"/>
  <c r="F321" i="29"/>
  <c r="D267" i="29"/>
  <c r="G150" i="5"/>
  <c r="F264" i="5"/>
  <c r="H328" i="29"/>
  <c r="I5" i="29"/>
  <c r="J36" i="29"/>
  <c r="F49" i="5"/>
  <c r="C249" i="5"/>
  <c r="H40" i="29"/>
  <c r="H173" i="5"/>
  <c r="F158" i="5"/>
  <c r="D16" i="5"/>
  <c r="G50" i="4"/>
  <c r="G51" i="29"/>
  <c r="C211" i="5"/>
  <c r="H25" i="4"/>
  <c r="J242" i="5"/>
  <c r="E14" i="5"/>
  <c r="D118" i="5"/>
  <c r="D9" i="5"/>
  <c r="G161" i="5"/>
  <c r="G104" i="5"/>
  <c r="I97" i="5"/>
  <c r="C245" i="5"/>
  <c r="D226" i="5"/>
  <c r="C51" i="29"/>
  <c r="D106" i="5"/>
  <c r="E96" i="5"/>
  <c r="G40" i="29"/>
  <c r="D124" i="29"/>
  <c r="C222" i="5"/>
  <c r="F237" i="5"/>
  <c r="D250" i="29"/>
  <c r="G125" i="29"/>
  <c r="D284" i="29"/>
  <c r="B15" i="7" l="1"/>
  <c r="B7803" i="106"/>
  <c r="D7803" i="106" s="1"/>
  <c r="K333" i="29"/>
  <c r="B7788" i="106" s="1"/>
  <c r="B7787" i="106"/>
  <c r="B7802" i="106"/>
  <c r="D7802" i="106" s="1"/>
  <c r="B7775" i="106"/>
  <c r="K158" i="29"/>
  <c r="B7780" i="106" s="1"/>
  <c r="B7779" i="106"/>
  <c r="F29" i="34"/>
  <c r="H334" i="29"/>
  <c r="B7789" i="106" s="1"/>
  <c r="K332" i="29"/>
  <c r="B7786" i="106" s="1"/>
  <c r="B7785" i="106"/>
  <c r="K159" i="29"/>
  <c r="B7782" i="106" s="1"/>
  <c r="B7781" i="106"/>
  <c r="B7783" i="106"/>
  <c r="K282" i="29"/>
  <c r="B7784" i="106" s="1"/>
  <c r="B7810" i="106"/>
  <c r="D7810" i="106" s="1"/>
  <c r="B7813" i="106"/>
  <c r="D7813" i="106" s="1"/>
  <c r="F167" i="34"/>
  <c r="F166" i="34"/>
  <c r="B7809" i="106"/>
  <c r="D7809" i="106" s="1"/>
  <c r="B7814" i="106"/>
  <c r="D7814" i="106" s="1"/>
  <c r="B5196" i="106"/>
  <c r="B7804" i="106"/>
  <c r="D7804" i="106" s="1"/>
  <c r="B7816" i="106"/>
  <c r="D7816" i="106" s="1"/>
  <c r="H357" i="29"/>
  <c r="K354" i="29"/>
  <c r="B7792" i="106" s="1"/>
  <c r="B7791" i="106"/>
  <c r="H160" i="29"/>
  <c r="K157" i="29"/>
  <c r="B7778" i="106" s="1"/>
  <c r="B7777" i="106"/>
  <c r="B7807" i="106"/>
  <c r="D7807" i="106" s="1"/>
  <c r="K356" i="29"/>
  <c r="B7808" i="106"/>
  <c r="D7808" i="106" s="1"/>
  <c r="K355" i="29"/>
  <c r="B7794" i="106" s="1"/>
  <c r="B7793" i="106"/>
  <c r="B7801" i="106"/>
  <c r="D7801" i="106" s="1"/>
  <c r="B7812" i="106"/>
  <c r="D7812" i="106" s="1"/>
  <c r="B7805" i="106"/>
  <c r="D7805" i="106" s="1"/>
  <c r="K133" i="29"/>
  <c r="B7776" i="106" s="1"/>
  <c r="B7774" i="106"/>
  <c r="B7811" i="106"/>
  <c r="D7811" i="106" s="1"/>
  <c r="B7806" i="106"/>
  <c r="D7806" i="106" s="1"/>
  <c r="B7815" i="106"/>
  <c r="D7815" i="106" s="1"/>
  <c r="B7795" i="106"/>
  <c r="K357" i="29" l="1"/>
  <c r="K334" i="29"/>
  <c r="F74" i="34" s="1"/>
  <c r="K15" i="4"/>
  <c r="L357" i="29"/>
  <c r="B7790" i="106" l="1"/>
  <c r="J15" i="4"/>
  <c r="B7796" i="106" s="1"/>
  <c r="L285" i="29"/>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E51" i="181"/>
  <c r="F51" i="181" s="1"/>
  <c r="G51" i="181" s="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210" l="1"/>
  <c r="B1" i="209"/>
  <c r="B1" i="208"/>
  <c r="B1" i="207"/>
  <c r="B1" i="206"/>
  <c r="B1" i="205"/>
  <c r="B1" i="204"/>
  <c r="B1" i="203"/>
  <c r="B1" i="202"/>
  <c r="B1" i="201"/>
  <c r="B1" i="200"/>
  <c r="B1" i="199"/>
  <c r="B2" i="179"/>
  <c r="B2" i="209"/>
  <c r="B2" i="210"/>
  <c r="B2" i="208"/>
  <c r="B2" i="206"/>
  <c r="B2" i="204"/>
  <c r="B2" i="202"/>
  <c r="B2" i="200"/>
  <c r="B2" i="207"/>
  <c r="B2" i="205"/>
  <c r="B2" i="203"/>
  <c r="B2" i="201"/>
  <c r="B2" i="199"/>
  <c r="B2" i="177"/>
  <c r="A2" i="170"/>
  <c r="B2" i="174"/>
  <c r="A2" i="173"/>
  <c r="A1" i="171"/>
  <c r="B1" i="179"/>
  <c r="B2" i="176"/>
  <c r="B1" i="177"/>
  <c r="A1" i="170"/>
  <c r="A2" i="171"/>
  <c r="A1" i="173"/>
  <c r="B1" i="174"/>
  <c r="B1" i="176"/>
  <c r="B7773" i="106" l="1"/>
  <c r="B61" i="106" l="1"/>
  <c r="B52" i="106"/>
  <c r="B51" i="106" l="1"/>
  <c r="B49" i="106"/>
  <c r="B48" i="106"/>
  <c r="B47" i="106"/>
  <c r="B46" i="106"/>
  <c r="B45" i="106"/>
  <c r="B44" i="106"/>
  <c r="B43" i="106"/>
  <c r="B42" i="106"/>
  <c r="B41" i="106"/>
  <c r="B50" i="106"/>
  <c r="F159" i="34" l="1"/>
  <c r="B7769" i="106"/>
  <c r="D7769" i="106" s="1"/>
  <c r="B7768" i="106"/>
  <c r="D7768" i="106" s="1"/>
  <c r="B7766" i="106"/>
  <c r="D7766" i="106" s="1"/>
  <c r="B7765" i="106"/>
  <c r="B7764" i="106"/>
  <c r="D7764" i="106" s="1"/>
  <c r="J85" i="28"/>
  <c r="B7758" i="106" s="1"/>
  <c r="D7758" i="106" s="1"/>
  <c r="J88" i="28"/>
  <c r="K6" i="29"/>
  <c r="B7763" i="106" s="1"/>
  <c r="D7763" i="106" s="1"/>
  <c r="B7762" i="106"/>
  <c r="D7762" i="106" s="1"/>
  <c r="K12" i="12"/>
  <c r="K23" i="12"/>
  <c r="J12" i="12"/>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6833" i="106" s="1"/>
  <c r="D6833" i="106" s="1"/>
  <c r="B7761" i="106"/>
  <c r="D7761" i="106" s="1"/>
  <c r="L127" i="29"/>
  <c r="L129" i="29" s="1"/>
  <c r="L139" i="29"/>
  <c r="L149" i="29"/>
  <c r="I7" i="145"/>
  <c r="I6" i="145"/>
  <c r="D78" i="36"/>
  <c r="K75" i="29"/>
  <c r="K130" i="29"/>
  <c r="B2805" i="106" s="1"/>
  <c r="D2805" i="106" s="1"/>
  <c r="K185" i="29"/>
  <c r="B2836" i="106" s="1"/>
  <c r="D2836" i="106" s="1"/>
  <c r="K122" i="29"/>
  <c r="F15" i="145" s="1"/>
  <c r="F19" i="145" s="1"/>
  <c r="K67" i="29"/>
  <c r="E33" i="108" s="1"/>
  <c r="K64" i="29"/>
  <c r="D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3" i="106"/>
  <c r="D1973" i="106" s="1"/>
  <c r="B1974" i="106"/>
  <c r="D1974" i="106" s="1"/>
  <c r="D1975" i="106"/>
  <c r="D1976" i="106"/>
  <c r="D1978" i="106"/>
  <c r="B1979" i="106"/>
  <c r="D1979" i="106" s="1"/>
  <c r="B1980" i="106"/>
  <c r="D1980" i="106" s="1"/>
  <c r="D1981" i="106"/>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B6289" i="106" s="1"/>
  <c r="D6289" i="106"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2" i="106"/>
  <c r="D7012"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4" i="36"/>
  <c r="D68" i="36"/>
  <c r="D69" i="36"/>
  <c r="D71" i="36"/>
  <c r="D72" i="36"/>
  <c r="D79" i="36"/>
  <c r="B61" i="127"/>
  <c r="B62"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C14" i="4"/>
  <c r="B2558" i="106" s="1"/>
  <c r="D2558" i="106" s="1"/>
  <c r="B2633" i="106"/>
  <c r="D2633" i="106" s="1"/>
  <c r="N22" i="3"/>
  <c r="B283" i="106" s="1"/>
  <c r="D283" i="106" s="1"/>
  <c r="D7" i="118"/>
  <c r="D8" i="118"/>
  <c r="D9" i="118"/>
  <c r="H14" i="118"/>
  <c r="H19" i="118"/>
  <c r="H24" i="118"/>
  <c r="H28" i="118"/>
  <c r="H29" i="118"/>
  <c r="H33" i="118"/>
  <c r="D11" i="37"/>
  <c r="J22" i="37"/>
  <c r="L22" i="37"/>
  <c r="D24" i="37"/>
  <c r="B4270" i="106" s="1"/>
  <c r="D4270" i="106" s="1"/>
  <c r="B1274" i="106" l="1"/>
  <c r="D1274" i="106" s="1"/>
  <c r="G33" i="108"/>
  <c r="L342" i="29"/>
  <c r="F72" i="34"/>
  <c r="F71" i="34"/>
  <c r="B2724" i="106"/>
  <c r="D2724" i="106" s="1"/>
  <c r="E35" i="108"/>
  <c r="F38" i="34"/>
  <c r="G35" i="108"/>
  <c r="J129" i="29"/>
  <c r="B7038" i="106" s="1"/>
  <c r="D7038" i="106" s="1"/>
  <c r="I129" i="29"/>
  <c r="B7037" i="106" s="1"/>
  <c r="D7037" i="106" s="1"/>
  <c r="H342" i="29"/>
  <c r="B7221" i="106" s="1"/>
  <c r="D7221" i="106" s="1"/>
  <c r="H365" i="29"/>
  <c r="B7242" i="106" s="1"/>
  <c r="D7242" i="106" s="1"/>
  <c r="J352" i="29"/>
  <c r="J367" i="29" s="1"/>
  <c r="B7245" i="106" s="1"/>
  <c r="D7245" i="106" s="1"/>
  <c r="F70" i="34"/>
  <c r="C342" i="29"/>
  <c r="B7216" i="106" s="1"/>
  <c r="D7216" i="106" s="1"/>
  <c r="B7078" i="106"/>
  <c r="D7078" i="106" s="1"/>
  <c r="F67" i="34"/>
  <c r="I210" i="29"/>
  <c r="B7071" i="106" s="1"/>
  <c r="D7071" i="106" s="1"/>
  <c r="E29" i="108"/>
  <c r="F64" i="34"/>
  <c r="F62" i="34"/>
  <c r="K184" i="29"/>
  <c r="F13" i="4" s="1"/>
  <c r="B2596" i="106" s="1"/>
  <c r="D2596" i="106" s="1"/>
  <c r="J210" i="29"/>
  <c r="B7072" i="106" s="1"/>
  <c r="D7072" i="106" s="1"/>
  <c r="G210" i="29"/>
  <c r="F14" i="4"/>
  <c r="B2597" i="106" s="1"/>
  <c r="D2597" i="106" s="1"/>
  <c r="B4087" i="106"/>
  <c r="D4087" i="106" s="1"/>
  <c r="G29" i="108"/>
  <c r="D14" i="4"/>
  <c r="B2570" i="106" s="1"/>
  <c r="D2570" i="106" s="1"/>
  <c r="F56" i="34"/>
  <c r="G39" i="108"/>
  <c r="F31" i="108"/>
  <c r="G30" i="108"/>
  <c r="F36" i="108"/>
  <c r="B7047" i="106"/>
  <c r="D7047" i="106" s="1"/>
  <c r="G15" i="145"/>
  <c r="G26" i="108"/>
  <c r="E26" i="108"/>
  <c r="E38" i="108"/>
  <c r="G38" i="108"/>
  <c r="D36" i="108"/>
  <c r="E28" i="108"/>
  <c r="F37" i="108"/>
  <c r="E34" i="108"/>
  <c r="B6995" i="106"/>
  <c r="D6995" i="106" s="1"/>
  <c r="H112" i="29"/>
  <c r="B7018" i="106" s="1"/>
  <c r="D7018" i="106" s="1"/>
  <c r="F49" i="34"/>
  <c r="D37" i="108"/>
  <c r="F28" i="108"/>
  <c r="F27" i="108"/>
  <c r="F26" i="108"/>
  <c r="F34" i="34"/>
  <c r="D26" i="108"/>
  <c r="B1124" i="106"/>
  <c r="D1124" i="106" s="1"/>
  <c r="E30" i="108"/>
  <c r="F46" i="34"/>
  <c r="F44" i="34"/>
  <c r="F36" i="34"/>
  <c r="H44" i="4"/>
  <c r="B3296" i="106" s="1"/>
  <c r="D3296" i="106" s="1"/>
  <c r="J77" i="4"/>
  <c r="B6262" i="106" s="1"/>
  <c r="D6262" i="106" s="1"/>
  <c r="H76" i="4"/>
  <c r="B3298" i="106" s="1"/>
  <c r="D3298" i="106" s="1"/>
  <c r="F77" i="4"/>
  <c r="B3255" i="106" s="1"/>
  <c r="D3255" i="106" s="1"/>
  <c r="D17" i="7"/>
  <c r="B4104" i="106" s="1"/>
  <c r="D4104" i="106" s="1"/>
  <c r="D9" i="7"/>
  <c r="B1767" i="106" s="1"/>
  <c r="D1767" i="106" s="1"/>
  <c r="L5" i="11"/>
  <c r="B2056" i="106" s="1"/>
  <c r="D2056" i="106" s="1"/>
  <c r="D22" i="37"/>
  <c r="G14" i="4"/>
  <c r="B2609" i="106" s="1"/>
  <c r="D2609" i="106" s="1"/>
  <c r="F68" i="34"/>
  <c r="F50" i="34"/>
  <c r="F42" i="34"/>
  <c r="F37" i="34"/>
  <c r="K41" i="3"/>
  <c r="L15" i="11"/>
  <c r="B3459" i="106" s="1"/>
  <c r="D3459" i="106" s="1"/>
  <c r="L13" i="11"/>
  <c r="B2060" i="106" s="1"/>
  <c r="D2060" i="106" s="1"/>
  <c r="B3647" i="106"/>
  <c r="D3647" i="106" s="1"/>
  <c r="C352" i="29"/>
  <c r="B3621" i="106" s="1"/>
  <c r="D3621" i="106" s="1"/>
  <c r="K76" i="4"/>
  <c r="B3586" i="106" s="1"/>
  <c r="D3586" i="106" s="1"/>
  <c r="I24" i="12"/>
  <c r="C129" i="29"/>
  <c r="B1225" i="106" s="1"/>
  <c r="D1225" i="106" s="1"/>
  <c r="L367" i="29"/>
  <c r="J41" i="3"/>
  <c r="B6216" i="106" s="1"/>
  <c r="D6216" i="106" s="1"/>
  <c r="B3254" i="106"/>
  <c r="D3254" i="106" s="1"/>
  <c r="B1308" i="106"/>
  <c r="D1308" i="106" s="1"/>
  <c r="E174" i="29"/>
  <c r="B1309" i="106" s="1"/>
  <c r="D1309" i="106" s="1"/>
  <c r="B1126" i="106"/>
  <c r="D1126" i="106" s="1"/>
  <c r="K28" i="118"/>
  <c r="O27" i="118" s="1"/>
  <c r="O29" i="118" s="1"/>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2031" i="106"/>
  <c r="D2031" i="106" s="1"/>
  <c r="L16" i="11"/>
  <c r="B2061" i="106" s="1"/>
  <c r="D2061" i="106" s="1"/>
  <c r="B7618" i="106"/>
  <c r="L14" i="11"/>
  <c r="B7623" i="106" s="1"/>
  <c r="D7252" i="106"/>
  <c r="D7250" i="106"/>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55" i="106"/>
  <c r="D7254" i="106"/>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B1770" i="106" l="1"/>
  <c r="D1770" i="106" s="1"/>
  <c r="H5" i="12"/>
  <c r="L114" i="29"/>
  <c r="I151" i="29"/>
  <c r="F59" i="34" s="1"/>
  <c r="J151" i="29"/>
  <c r="B7052" i="106" s="1"/>
  <c r="D7052" i="106" s="1"/>
  <c r="D51" i="36"/>
  <c r="I7" i="4"/>
  <c r="B4444" i="106" s="1"/>
  <c r="D4444" i="106" s="1"/>
  <c r="B7235" i="106"/>
  <c r="D7235" i="106" s="1"/>
  <c r="K365" i="29"/>
  <c r="B7243" i="106" s="1"/>
  <c r="D7243" i="106" s="1"/>
  <c r="C367" i="29"/>
  <c r="B3622" i="106" s="1"/>
  <c r="D3622" i="106" s="1"/>
  <c r="B7215" i="106"/>
  <c r="D7215" i="106" s="1"/>
  <c r="F66" i="34"/>
  <c r="B1381" i="106"/>
  <c r="D1381" i="106" s="1"/>
  <c r="B1365" i="106"/>
  <c r="D1365" i="106" s="1"/>
  <c r="F65" i="34"/>
  <c r="B1317" i="106"/>
  <c r="D1317" i="106" s="1"/>
  <c r="H151" i="29"/>
  <c r="B1273" i="106" s="1"/>
  <c r="D1273" i="106" s="1"/>
  <c r="F41" i="108"/>
  <c r="G43" i="108" s="1"/>
  <c r="D41" i="108"/>
  <c r="E43" i="108" s="1"/>
  <c r="H77" i="4"/>
  <c r="B3299" i="106" s="1"/>
  <c r="D3299" i="106" s="1"/>
  <c r="K77" i="4"/>
  <c r="B3587" i="106" s="1"/>
  <c r="D3587" i="106" s="1"/>
  <c r="B5778" i="106"/>
  <c r="D5778" i="106" s="1"/>
  <c r="G6" i="4"/>
  <c r="B2604" i="106" s="1"/>
  <c r="D2604" i="106" s="1"/>
  <c r="C151" i="29"/>
  <c r="B1226" i="106" s="1"/>
  <c r="D1226" i="106" s="1"/>
  <c r="I26" i="12"/>
  <c r="B7741" i="106" s="1"/>
  <c r="D7741" i="106" s="1"/>
  <c r="B1996" i="106"/>
  <c r="D1996" i="106" s="1"/>
  <c r="D7256" i="106"/>
  <c r="D7251" i="106"/>
  <c r="C114" i="29"/>
  <c r="B757" i="106" s="1"/>
  <c r="D757" i="106" s="1"/>
  <c r="K342" i="29"/>
  <c r="F13" i="34" s="1"/>
  <c r="B5770" i="106"/>
  <c r="D5770" i="106" s="1"/>
  <c r="B1328" i="106"/>
  <c r="D1328" i="106" s="1"/>
  <c r="D7253" i="106"/>
  <c r="B5527" i="106"/>
  <c r="D5527" i="106" s="1"/>
  <c r="B3568" i="106"/>
  <c r="D3568" i="106" s="1"/>
  <c r="D52" i="36"/>
  <c r="D44" i="36"/>
  <c r="F174" i="34"/>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051" i="106" l="1"/>
  <c r="D7051" i="106" s="1"/>
  <c r="B1972" i="106"/>
  <c r="D1972" i="106" s="1"/>
  <c r="H12" i="12"/>
  <c r="H14" i="12" s="1"/>
  <c r="B1145" i="106"/>
  <c r="D1145" i="106" s="1"/>
  <c r="K16" i="4"/>
  <c r="B3574" i="106" s="1"/>
  <c r="D3574" i="106" s="1"/>
  <c r="K367" i="29"/>
  <c r="K368" i="29" s="1"/>
  <c r="B3681" i="106" s="1"/>
  <c r="D3681" i="106" s="1"/>
  <c r="B7224" i="106"/>
  <c r="D7224"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7720" i="106" l="1"/>
  <c r="D7720" i="106" s="1"/>
  <c r="H23" i="12"/>
  <c r="B1982" i="106" s="1"/>
  <c r="D1982" i="106" s="1"/>
  <c r="B1977" i="106"/>
  <c r="D1977" i="106" s="1"/>
  <c r="K17" i="4"/>
  <c r="K19" i="4" s="1"/>
  <c r="B4144" i="106" s="1"/>
  <c r="D4144" i="106" s="1"/>
  <c r="F8" i="4"/>
  <c r="F10" i="4" s="1"/>
  <c r="B4125" i="106" s="1"/>
  <c r="D4125" i="106" s="1"/>
  <c r="J20" i="4"/>
  <c r="B6230" i="106" s="1"/>
  <c r="D6230" i="106" s="1"/>
  <c r="B6223" i="106"/>
  <c r="D6223" i="106" s="1"/>
  <c r="J19" i="4"/>
  <c r="B6229" i="106" s="1"/>
  <c r="D6229"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H24" i="12" l="1"/>
  <c r="H26" i="12" s="1"/>
  <c r="B7740" i="106" s="1"/>
  <c r="D7740" i="106" s="1"/>
  <c r="K20" i="4"/>
  <c r="K78" i="4" s="1"/>
  <c r="B2595" i="106"/>
  <c r="D2595" i="106" s="1"/>
  <c r="D8" i="146"/>
  <c r="J78" i="4"/>
  <c r="B6263" i="106" s="1"/>
  <c r="D6263" i="106"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F175" i="34" l="1"/>
  <c r="F79" i="34"/>
  <c r="B1983" i="106"/>
  <c r="D1983" i="106" s="1"/>
  <c r="J81" i="4"/>
  <c r="B3576" i="106"/>
  <c r="D3576" i="106" s="1"/>
  <c r="F8" i="146"/>
  <c r="D78" i="4"/>
  <c r="D81" i="4" s="1"/>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E78" i="4"/>
  <c r="B2636" i="106"/>
  <c r="D2636" i="106" s="1"/>
  <c r="D64" i="36" l="1"/>
  <c r="B6266" i="106"/>
  <c r="D6266" i="106" s="1"/>
  <c r="J82" i="4"/>
  <c r="B6274" i="106" s="1"/>
  <c r="D6274" i="106" s="1"/>
  <c r="F10" i="146"/>
  <c r="B3239" i="106"/>
  <c r="D3239"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D82" i="4"/>
  <c r="B1644" i="106"/>
  <c r="D1644" i="106" s="1"/>
  <c r="D58" i="36"/>
  <c r="C11" i="146"/>
  <c r="J83" i="4" l="1"/>
  <c r="B6283" i="106" s="1"/>
  <c r="D6283" i="106" s="1"/>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<sst xmlns="http://schemas.openxmlformats.org/spreadsheetml/2006/main" count="6885" uniqueCount="3178">
  <si>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</si>
  <si>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</si>
  <si>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</si>
  <si>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</si>
  <si>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</si>
  <si>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</si>
  <si>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</si>
  <si>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</si>
  <si>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</si>
  <si>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</si>
  <si>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</si>
  <si>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</si>
  <si>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</si>
  <si>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</si>
  <si>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</si>
  <si>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</si>
  <si>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</si>
  <si>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</si>
  <si>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</si>
  <si>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</si>
  <si>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</si>
  <si>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</si>
  <si>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</si>
  <si>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</si>
  <si>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</si>
  <si>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</si>
  <si>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</si>
  <si>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</si>
  <si>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</si>
  <si>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</si>
  <si>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</si>
  <si>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</si>
  <si>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</si>
  <si>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</si>
  <si>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</si>
  <si>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</si>
  <si>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</si>
  <si>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</si>
  <si>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</si>
  <si>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</si>
  <si>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</si>
  <si>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</si>
  <si>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</si>
  <si>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</si>
  <si>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</si>
  <si>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</si>
  <si>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</si>
  <si>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</si>
  <si>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</si>
  <si>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</si>
  <si>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</si>
  <si>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</si>
  <si>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</si>
  <si>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</si>
  <si>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</si>
  <si>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</si>
  <si>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</si>
  <si>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</si>
  <si>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</si>
  <si>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</si>
  <si>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</si>
  <si>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</si>
  <si>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</si>
  <si>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</si>
  <si>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</si>
  <si>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</si>
  <si>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</si>
  <si>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</si>
  <si>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</si>
  <si>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</si>
  <si>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</si>
  <si>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</si>
  <si>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</si>
  <si>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</si>
  <si>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</si>
  <si>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</si>
  <si>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</si>
  <si>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</si>
  <si>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</si>
  <si>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</si>
  <si>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</si>
  <si>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</si>
  <si>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</si>
  <si>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</si>
  <si>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</si>
  <si>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</si>
  <si>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</si>
  <si>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</si>
  <si>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</si>
  <si>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</si>
  <si>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</si>
  <si>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</si>
  <si>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</si>
  <si>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</si>
  <si>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</si>
  <si>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</si>
  <si>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</si>
  <si>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</si>
  <si>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</si>
  <si>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</si>
  <si>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</si>
  <si>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</si>
  <si>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</si>
  <si>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</si>
  <si>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</si>
  <si>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</si>
  <si>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</si>
  <si>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</si>
  <si>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</si>
  <si>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</si>
  <si>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</si>
  <si>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</si>
  <si>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</si>
  <si>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</si>
  <si>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</si>
  <si>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</si>
  <si>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</si>
  <si>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</si>
  <si>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</si>
  <si>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</si>
  <si>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</si>
  <si>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</si>
  <si>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</si>
  <si>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</si>
  <si>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</si>
  <si>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</si>
  <si>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</si>
  <si>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</si>
  <si>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</si>
  <si>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</si>
  <si>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</si>
  <si>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</si>
  <si>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</si>
  <si>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</si>
  <si>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</si>
  <si>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</si>
  <si>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</si>
  <si>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</si>
  <si>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</si>
  <si>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</si>
  <si>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</si>
  <si>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</si>
  <si>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</si>
  <si>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</si>
  <si>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</si>
  <si>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</si>
  <si>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</si>
  <si>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</si>
  <si>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</si>
  <si>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</si>
  <si>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</si>
  <si>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</si>
  <si>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</si>
  <si>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</si>
  <si>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</si>
  <si>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</si>
  <si>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</si>
  <si>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</si>
  <si>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</si>
  <si>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</si>
  <si>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</si>
  <si>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</si>
  <si>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</si>
  <si>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</si>
  <si>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</si>
  <si>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</si>
  <si>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</si>
  <si>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</si>
  <si>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</si>
  <si>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</si>
  <si>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</si>
  <si>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</si>
  <si>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</si>
  <si>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</si>
  <si>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</si>
  <si>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</si>
  <si>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</si>
  <si>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</si>
  <si>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</si>
  <si>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</si>
  <si>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</si>
  <si>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</si>
  <si>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</si>
  <si>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</si>
  <si>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</si>
  <si>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</si>
  <si>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</si>
  <si>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</si>
  <si>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</si>
  <si>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</si>
  <si>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</si>
  <si>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</si>
  <si>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</si>
  <si>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</si>
  <si>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</si>
  <si>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</si>
  <si>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</si>
  <si>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</si>
  <si>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</si>
  <si>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</si>
  <si>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</si>
  <si>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</si>
  <si>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</si>
  <si>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</si>
  <si>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</si>
  <si>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</si>
  <si>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</si>
  <si>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</si>
  <si>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</si>
  <si>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</si>
  <si>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</si>
  <si>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</si>
  <si>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</si>
  <si>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</si>
  <si>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</si>
  <si>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</si>
  <si>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</si>
  <si>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</si>
  <si>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</si>
  <si>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</si>
  <si>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</si>
  <si>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</si>
  <si>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</si>
  <si>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</si>
  <si>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</si>
  <si>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</si>
  <si>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</si>
  <si>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</si>
  <si>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</si>
  <si>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</si>
  <si>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</si>
  <si>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</si>
  <si>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</si>
  <si>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</si>
  <si>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</si>
  <si>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</si>
  <si>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</si>
  <si>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</si>
  <si>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</si>
  <si>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</si>
  <si>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</si>
  <si>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</si>
  <si>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</si>
  <si>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</si>
  <si>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</si>
  <si>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</si>
  <si>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</si>
  <si>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</si>
  <si>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</si>
  <si>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</si>
  <si>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</si>
  <si>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</si>
  <si>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</si>
  <si>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</si>
  <si>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</si>
  <si>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</si>
  <si>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</si>
  <si>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</si>
  <si>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</si>
  <si>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</si>
  <si>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</si>
  <si>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</si>
  <si>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</si>
  <si>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</si>
  <si>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</si>
  <si>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</si>
  <si>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</si>
  <si>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</si>
  <si>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</si>
  <si>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</si>
  <si>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</si>
  <si>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</si>
  <si>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</si>
  <si>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</si>
  <si>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</si>
  <si>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</si>
  <si>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</si>
  <si>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</si>
  <si>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</si>
  <si>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</si>
  <si>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</si>
  <si>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</si>
  <si>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</si>
  <si>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</si>
  <si>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</si>
  <si>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</si>
  <si>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</si>
  <si>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</si>
  <si>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</si>
  <si>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</si>
  <si>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</si>
  <si>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</si>
  <si>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</si>
  <si>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</si>
  <si>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</si>
  <si>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</si>
  <si>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</si>
  <si>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</si>
  <si>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</si>
  <si>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</si>
  <si>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</si>
  <si>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</si>
  <si>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</si>
  <si>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</si>
  <si>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</si>
  <si>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</si>
  <si>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</si>
  <si>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</si>
  <si>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</si>
  <si>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</si>
  <si>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</si>
  <si>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</si>
  <si>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</si>
  <si>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</si>
  <si>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</si>
  <si>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</si>
  <si>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</si>
  <si>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</si>
  <si>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</si>
  <si>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</si>
  <si>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</si>
  <si>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</si>
  <si>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</si>
  <si>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</si>
  <si>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</si>
  <si>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</si>
  <si>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</si>
  <si>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</si>
  <si>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</si>
  <si>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</si>
  <si>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</si>
  <si>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</si>
  <si>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</si>
  <si>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</si>
  <si>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</si>
  <si>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</si>
  <si>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</si>
  <si>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</si>
  <si>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</si>
  <si>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</si>
  <si>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</si>
  <si>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</si>
  <si>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</si>
  <si>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</si>
  <si>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</si>
  <si>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</si>
  <si>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</si>
  <si>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</si>
  <si>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</si>
  <si>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</si>
  <si>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</si>
  <si>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</si>
  <si>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</si>
  <si>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</si>
  <si>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</si>
  <si>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</si>
  <si>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</si>
  <si>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</si>
  <si>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</si>
  <si>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</si>
  <si>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</si>
  <si>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</si>
  <si>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</si>
  <si>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</si>
  <si>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</si>
  <si>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</si>
  <si>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</si>
  <si>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</si>
  <si>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</si>
  <si>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</si>
  <si>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</si>
  <si>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</si>
  <si>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</si>
  <si>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</si>
  <si>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</si>
  <si>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</si>
  <si>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</si>
  <si>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</si>
  <si>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</si>
  <si>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</si>
  <si>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</si>
  <si>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</si>
  <si>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</si>
  <si>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</si>
  <si>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</si>
  <si>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</si>
  <si>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</si>
  <si>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</si>
  <si>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</si>
  <si>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</si>
  <si>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</si>
  <si>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</si>
  <si>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</si>
  <si>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</si>
  <si>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</si>
  <si>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</si>
  <si>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</si>
  <si>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</si>
  <si>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</si>
  <si>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</si>
  <si>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</si>
  <si>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</si>
  <si>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</si>
  <si>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</si>
  <si>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</si>
  <si>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</si>
  <si>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</si>
  <si>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</si>
  <si>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</si>
  <si>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</si>
  <si>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</si>
  <si>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</si>
  <si>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</si>
  <si>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</si>
  <si>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</si>
  <si>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</si>
  <si>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</si>
  <si>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</si>
  <si>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</si>
  <si>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</si>
  <si>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</si>
  <si>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</si>
  <si>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</si>
  <si>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</si>
  <si>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</si>
  <si>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</si>
  <si>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</si>
  <si>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</si>
  <si>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</si>
  <si>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</si>
  <si>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</si>
  <si>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</si>
  <si>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</si>
  <si>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</si>
  <si>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</si>
  <si>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</si>
  <si>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</si>
  <si>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</si>
  <si>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</si>
  <si>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</si>
  <si>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</si>
  <si>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</si>
  <si>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</si>
  <si>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</si>
  <si>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</si>
  <si>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</si>
  <si>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</si>
  <si>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</si>
  <si>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</si>
  <si>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</si>
  <si>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</si>
  <si>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</si>
  <si>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</si>
  <si>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</si>
  <si>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</si>
  <si>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</si>
  <si>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</si>
  <si>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</si>
  <si>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</si>
  <si>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</si>
  <si>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</si>
  <si>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</si>
  <si>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</si>
  <si>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</si>
  <si>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</si>
  <si>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</si>
  <si>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</si>
  <si>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</si>
  <si>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</si>
  <si>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</si>
  <si>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</si>
  <si>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</si>
  <si>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</si>
  <si>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</si>
  <si>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</si>
  <si>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</si>
  <si>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</si>
  <si>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</si>
  <si>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</si>
  <si>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</si>
  <si>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</si>
  <si>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</si>
  <si>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</si>
  <si>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</si>
  <si>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</si>
  <si>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</si>
  <si>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</si>
  <si>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</si>
  <si>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</si>
  <si>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</si>
  <si>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</si>
  <si>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</si>
  <si>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</si>
  <si>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</si>
  <si>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</si>
  <si>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</si>
  <si>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</si>
  <si>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</si>
  <si>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</si>
  <si>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</si>
  <si>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</si>
  <si>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</si>
  <si>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</si>
  <si>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</si>
  <si>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</si>
  <si>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</si>
  <si>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</si>
  <si>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</si>
  <si>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</si>
  <si>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</si>
  <si>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</si>
  <si>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</si>
  <si>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</si>
  <si>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</si>
  <si>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</si>
  <si>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</si>
  <si>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</si>
  <si>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</si>
  <si>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</si>
  <si>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</si>
  <si>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</si>
  <si>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</si>
  <si>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</si>
  <si>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</si>
  <si>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</si>
  <si>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</si>
  <si>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</si>
  <si>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</si>
  <si>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</si>
  <si>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</si>
  <si>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</si>
  <si>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</si>
  <si>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</si>
  <si>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</si>
  <si>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</si>
  <si>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</si>
  <si>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</si>
  <si>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</si>
  <si>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</si>
  <si>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</si>
  <si>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</si>
  <si>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</si>
  <si>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</si>
  <si>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</si>
  <si>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</si>
  <si>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</si>
  <si>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</si>
  <si>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</si>
  <si>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</si>
  <si>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</si>
  <si>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</si>
  <si>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</si>
  <si>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</si>
  <si>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</si>
  <si>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</si>
  <si>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</si>
  <si>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</si>
  <si>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</si>
  <si>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</si>
  <si>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</si>
  <si>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</si>
  <si>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</si>
  <si>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</si>
  <si>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</si>
  <si>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</si>
  <si>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</si>
  <si>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</si>
  <si>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</si>
  <si>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</si>
  <si>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</si>
  <si>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</si>
  <si>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</si>
  <si>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</si>
  <si>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</si>
  <si>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</si>
  <si>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</si>
  <si>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</si>
  <si>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</si>
  <si>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</si>
  <si>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</si>
  <si>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</si>
  <si>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</si>
  <si>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</si>
  <si>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</si>
  <si>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</si>
  <si>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</si>
  <si>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</si>
  <si>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</si>
  <si>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</si>
  <si>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</si>
  <si>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</si>
  <si>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</si>
  <si>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</si>
  <si>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</si>
  <si>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</si>
  <si>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</si>
  <si>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</si>
  <si>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</si>
  <si>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</si>
  <si>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</si>
  <si>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</si>
  <si>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</si>
  <si>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</si>
  <si>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</si>
  <si>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</si>
  <si>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</si>
  <si>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</si>
  <si>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</si>
  <si>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</si>
  <si>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</si>
  <si>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</si>
  <si>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</si>
  <si>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</si>
  <si>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</si>
  <si>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</si>
  <si>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</si>
  <si>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</si>
  <si>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</si>
  <si>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</si>
  <si>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</si>
  <si>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</si>
  <si>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</si>
  <si>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</si>
  <si>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</si>
  <si>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</si>
  <si>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</si>
  <si>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</si>
  <si>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</si>
  <si>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</si>
  <si>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</si>
  <si>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</si>
  <si>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</si>
  <si>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</si>
  <si>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</si>
  <si>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</si>
  <si>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</si>
  <si>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</si>
  <si>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</si>
  <si>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</si>
  <si>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</si>
  <si>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</si>
  <si>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</si>
  <si>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</si>
  <si>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</si>
  <si>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</si>
  <si>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</si>
  <si>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</si>
  <si>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</si>
  <si>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</si>
  <si>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</si>
  <si>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</si>
  <si>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</si>
  <si>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</si>
  <si>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</si>
  <si>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</si>
  <si>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</si>
  <si>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</si>
  <si>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</si>
  <si>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</si>
  <si>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</si>
  <si>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</si>
  <si>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</si>
  <si>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</si>
  <si>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</si>
  <si>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</si>
  <si>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</si>
  <si>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</si>
  <si>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</si>
  <si>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</si>
  <si>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</si>
  <si>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</si>
  <si>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</si>
  <si>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</si>
  <si>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</si>
  <si>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</si>
  <si>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</si>
  <si>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</si>
  <si>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</si>
  <si>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</si>
  <si>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</si>
  <si>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</si>
  <si>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</si>
  <si>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</si>
  <si>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</si>
  <si>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</si>
  <si>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</si>
  <si>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</si>
  <si>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</si>
  <si>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</si>
  <si>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</si>
  <si>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</si>
  <si>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</si>
  <si>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</si>
  <si>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</si>
  <si>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</si>
  <si>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</si>
  <si>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</si>
  <si>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</si>
  <si>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</si>
  <si>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</si>
  <si>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</si>
  <si>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</si>
  <si>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</si>
  <si>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</si>
  <si>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</si>
  <si>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</si>
  <si>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</si>
  <si>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</si>
  <si>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</si>
  <si>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</si>
  <si>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</si>
  <si>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</si>
  <si>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</si>
  <si>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</si>
  <si>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</si>
  <si>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</si>
  <si>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</si>
  <si>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</si>
  <si>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</si>
  <si>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</si>
  <si>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</si>
  <si>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</si>
  <si>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</si>
  <si>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</si>
  <si>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</si>
  <si>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</si>
  <si>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</si>
  <si>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</si>
  <si>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</si>
  <si>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</si>
  <si>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</si>
  <si>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</si>
  <si>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</si>
  <si>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</si>
  <si>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</si>
  <si>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</si>
  <si>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</si>
  <si>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</si>
  <si>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</si>
  <si>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</si>
  <si>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</si>
  <si>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</si>
  <si>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</si>
  <si>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</si>
  <si>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</si>
  <si>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</si>
  <si>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</si>
  <si>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</si>
  <si>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</si>
  <si>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</si>
  <si>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</si>
  <si>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</si>
  <si>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</si>
  <si>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</si>
  <si>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</si>
  <si>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</si>
  <si>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</si>
  <si>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</si>
  <si>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</si>
  <si>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</si>
  <si>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</si>
  <si>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</si>
  <si>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</si>
  <si>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</si>
  <si>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</si>
  <si>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</si>
  <si>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</si>
  <si>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</si>
  <si>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</si>
  <si>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</si>
  <si>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</si>
  <si>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</si>
  <si>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</si>
  <si>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</si>
  <si>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</si>
  <si>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</si>
  <si>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</si>
  <si>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</si>
  <si>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</si>
  <si>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</si>
  <si>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</si>
  <si>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</si>
  <si>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</si>
  <si>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</si>
  <si>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</si>
  <si>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</si>
  <si>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</si>
  <si>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</si>
  <si>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</si>
  <si>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</si>
  <si>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</si>
  <si>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</si>
  <si>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</si>
  <si>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</si>
  <si>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</si>
  <si>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</si>
  <si>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</si>
  <si>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</si>
  <si>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</si>
  <si>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</si>
  <si>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</si>
  <si>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</si>
  <si>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</si>
  <si>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</si>
  <si>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</si>
  <si>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</si>
  <si>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</si>
  <si>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</si>
  <si>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</si>
  <si>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</si>
  <si>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</si>
  <si>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</si>
  <si>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</si>
  <si>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</si>
  <si>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</si>
  <si>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</si>
  <si>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</si>
  <si>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</si>
  <si>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</si>
  <si>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</si>
  <si>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</si>
  <si>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</si>
  <si>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</si>
  <si>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</si>
  <si>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</si>
  <si>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</si>
  <si>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</si>
  <si>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</si>
  <si>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</si>
  <si>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</si>
  <si>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</si>
  <si>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</si>
  <si>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</si>
  <si>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</si>
  <si>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</si>
  <si>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</si>
  <si>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</si>
  <si>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</si>
  <si>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</si>
  <si>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</si>
  <si>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</si>
  <si>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</si>
  <si>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</si>
  <si>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</si>
  <si>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</si>
  <si>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</si>
  <si>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</si>
  <si>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</si>
  <si>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</si>
  <si>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</si>
  <si>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</si>
  <si>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</si>
  <si>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</si>
  <si>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</si>
  <si>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</si>
  <si>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</si>
  <si>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</si>
  <si>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</si>
  <si>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</si>
  <si>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</si>
  <si>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</si>
  <si>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</si>
  <si>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</si>
  <si>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</si>
  <si>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</si>
  <si>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</si>
  <si>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</si>
  <si>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</si>
  <si>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</si>
  <si>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</si>
  <si>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</si>
  <si>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</si>
  <si>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</si>
  <si>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</si>
  <si>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</si>
  <si>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</si>
  <si>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</si>
  <si>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</si>
  <si>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</si>
  <si>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</si>
  <si>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</si>
  <si>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</si>
  <si>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</si>
  <si>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</si>
  <si>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</si>
  <si>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</si>
  <si>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</si>
  <si>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</si>
  <si>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</si>
  <si>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</si>
  <si>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</si>
  <si>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</si>
  <si>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</si>
  <si>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</si>
  <si>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</si>
  <si>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</si>
  <si>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</si>
  <si>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</si>
  <si>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</si>
  <si>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</si>
  <si>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</si>
  <si>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</si>
  <si>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</si>
  <si>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</si>
  <si>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</si>
  <si>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</si>
  <si>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</si>
  <si>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</si>
  <si>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</si>
  <si>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</si>
  <si>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</si>
  <si>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</si>
  <si>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</si>
  <si>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</si>
  <si>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</si>
  <si>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</si>
  <si>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</si>
  <si>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</si>
  <si>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</si>
  <si>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</si>
  <si>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</si>
  <si>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</si>
  <si>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</si>
  <si>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</si>
  <si>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</si>
  <si>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</si>
  <si>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</si>
  <si>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</si>
  <si>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</si>
  <si>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</si>
  <si>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</si>
  <si>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</si>
  <si>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</si>
  <si>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</si>
  <si>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</si>
  <si>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</si>
  <si>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</si>
  <si>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</si>
  <si>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</si>
  <si>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</si>
  <si>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</si>
  <si>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</si>
  <si>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</si>
  <si>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</si>
  <si>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</si>
  <si>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</si>
  <si>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</si>
  <si>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</si>
  <si>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</si>
  <si>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</si>
  <si>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</si>
  <si>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</si>
  <si>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</si>
  <si>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</si>
  <si>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</si>
  <si>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</si>
  <si>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</si>
  <si>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</si>
  <si>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</si>
  <si>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</si>
  <si>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</si>
  <si>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</si>
  <si>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</si>
  <si>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</si>
  <si>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</si>
  <si>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</si>
  <si>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</si>
  <si>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</si>
  <si>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</si>
  <si>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</si>
  <si>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</si>
  <si>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</si>
  <si>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</si>
  <si>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</si>
  <si>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</si>
  <si>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</si>
  <si>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</si>
  <si>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</si>
  <si>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</si>
  <si>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</si>
  <si>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</si>
  <si>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</si>
  <si>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</si>
  <si>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</si>
  <si>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</si>
  <si>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</si>
  <si>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</si>
  <si>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</si>
  <si>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</si>
  <si>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</si>
  <si>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</si>
  <si>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</si>
  <si>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</si>
  <si>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</si>
  <si>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</si>
  <si>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</si>
  <si>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</si>
  <si>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</si>
  <si>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</si>
  <si>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</si>
  <si>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</si>
  <si>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</si>
  <si>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</si>
  <si>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</si>
  <si>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</si>
  <si>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</si>
  <si>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</si>
  <si>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</si>
  <si>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</si>
  <si>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</si>
  <si>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</si>
  <si>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</si>
  <si>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</si>
  <si>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</si>
  <si>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</si>
  <si>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</si>
  <si>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</si>
  <si>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</si>
  <si>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</si>
  <si>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</si>
  <si>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</si>
  <si>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</si>
  <si>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</si>
  <si>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</si>
  <si>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</si>
  <si>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</si>
  <si>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</si>
  <si>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</si>
  <si>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</si>
  <si>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</si>
  <si>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</si>
  <si>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</si>
  <si>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</si>
  <si>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</si>
  <si>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</si>
  <si>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</si>
  <si>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</si>
  <si>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</si>
  <si>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</si>
  <si>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</si>
  <si>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</si>
  <si>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</si>
  <si>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</si>
  <si>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</si>
  <si>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</si>
  <si>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</si>
  <si>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</si>
  <si>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</si>
  <si>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</si>
  <si>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</si>
  <si>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</si>
  <si>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</si>
  <si>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</si>
  <si>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</si>
  <si>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</si>
  <si>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</si>
  <si>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</si>
  <si>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</si>
  <si>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</si>
  <si>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</si>
  <si>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</si>
  <si>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</si>
  <si>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</si>
  <si>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</si>
  <si>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</si>
  <si>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</si>
  <si>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</si>
  <si>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</si>
  <si>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</si>
  <si>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</si>
  <si>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</si>
  <si>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</si>
  <si>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</si>
  <si>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</si>
  <si>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</si>
  <si>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</si>
  <si>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</si>
  <si>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</si>
  <si>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</si>
  <si>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</si>
  <si>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</si>
  <si>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</si>
  <si>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</si>
  <si>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</si>
  <si>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</si>
  <si>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</si>
  <si>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</si>
  <si>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</si>
  <si>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</si>
  <si>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</si>
  <si>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</si>
  <si>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</si>
  <si>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</si>
  <si>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</si>
  <si>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</si>
  <si>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</si>
  <si>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</si>
  <si>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</si>
  <si>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</si>
  <si>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</si>
  <si>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</si>
  <si>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</si>
  <si>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</si>
  <si>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</si>
  <si>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</si>
  <si>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</si>
  <si>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</si>
  <si>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</si>
  <si>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</si>
  <si>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</si>
  <si>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</si>
  <si>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</si>
  <si>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</si>
  <si>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</si>
  <si>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</si>
  <si>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</si>
  <si>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</si>
  <si>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</si>
  <si>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</si>
  <si>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</si>
  <si>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</si>
  <si>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</si>
  <si>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</si>
  <si>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</si>
  <si>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</si>
  <si>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</si>
  <si>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</si>
  <si>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</si>
  <si>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</si>
  <si>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</si>
  <si>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</si>
  <si>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</si>
  <si>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</si>
  <si>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</si>
  <si>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</si>
  <si>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</si>
  <si>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</si>
  <si>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</si>
  <si>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</si>
  <si>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</si>
  <si>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</si>
  <si>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</si>
  <si>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</si>
  <si>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</si>
  <si>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</si>
  <si>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</si>
  <si>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</si>
  <si>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</si>
  <si>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</si>
  <si>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</si>
  <si>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</si>
  <si>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</si>
  <si>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</si>
  <si>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</si>
  <si>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</si>
  <si>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</si>
  <si>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</si>
  <si>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</si>
  <si>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</si>
  <si>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</si>
  <si>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</si>
  <si>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</si>
  <si>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</si>
  <si>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</si>
  <si>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</si>
  <si>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</si>
  <si>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</si>
  <si>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</si>
  <si>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</si>
  <si>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</si>
  <si>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</si>
  <si>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</si>
  <si>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</si>
  <si>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</si>
  <si>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</si>
  <si>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</si>
  <si>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</si>
  <si>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</si>
  <si>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</si>
  <si>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</si>
  <si>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</si>
  <si>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</si>
  <si>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</si>
  <si>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</si>
  <si>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</si>
  <si>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</si>
  <si>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</si>
  <si>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</si>
  <si>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</si>
  <si>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</si>
  <si>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</si>
  <si>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</si>
  <si>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</si>
  <si>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</si>
  <si>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</si>
  <si>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</si>
  <si>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</si>
  <si>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</si>
  <si>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</si>
  <si>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</si>
  <si>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</si>
  <si>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</si>
  <si>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</si>
  <si>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</si>
  <si>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</si>
  <si>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</si>
  <si>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</si>
  <si>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</si>
  <si>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</si>
  <si>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</si>
  <si>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</si>
  <si>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</si>
  <si>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</si>
  <si>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</si>
  <si>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</si>
  <si>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</si>
  <si>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</si>
  <si>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</si>
  <si>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</si>
  <si>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</si>
  <si>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</si>
  <si>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</si>
  <si>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</si>
  <si>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</si>
  <si>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</si>
  <si>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</si>
  <si>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</si>
  <si>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</si>
  <si>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</si>
  <si>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</si>
  <si>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</si>
  <si>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</si>
  <si>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</si>
  <si>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</si>
  <si>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</si>
  <si>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</si>
  <si>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</si>
  <si>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</si>
  <si>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</si>
  <si>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</si>
  <si>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</si>
  <si>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</si>
  <si>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</si>
  <si>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</si>
  <si>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</si>
  <si>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</si>
  <si>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</si>
  <si>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</si>
  <si>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</si>
  <si>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</si>
  <si>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</si>
  <si>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</si>
  <si>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</si>
  <si>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</si>
  <si>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</si>
  <si>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</si>
  <si>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</si>
  <si>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</si>
  <si>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</si>
  <si>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</si>
  <si>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</si>
  <si>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</si>
  <si>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</si>
  <si>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</si>
  <si>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</si>
  <si>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</si>
  <si>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</si>
  <si>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</si>
  <si>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</si>
  <si>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</si>
  <si>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</si>
  <si>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</si>
  <si>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</si>
  <si>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</si>
  <si>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</si>
  <si>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</si>
  <si>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</si>
  <si>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</si>
  <si>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</si>
  <si>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</si>
  <si>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</si>
  <si>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</si>
  <si>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</si>
  <si>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</si>
  <si>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</si>
  <si>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</si>
  <si>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</si>
  <si>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</si>
  <si>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</si>
  <si>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</si>
  <si>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</si>
  <si>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</si>
  <si>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</si>
  <si>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</si>
  <si>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</si>
  <si>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</si>
  <si>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</si>
  <si>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</si>
  <si>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</si>
  <si>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</si>
  <si>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</si>
  <si>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</si>
  <si>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</si>
  <si>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</si>
  <si>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</si>
  <si>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</si>
  <si>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</si>
  <si>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</si>
  <si>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</si>
  <si>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</si>
  <si>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</si>
  <si>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</si>
  <si>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</si>
  <si>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</si>
  <si>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</si>
  <si>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</si>
  <si>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</si>
  <si>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</si>
  <si>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</si>
  <si>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</si>
  <si>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</si>
  <si>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</si>
  <si>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</si>
  <si>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</si>
  <si>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</si>
  <si>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</si>
  <si>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</si>
  <si>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</si>
  <si>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</si>
  <si>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</si>
  <si>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</si>
  <si>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</si>
  <si>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</si>
  <si>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</si>
  <si>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</si>
  <si>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</si>
  <si>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</si>
  <si>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</si>
  <si>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</si>
  <si>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</si>
  <si>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</si>
  <si>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</si>
  <si>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</si>
  <si>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</si>
  <si>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</si>
  <si>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</si>
  <si>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</si>
  <si>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</si>
  <si>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</si>
  <si>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</si>
  <si>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</si>
  <si>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</si>
  <si>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</si>
  <si>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</si>
  <si>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</si>
  <si>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</si>
  <si>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</si>
  <si>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</si>
  <si>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</si>
  <si>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</si>
  <si>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</si>
  <si>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</si>
  <si>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</si>
  <si>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</si>
  <si>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</si>
  <si>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</si>
  <si>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</si>
  <si>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</si>
  <si>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</si>
  <si>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</si>
  <si>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</si>
  <si>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</si>
  <si>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</si>
  <si>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</si>
  <si>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</si>
  <si>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</si>
  <si>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</si>
  <si>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</si>
  <si>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</si>
  <si>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</si>
  <si>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</si>
  <si>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</si>
  <si>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</si>
  <si>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</si>
  <si>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</si>
  <si>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</si>
  <si>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</si>
  <si>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</si>
  <si>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</si>
  <si>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</si>
  <si>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</si>
  <si>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</si>
  <si>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</si>
  <si>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</si>
  <si>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</si>
  <si>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</si>
  <si>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</si>
  <si>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</si>
  <si>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</si>
  <si>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</si>
  <si>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</si>
  <si>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</si>
  <si>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</si>
  <si>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</si>
  <si>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</si>
  <si>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</si>
  <si>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</si>
  <si>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</si>
  <si>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</si>
  <si>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</si>
  <si>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</si>
  <si>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</si>
  <si>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</si>
  <si>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</si>
  <si>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</si>
  <si>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</si>
  <si>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</si>
  <si>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</si>
  <si>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</si>
  <si>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</si>
  <si>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</si>
  <si>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</si>
  <si>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</si>
  <si>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</si>
  <si>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</si>
  <si>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</si>
  <si>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</si>
  <si>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</si>
  <si>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</si>
  <si>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</si>
  <si>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</si>
  <si>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</si>
  <si>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</si>
  <si>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</si>
  <si>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</si>
  <si>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</si>
  <si>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</si>
  <si>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</si>
  <si>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</si>
  <si>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</si>
  <si>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</si>
  <si>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</si>
  <si>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</si>
  <si>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</si>
  <si>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</si>
  <si>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</si>
  <si>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</si>
  <si>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</si>
  <si>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</si>
  <si>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</si>
  <si>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</si>
  <si>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</si>
  <si>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</si>
  <si>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</si>
  <si>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</si>
  <si>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</si>
  <si>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</si>
  <si>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</si>
  <si>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</si>
  <si>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</si>
  <si>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</si>
  <si>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</si>
  <si>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</si>
  <si>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</si>
  <si>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</si>
  <si>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</si>
  <si>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</si>
  <si>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</si>
  <si>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</si>
  <si>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</si>
  <si>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</si>
  <si>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</si>
  <si>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</si>
  <si>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</si>
  <si>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</si>
  <si>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</si>
  <si>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</si>
  <si>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</si>
  <si>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</si>
  <si>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</si>
  <si>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</si>
  <si>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</si>
  <si>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</si>
  <si>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</si>
  <si>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</si>
  <si>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</si>
  <si>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</si>
  <si>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</si>
  <si>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</si>
  <si>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</si>
  <si>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</si>
  <si>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</si>
  <si>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</si>
  <si>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</si>
  <si>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</si>
  <si>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</si>
  <si>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</si>
  <si>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</si>
  <si>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</si>
  <si>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</si>
  <si>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</si>
  <si>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</si>
  <si>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</si>
  <si>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</si>
  <si>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</si>
  <si>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</si>
  <si>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</si>
  <si>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</si>
  <si>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</si>
  <si>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</si>
  <si>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</si>
  <si>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</si>
  <si>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</si>
  <si>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</si>
  <si>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</si>
  <si>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</si>
  <si>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</si>
  <si>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</si>
  <si>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</si>
  <si>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</si>
  <si>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</si>
  <si>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</si>
  <si>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</si>
  <si>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</si>
  <si>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</si>
  <si>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</si>
  <si>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</si>
  <si>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</si>
  <si>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</si>
  <si>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</si>
  <si>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</si>
  <si>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</si>
  <si>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</si>
  <si>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</si>
  <si>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</si>
  <si>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</si>
  <si>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</si>
  <si>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</si>
  <si>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</si>
  <si>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</si>
  <si>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</si>
  <si>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</si>
  <si>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</si>
  <si>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</si>
  <si>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</si>
  <si>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</si>
  <si>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</si>
  <si>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</si>
  <si>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</si>
  <si>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</si>
  <si>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</si>
  <si>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</si>
  <si>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</si>
  <si>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</si>
  <si>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</si>
  <si>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</si>
  <si>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</si>
  <si>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</si>
  <si>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</si>
  <si>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</si>
  <si>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</si>
  <si>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</si>
  <si>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</si>
  <si>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</si>
  <si>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</si>
  <si>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</si>
  <si>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</si>
  <si>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</si>
  <si>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</si>
  <si>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</si>
  <si>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</si>
  <si>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</si>
  <si>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</si>
  <si>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</si>
  <si>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</si>
  <si>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</si>
  <si>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</si>
  <si>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</si>
  <si>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</si>
  <si>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</si>
  <si>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</si>
  <si>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</si>
  <si>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</si>
  <si>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</si>
  <si>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</si>
  <si>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</si>
  <si>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</si>
  <si>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</si>
  <si>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</si>
  <si>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</si>
  <si>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</si>
  <si>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</si>
  <si>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</si>
  <si>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</si>
  <si>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</si>
  <si>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</si>
  <si>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</si>
  <si>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</si>
  <si>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</si>
  <si>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</si>
  <si>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</si>
  <si>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</si>
  <si>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</si>
  <si>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</si>
  <si>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</si>
  <si>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</si>
  <si>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</si>
  <si>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</si>
  <si>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</si>
  <si>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</si>
  <si>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</si>
  <si>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</si>
  <si>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</si>
  <si>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</si>
  <si>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</si>
  <si>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</si>
  <si>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</si>
  <si>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</si>
  <si>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</si>
  <si>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</si>
  <si>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</si>
  <si>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</si>
  <si>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</si>
  <si>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</si>
  <si>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</si>
  <si>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</si>
  <si>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</si>
  <si>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</si>
  <si>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</si>
  <si>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</si>
  <si>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</si>
  <si>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</si>
  <si>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</si>
  <si>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</si>
  <si>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</si>
  <si>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</si>
  <si>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</si>
  <si>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</si>
  <si>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</si>
  <si>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</si>
  <si>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</si>
  <si>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</si>
  <si>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</si>
  <si>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</si>
  <si>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</si>
  <si>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</si>
  <si>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</si>
  <si>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</si>
  <si>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</si>
  <si>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</si>
  <si>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</si>
  <si>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</si>
  <si>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</si>
  <si>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</si>
  <si>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</si>
  <si>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</si>
  <si>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</si>
  <si>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</si>
  <si>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</si>
  <si>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</si>
  <si>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</si>
  <si>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</si>
  <si>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</si>
  <si>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</si>
  <si>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</si>
  <si>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</si>
  <si>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</si>
  <si>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</si>
  <si>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</si>
  <si>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</si>
  <si>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</si>
  <si>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</si>
  <si>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</si>
  <si>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</si>
  <si>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</si>
  <si>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</si>
  <si>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</si>
  <si>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</si>
  <si>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</si>
  <si>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</si>
  <si>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</si>
  <si>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</si>
  <si>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</si>
  <si>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</si>
  <si>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</si>
  <si>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</si>
  <si>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</si>
  <si>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</si>
  <si>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</si>
  <si>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</si>
  <si>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</si>
  <si>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</si>
  <si>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</si>
  <si>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</si>
  <si>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</si>
  <si>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</si>
  <si>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</si>
  <si>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</si>
  <si>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</si>
  <si>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</si>
  <si>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</si>
  <si>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</si>
  <si>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</si>
  <si>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</si>
  <si>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</si>
  <si>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</si>
  <si>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</si>
  <si>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</si>
  <si>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</si>
  <si>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</si>
  <si>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</si>
  <si>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</si>
  <si>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</si>
  <si>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</si>
  <si>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</si>
  <si>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</si>
  <si>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</si>
  <si>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</si>
  <si>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</si>
  <si>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</si>
  <si>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</si>
  <si>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</si>
  <si>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</si>
  <si>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</si>
  <si>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</si>
  <si>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</si>
  <si>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</si>
  <si>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</si>
  <si>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</si>
  <si>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</si>
  <si>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</si>
  <si>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</si>
  <si>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</si>
  <si>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</si>
  <si>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</si>
  <si>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</si>
  <si>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</si>
  <si>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</si>
  <si>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</si>
  <si>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</si>
  <si>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</si>
  <si>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</si>
  <si>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</si>
  <si>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</si>
  <si>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</si>
  <si>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</si>
  <si>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</si>
  <si>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</si>
  <si>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</si>
  <si>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</si>
  <si>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</si>
  <si>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</si>
  <si>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</si>
  <si>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</si>
  <si>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</si>
  <si>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</si>
  <si>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</si>
  <si>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</si>
  <si>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</si>
  <si>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</si>
  <si>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</si>
  <si>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</si>
  <si>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</si>
  <si>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</si>
  <si>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</si>
  <si>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</si>
  <si>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</si>
  <si>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</si>
  <si>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</si>
  <si>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</si>
  <si>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</si>
  <si>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</si>
  <si>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</si>
  <si>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</si>
  <si>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</si>
  <si>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</si>
  <si>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</si>
  <si>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</si>
  <si>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</si>
  <si>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</si>
  <si>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</si>
  <si>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</si>
  <si>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</si>
  <si>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</si>
  <si>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</si>
  <si>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</si>
  <si>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</si>
  <si>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</si>
  <si>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</si>
  <si>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</si>
  <si>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</si>
  <si>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</si>
  <si>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</si>
  <si>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</si>
  <si>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</si>
  <si>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</si>
  <si>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</si>
  <si>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</si>
  <si>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</si>
  <si>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</si>
  <si>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</si>
  <si>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</si>
  <si>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</si>
  <si>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</si>
  <si>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</si>
  <si>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</si>
  <si>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</si>
  <si>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</si>
  <si>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</si>
  <si>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</si>
  <si>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</si>
  <si>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</si>
  <si>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</si>
  <si>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</si>
  <si>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</si>
  <si>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</si>
  <si>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</si>
  <si>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</si>
  <si>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</si>
  <si>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</si>
  <si>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</si>
  <si>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</si>
  <si>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</si>
  <si>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</si>
  <si>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</si>
  <si>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</si>
  <si>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</si>
  <si>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</si>
  <si>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</si>
  <si>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</si>
  <si>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</si>
  <si>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</si>
  <si>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</si>
  <si>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</si>
  <si>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</si>
  <si>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</si>
  <si>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</si>
  <si>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</si>
  <si>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</si>
  <si>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</si>
  <si>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</si>
  <si>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</si>
  <si>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</si>
  <si>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</si>
  <si>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</si>
  <si>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</si>
  <si>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</si>
  <si>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</si>
  <si>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</si>
  <si>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</si>
  <si>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</si>
  <si>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</si>
  <si>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</si>
  <si>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</si>
  <si>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</si>
  <si>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</si>
  <si>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</si>
  <si>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</si>
  <si>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</si>
  <si>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</si>
  <si>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</si>
  <si>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</si>
  <si>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</si>
  <si>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</si>
  <si>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</si>
  <si>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</si>
  <si>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</si>
  <si>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</si>
  <si>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</si>
  <si>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</si>
  <si>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</si>
  <si>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</si>
  <si>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</si>
  <si>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</si>
  <si>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</si>
  <si>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</si>
  <si>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</si>
  <si>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</si>
  <si>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</si>
  <si>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</si>
  <si>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</si>
  <si>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</si>
  <si>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</si>
  <si>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</si>
  <si>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</si>
  <si>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</si>
  <si>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</si>
  <si>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</si>
  <si>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</si>
  <si>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</si>
  <si>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</si>
  <si>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</si>
  <si>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</si>
  <si>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</si>
  <si>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</si>
  <si>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</si>
  <si>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</si>
  <si>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</si>
  <si>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</si>
  <si>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</si>
  <si>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</si>
  <si>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</si>
  <si>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</si>
  <si>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</si>
  <si>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</si>
  <si>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</si>
  <si>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</si>
  <si>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</si>
  <si>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</si>
  <si>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</si>
  <si>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</si>
  <si>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</si>
  <si>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</si>
  <si>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</si>
  <si>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</si>
  <si>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</si>
  <si>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</si>
  <si>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</si>
  <si>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</si>
  <si>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</si>
  <si>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</si>
  <si>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</si>
  <si>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</si>
  <si>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</si>
  <si>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</si>
  <si>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</si>
  <si>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</si>
  <si>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</si>
  <si>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</si>
  <si>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</si>
  <si>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</si>
  <si>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</si>
  <si>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</si>
  <si>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</si>
  <si>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</si>
  <si>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</si>
  <si>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</si>
  <si>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</si>
  <si>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</si>
  <si>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</si>
  <si>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</si>
  <si>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</si>
  <si>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</si>
  <si>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</si>
  <si>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</si>
  <si>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</si>
  <si>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</si>
  <si>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</si>
  <si>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</si>
  <si>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</si>
  <si>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</si>
  <si>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</si>
  <si>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</si>
  <si>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</si>
  <si>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</si>
  <si>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</si>
  <si>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</si>
  <si>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</si>
  <si>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</si>
  <si>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</si>
  <si>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</si>
  <si>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</si>
  <si>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</si>
  <si>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</si>
  <si>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</si>
  <si>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</si>
  <si>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</si>
  <si>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</si>
  <si>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</si>
  <si>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</si>
  <si>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</si>
  <si>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</si>
  <si>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</si>
  <si>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</si>
  <si>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</si>
  <si>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</si>
  <si>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</si>
  <si>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</si>
  <si>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</si>
  <si>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</si>
  <si>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</si>
  <si>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</si>
  <si>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</si>
  <si>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</si>
  <si>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</si>
  <si>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</si>
  <si>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</si>
  <si>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</si>
  <si>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</si>
  <si>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</si>
  <si>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</si>
  <si>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</si>
  <si>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</si>
  <si>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</si>
  <si>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</si>
  <si>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</si>
  <si>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</si>
  <si>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</si>
  <si>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</si>
  <si>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</si>
  <si>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</si>
  <si>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</si>
  <si>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</si>
  <si>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</si>
  <si>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</si>
  <si>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</si>
  <si>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</si>
  <si>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</si>
  <si>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</si>
  <si>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</si>
  <si>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</si>
  <si>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</si>
  <si>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</si>
  <si>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</si>
  <si>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</si>
  <si>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</si>
  <si>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</si>
  <si>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</si>
  <si>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</si>
  <si>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</si>
  <si>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</si>
  <si>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</si>
  <si>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</si>
  <si>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</si>
  <si>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</si>
  <si>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</si>
  <si>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</si>
  <si>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</si>
  <si>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</si>
  <si>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</si>
  <si>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</si>
  <si>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</si>
  <si>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</si>
  <si>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</si>
  <si>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</si>
  <si>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</si>
  <si>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</si>
  <si>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</si>
  <si>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</si>
  <si>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</si>
  <si>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</si>
  <si>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</si>
  <si>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</si>
  <si>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</si>
  <si>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</si>
  <si>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</si>
  <si>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</si>
  <si>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</si>
  <si>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</si>
  <si>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</si>
  <si>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</si>
  <si>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</si>
  <si>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</si>
  <si>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</si>
  <si>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</si>
  <si>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</si>
  <si>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</si>
  <si>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</si>
  <si>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</si>
  <si>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</si>
  <si>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</si>
  <si>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</si>
  <si>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</si>
  <si>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ROENFELDT &amp; LOCKAS, P.C.</t>
  </si>
  <si>
    <t>x</t>
  </si>
  <si>
    <t>Roenfeldt &amp; Lockas, P.C.</t>
  </si>
  <si>
    <t>Duane K. Lockas, C.P.A.</t>
  </si>
  <si>
    <t>1100 Columbus Street</t>
  </si>
  <si>
    <t>Ottawa</t>
  </si>
  <si>
    <t>Illinois</t>
  </si>
  <si>
    <t>815-433-0464</t>
  </si>
  <si>
    <t>815-433-6464</t>
  </si>
  <si>
    <t>060-003995</t>
  </si>
  <si>
    <t>admin@roenfeldtlockas.com</t>
  </si>
  <si>
    <t>Data!$A:$A</t>
  </si>
  <si>
    <t>Data!$E:$E</t>
  </si>
  <si>
    <r>
      <t xml:space="preserve">Where is the </t>
    </r>
    <r>
      <rPr>
        <b/>
        <u/>
        <sz val="10"/>
        <color rgb="FFFF0000"/>
        <rFont val="Arial"/>
        <family val="2"/>
      </rPr>
      <t>Account Number</t>
    </r>
    <r>
      <rPr>
        <b/>
        <sz val="10"/>
        <rFont val="Arial"/>
        <family val="2"/>
      </rPr>
      <t xml:space="preserve"> on the Data Sheet?</t>
    </r>
  </si>
  <si>
    <r>
      <t xml:space="preserve">Where is the </t>
    </r>
    <r>
      <rPr>
        <b/>
        <u/>
        <sz val="10"/>
        <color rgb="FFFF0000"/>
        <rFont val="Arial"/>
        <family val="2"/>
      </rPr>
      <t>Revenue and Expense</t>
    </r>
    <r>
      <rPr>
        <b/>
        <sz val="10"/>
        <rFont val="Arial"/>
        <family val="2"/>
      </rPr>
      <t xml:space="preserve"> on the Data Sheet?</t>
    </r>
  </si>
  <si>
    <r>
      <t xml:space="preserve">Where is the </t>
    </r>
    <r>
      <rPr>
        <b/>
        <u/>
        <sz val="10"/>
        <color rgb="FFFF0000"/>
        <rFont val="Arial"/>
        <family val="2"/>
      </rPr>
      <t>Assets or Liabilities</t>
    </r>
    <r>
      <rPr>
        <b/>
        <sz val="10"/>
        <rFont val="Arial"/>
        <family val="2"/>
      </rPr>
      <t xml:space="preserve"> on the Data Sheet?</t>
    </r>
  </si>
  <si>
    <t>Data!$F:$F</t>
  </si>
  <si>
    <t>Assets 
&amp;
Liabilities</t>
  </si>
  <si>
    <t>Revenue 
&amp;
Expense</t>
  </si>
  <si>
    <t>Account Number</t>
  </si>
  <si>
    <t>Livingston</t>
  </si>
  <si>
    <t>P.O. Box 290, 39 Main Street</t>
  </si>
  <si>
    <t xml:space="preserve">Saunemin, Illinois </t>
  </si>
  <si>
    <r>
      <t>CORRECTIVE ACTION PLAN FOR CURRENT YEAR AUDIT FINDINGS</t>
    </r>
    <r>
      <rPr>
        <b/>
        <vertAlign val="superscript"/>
        <sz val="9"/>
        <rFont val="Arial"/>
        <family val="2"/>
      </rPr>
      <t>21</t>
    </r>
  </si>
  <si>
    <t>Corrective Action Plan</t>
  </si>
  <si>
    <t>Finding No.:</t>
  </si>
  <si>
    <t>Condition:</t>
  </si>
  <si>
    <t>Plan:</t>
  </si>
  <si>
    <t>Anticipated Date of Completion:</t>
  </si>
  <si>
    <t>Ongoing</t>
  </si>
  <si>
    <t>Name of Contact Person:</t>
  </si>
  <si>
    <t>Management Response:</t>
  </si>
  <si>
    <r>
      <t>21</t>
    </r>
    <r>
      <rPr>
        <sz val="8"/>
        <rFont val="Arial"/>
        <family val="2"/>
      </rPr>
      <t xml:space="preserve">  Must address </t>
    </r>
    <r>
      <rPr>
        <b/>
        <sz val="8"/>
        <rFont val="Arial"/>
        <family val="2"/>
      </rPr>
      <t>each</t>
    </r>
    <r>
      <rPr>
        <sz val="8"/>
        <rFont val="Arial"/>
        <family val="2"/>
      </rPr>
      <t xml:space="preserve"> audit finding  - §200.511 ( c)</t>
    </r>
  </si>
  <si>
    <t>**-Total:-Fund</t>
  </si>
  <si>
    <t>80---Tort</t>
  </si>
  <si>
    <t>80-1510-0000</t>
  </si>
  <si>
    <t>80-1120-0000</t>
  </si>
  <si>
    <t>80-2560-2210</t>
  </si>
  <si>
    <t>80-2560-1100</t>
  </si>
  <si>
    <t>80-2540-2220</t>
  </si>
  <si>
    <t>80-2540-2210</t>
  </si>
  <si>
    <t>80-2540-1100</t>
  </si>
  <si>
    <t>80-2365-3180</t>
  </si>
  <si>
    <t>80-2365-3170</t>
  </si>
  <si>
    <t>80-2365-2111</t>
  </si>
  <si>
    <t>80-2365-2110</t>
  </si>
  <si>
    <t>80-2365-1104</t>
  </si>
  <si>
    <t>80-2365-1000</t>
  </si>
  <si>
    <t>80-2364-3801</t>
  </si>
  <si>
    <t>80-2364-3800</t>
  </si>
  <si>
    <t>80-2362-3800</t>
  </si>
  <si>
    <t>70---Working-C</t>
  </si>
  <si>
    <t>70-1510-0000</t>
  </si>
  <si>
    <t>70-1210-0000</t>
  </si>
  <si>
    <t>70-1115-0000</t>
  </si>
  <si>
    <t>70-1113-0000</t>
  </si>
  <si>
    <t>70-1112-0000</t>
  </si>
  <si>
    <t>70-1111-0000</t>
  </si>
  <si>
    <t>70-1110-0000</t>
  </si>
  <si>
    <t>60---Site-and</t>
  </si>
  <si>
    <t>60-3925-0000</t>
  </si>
  <si>
    <t>60-2530-5000</t>
  </si>
  <si>
    <t>60-2530-3000</t>
  </si>
  <si>
    <t>50---Municipal</t>
  </si>
  <si>
    <t>50-1510-0000</t>
  </si>
  <si>
    <t>50-1230-0000</t>
  </si>
  <si>
    <t>50-1112-0000</t>
  </si>
  <si>
    <t>50-2560-2140</t>
  </si>
  <si>
    <t>50-2560-2130</t>
  </si>
  <si>
    <t>50-2560-2120</t>
  </si>
  <si>
    <t>50-2550-2140</t>
  </si>
  <si>
    <t>50-2550-2130</t>
  </si>
  <si>
    <t>50-2550-2120</t>
  </si>
  <si>
    <t>50-2540-2140</t>
  </si>
  <si>
    <t>50-2540-2130</t>
  </si>
  <si>
    <t>50-2540-2120</t>
  </si>
  <si>
    <t>50-2520-2140</t>
  </si>
  <si>
    <t>50-2520-2130</t>
  </si>
  <si>
    <t>50-2520-2120</t>
  </si>
  <si>
    <t>50-2490-2140</t>
  </si>
  <si>
    <t>50-2410-2140</t>
  </si>
  <si>
    <t>50-2410-2130</t>
  </si>
  <si>
    <t>50-2410-2120</t>
  </si>
  <si>
    <t>50-2365-2140</t>
  </si>
  <si>
    <t>50-2365-2130</t>
  </si>
  <si>
    <t>50-2365-2120</t>
  </si>
  <si>
    <t>50-2320-2140</t>
  </si>
  <si>
    <t>50-2320-2130</t>
  </si>
  <si>
    <t>50-2320-2120</t>
  </si>
  <si>
    <t>50-2313-2140</t>
  </si>
  <si>
    <t>50-2313-2130</t>
  </si>
  <si>
    <t>50-2312-2140</t>
  </si>
  <si>
    <t>50-2312-2130</t>
  </si>
  <si>
    <t>50-2312-2120</t>
  </si>
  <si>
    <t>50-2225-2140</t>
  </si>
  <si>
    <t>50-2225-2130</t>
  </si>
  <si>
    <t>50-1500-2140</t>
  </si>
  <si>
    <t>50-1500-2130</t>
  </si>
  <si>
    <t>50-1500-2120</t>
  </si>
  <si>
    <t>50-1250-2140</t>
  </si>
  <si>
    <t>50-1250-2130</t>
  </si>
  <si>
    <t>50-1250-2120</t>
  </si>
  <si>
    <t>50-1205-2140</t>
  </si>
  <si>
    <t>50-1205-2130</t>
  </si>
  <si>
    <t>50-1205-2120</t>
  </si>
  <si>
    <t>50-1125-2140</t>
  </si>
  <si>
    <t>50-1125-2130</t>
  </si>
  <si>
    <t>50-1125-2120</t>
  </si>
  <si>
    <t>40---Transport</t>
  </si>
  <si>
    <t>40-3510-0000</t>
  </si>
  <si>
    <t>40-3500-0000</t>
  </si>
  <si>
    <t>40-3212-0000</t>
  </si>
  <si>
    <t>40-1510-0000</t>
  </si>
  <si>
    <t>40-1442-0000</t>
  </si>
  <si>
    <t>40-1230-0000</t>
  </si>
  <si>
    <t>40-1113-0000</t>
  </si>
  <si>
    <t>40-1111-0000</t>
  </si>
  <si>
    <t>40-2552-3310</t>
  </si>
  <si>
    <t>40-2550-6400</t>
  </si>
  <si>
    <t>40-2550-5400</t>
  </si>
  <si>
    <t>40-2550-4643</t>
  </si>
  <si>
    <t>40-2550-4642</t>
  </si>
  <si>
    <t>40-2550-4641</t>
  </si>
  <si>
    <t>40-2550-4640</t>
  </si>
  <si>
    <t>40-2550-3310</t>
  </si>
  <si>
    <t>40-2550-2230</t>
  </si>
  <si>
    <t>40-2550-2222</t>
  </si>
  <si>
    <t>40-2550-2220</t>
  </si>
  <si>
    <t>40-2550-2212</t>
  </si>
  <si>
    <t>40-2550-2210</t>
  </si>
  <si>
    <t>40-2550-2200</t>
  </si>
  <si>
    <t>40-2550-2111</t>
  </si>
  <si>
    <t>40-2550-2110</t>
  </si>
  <si>
    <t>40-2550-1104</t>
  </si>
  <si>
    <t>40-2550-1103</t>
  </si>
  <si>
    <t>40-2550-1102</t>
  </si>
  <si>
    <t>40-2550-1100</t>
  </si>
  <si>
    <t>20---Operation</t>
  </si>
  <si>
    <t>20-1920-0000</t>
  </si>
  <si>
    <t>20-1720-0000</t>
  </si>
  <si>
    <t>20-1230-0000</t>
  </si>
  <si>
    <t>20-1112-0000</t>
  </si>
  <si>
    <t>20-1110-0000</t>
  </si>
  <si>
    <t>20-5200-6000</t>
  </si>
  <si>
    <t>20-5150-6000</t>
  </si>
  <si>
    <t>20-5140-6000</t>
  </si>
  <si>
    <t>20-5130-6000</t>
  </si>
  <si>
    <t>20-5120-6000</t>
  </si>
  <si>
    <t>20-5110-6000</t>
  </si>
  <si>
    <t>20-4400-6000</t>
  </si>
  <si>
    <t>20-4190-6000</t>
  </si>
  <si>
    <t>20-4190-3000</t>
  </si>
  <si>
    <t>20-4140-6000</t>
  </si>
  <si>
    <t>20-4140-3000</t>
  </si>
  <si>
    <t>20-4120-6000</t>
  </si>
  <si>
    <t>20-4120-3000</t>
  </si>
  <si>
    <t>20-4110-6000</t>
  </si>
  <si>
    <t>20-4110-3000</t>
  </si>
  <si>
    <t>20-3000-7000</t>
  </si>
  <si>
    <t>20-3000-6000</t>
  </si>
  <si>
    <t>20-3000-4000</t>
  </si>
  <si>
    <t>20-2900-5000</t>
  </si>
  <si>
    <t>20-2560-8000</t>
  </si>
  <si>
    <t>20-2560-7000</t>
  </si>
  <si>
    <t>20-2560-6400</t>
  </si>
  <si>
    <t>20-2560-5000</t>
  </si>
  <si>
    <t>20-2560-4100</t>
  </si>
  <si>
    <t>20-2560-4000</t>
  </si>
  <si>
    <t>20-2560-3320</t>
  </si>
  <si>
    <t>20-2560-2220</t>
  </si>
  <si>
    <t>20-2560-2210</t>
  </si>
  <si>
    <t>20-2560-1100</t>
  </si>
  <si>
    <t>20-2550-8000</t>
  </si>
  <si>
    <t>20-2550-7000</t>
  </si>
  <si>
    <t>20-2550-6000</t>
  </si>
  <si>
    <t>20-2550-5000</t>
  </si>
  <si>
    <t>20-2550-3230</t>
  </si>
  <si>
    <t>20-2550-3000</t>
  </si>
  <si>
    <t>20-2540-8000</t>
  </si>
  <si>
    <t>20-2540-7000</t>
  </si>
  <si>
    <t>20-2540-6400</t>
  </si>
  <si>
    <t>20-2540-5401</t>
  </si>
  <si>
    <t>20-2540-5400</t>
  </si>
  <si>
    <t>20-2540-5000</t>
  </si>
  <si>
    <t>20-2540-4900</t>
  </si>
  <si>
    <t>20-2540-4700</t>
  </si>
  <si>
    <t>20-2540-4660</t>
  </si>
  <si>
    <t>20-2540-4650</t>
  </si>
  <si>
    <t>20-2540-4100</t>
  </si>
  <si>
    <t>20-2540-3703</t>
  </si>
  <si>
    <t>20-2540-3702</t>
  </si>
  <si>
    <t>20-2540-3701</t>
  </si>
  <si>
    <t>20-2540-3404</t>
  </si>
  <si>
    <t>20-2540-3403</t>
  </si>
  <si>
    <t>20-2540-3402</t>
  </si>
  <si>
    <t>20-2540-3401</t>
  </si>
  <si>
    <t>20-2540-3320</t>
  </si>
  <si>
    <t>20-2540-3250</t>
  </si>
  <si>
    <t>20-2540-3231</t>
  </si>
  <si>
    <t>20-2540-3230</t>
  </si>
  <si>
    <t>20-2540-3223</t>
  </si>
  <si>
    <t>20-2540-3222</t>
  </si>
  <si>
    <t>20-2540-3221</t>
  </si>
  <si>
    <t>20-2540-3212</t>
  </si>
  <si>
    <t>20-2540-3211</t>
  </si>
  <si>
    <t>20-2540-3000</t>
  </si>
  <si>
    <t>20-2540-2220</t>
  </si>
  <si>
    <t>20-2540-2210</t>
  </si>
  <si>
    <t>20-2540-2111</t>
  </si>
  <si>
    <t>20-2540-2110</t>
  </si>
  <si>
    <t>20-2540-1300</t>
  </si>
  <si>
    <t>20-2540-1200</t>
  </si>
  <si>
    <t>20-2540-1100</t>
  </si>
  <si>
    <t>20-2540-1000</t>
  </si>
  <si>
    <t>20-2530-8000</t>
  </si>
  <si>
    <t>20-2530-7000</t>
  </si>
  <si>
    <t>20-2530-6000</t>
  </si>
  <si>
    <t>20-2530-5000</t>
  </si>
  <si>
    <t>20-2530-4000</t>
  </si>
  <si>
    <t>20-2530-3110</t>
  </si>
  <si>
    <t>20-2530-3000</t>
  </si>
  <si>
    <t>20-2510-8000</t>
  </si>
  <si>
    <t>20-2510-7000</t>
  </si>
  <si>
    <t>20-2510-6000</t>
  </si>
  <si>
    <t>20-2510-5000</t>
  </si>
  <si>
    <t>20-2510-4000</t>
  </si>
  <si>
    <t>20-2510-3000</t>
  </si>
  <si>
    <t>20-2230-3110</t>
  </si>
  <si>
    <t>20-2190-8000</t>
  </si>
  <si>
    <t>20-2190-7000</t>
  </si>
  <si>
    <t>20-2190-6000</t>
  </si>
  <si>
    <t>20-2190-5000</t>
  </si>
  <si>
    <t>20-2190-4000</t>
  </si>
  <si>
    <t>20-2190-3000</t>
  </si>
  <si>
    <t>20-2190-1000</t>
  </si>
  <si>
    <t>10---Education</t>
  </si>
  <si>
    <t>10-4932-0000</t>
  </si>
  <si>
    <t>10-4625-0000</t>
  </si>
  <si>
    <t>10-4400-0000</t>
  </si>
  <si>
    <t>10-4300-0000</t>
  </si>
  <si>
    <t>10-4220-0000</t>
  </si>
  <si>
    <t>10-4210-0000</t>
  </si>
  <si>
    <t>10-4100-0000</t>
  </si>
  <si>
    <t>10-4090-0000</t>
  </si>
  <si>
    <t>10-3705-0000</t>
  </si>
  <si>
    <t>10-3360-0000</t>
  </si>
  <si>
    <t>10-3001-0000</t>
  </si>
  <si>
    <t>10-2100-0000</t>
  </si>
  <si>
    <t>10-1950-0000</t>
  </si>
  <si>
    <t>10-1811-0000</t>
  </si>
  <si>
    <t>10-1790-0000</t>
  </si>
  <si>
    <t>10-1711-0000</t>
  </si>
  <si>
    <t>10-1620-0000</t>
  </si>
  <si>
    <t>10-1611-0000</t>
  </si>
  <si>
    <t>10-1510-0000</t>
  </si>
  <si>
    <t>10-1290-0000</t>
  </si>
  <si>
    <t>10-1230-0000</t>
  </si>
  <si>
    <t>10-1210-0000</t>
  </si>
  <si>
    <t>10-1140-0000</t>
  </si>
  <si>
    <t>10-1112-0000</t>
  </si>
  <si>
    <t>10-1110-0000</t>
  </si>
  <si>
    <t>10-4120-3190</t>
  </si>
  <si>
    <t>10-3100-4000</t>
  </si>
  <si>
    <t>10-2624-4700</t>
  </si>
  <si>
    <t>10-2560-6400</t>
  </si>
  <si>
    <t>10-2560-4100</t>
  </si>
  <si>
    <t>10-2560-4000</t>
  </si>
  <si>
    <t>10-2560-2210</t>
  </si>
  <si>
    <t>10-2560-1100</t>
  </si>
  <si>
    <t>10-2524-4100</t>
  </si>
  <si>
    <t>10-2520-6400</t>
  </si>
  <si>
    <t>10-2520-4700</t>
  </si>
  <si>
    <t>10-2520-4000</t>
  </si>
  <si>
    <t>10-2520-3120</t>
  </si>
  <si>
    <t>10-2520-2220</t>
  </si>
  <si>
    <t>10-2520-2210</t>
  </si>
  <si>
    <t>10-2520-1100</t>
  </si>
  <si>
    <t>10-2410-6400</t>
  </si>
  <si>
    <t>10-2410-2221</t>
  </si>
  <si>
    <t>10-2410-2220</t>
  </si>
  <si>
    <t>10-2410-2211</t>
  </si>
  <si>
    <t>10-2410-2210</t>
  </si>
  <si>
    <t>10-2410-2111</t>
  </si>
  <si>
    <t>10-2410-2110</t>
  </si>
  <si>
    <t>10-2410-1110</t>
  </si>
  <si>
    <t>10-2410-1100</t>
  </si>
  <si>
    <t>10-2320-6400</t>
  </si>
  <si>
    <t>10-2320-5402</t>
  </si>
  <si>
    <t>10-2320-5400</t>
  </si>
  <si>
    <t>10-2320-4900</t>
  </si>
  <si>
    <t>10-2320-4100</t>
  </si>
  <si>
    <t>10-2320-3400</t>
  </si>
  <si>
    <t>10-2320-3320</t>
  </si>
  <si>
    <t>10-2320-3250</t>
  </si>
  <si>
    <t>10-2320-2300</t>
  </si>
  <si>
    <t>10-2320-2230</t>
  </si>
  <si>
    <t>10-2320-2220</t>
  </si>
  <si>
    <t>10-2320-2210</t>
  </si>
  <si>
    <t>10-2320-2111</t>
  </si>
  <si>
    <t>10-2320-2110</t>
  </si>
  <si>
    <t>10-2320-1110</t>
  </si>
  <si>
    <t>10-2320-1106</t>
  </si>
  <si>
    <t>10-2320-1105</t>
  </si>
  <si>
    <t>10-2320-1100</t>
  </si>
  <si>
    <t>10-2313-3800</t>
  </si>
  <si>
    <t>10-2313-1100</t>
  </si>
  <si>
    <t>10-2312-2220</t>
  </si>
  <si>
    <t>10-2312-2210</t>
  </si>
  <si>
    <t>10-2312-1100</t>
  </si>
  <si>
    <t>10-2310-6900</t>
  </si>
  <si>
    <t>10-2310-6400</t>
  </si>
  <si>
    <t>10-2310-4100</t>
  </si>
  <si>
    <t>10-2310-3500</t>
  </si>
  <si>
    <t>10-2310-3320</t>
  </si>
  <si>
    <t>10-2310-3170</t>
  </si>
  <si>
    <t>10-2310-3100</t>
  </si>
  <si>
    <t>10-2230-4700</t>
  </si>
  <si>
    <t>10-2230-3140</t>
  </si>
  <si>
    <t>10-2225-4100</t>
  </si>
  <si>
    <t>10-2225-1100</t>
  </si>
  <si>
    <t>10-2222-4300</t>
  </si>
  <si>
    <t>10-2222-1000</t>
  </si>
  <si>
    <t>10-2210-3141</t>
  </si>
  <si>
    <t>10-2210-3140</t>
  </si>
  <si>
    <t>10-2210-3100</t>
  </si>
  <si>
    <t>10-2152-3140</t>
  </si>
  <si>
    <t>10-2150-3190</t>
  </si>
  <si>
    <t>10-1500-6400</t>
  </si>
  <si>
    <t>10-1500-5400</t>
  </si>
  <si>
    <t>10-1500-4100</t>
  </si>
  <si>
    <t>10-1500-3900</t>
  </si>
  <si>
    <t>10-1500-3400</t>
  </si>
  <si>
    <t>10-1500-3320</t>
  </si>
  <si>
    <t>10-1500-2220</t>
  </si>
  <si>
    <t>10-1500-2210</t>
  </si>
  <si>
    <t>10-1500-2111</t>
  </si>
  <si>
    <t>10-1500-2110</t>
  </si>
  <si>
    <t>10-1500-1100</t>
  </si>
  <si>
    <t>10-1250-5400</t>
  </si>
  <si>
    <t>10-1250-4700</t>
  </si>
  <si>
    <t>10-1250-4200</t>
  </si>
  <si>
    <t>10-1250-4100</t>
  </si>
  <si>
    <t>10-1250-4000</t>
  </si>
  <si>
    <t>10-1250-2220</t>
  </si>
  <si>
    <t>10-1250-2210</t>
  </si>
  <si>
    <t>10-1250-1100</t>
  </si>
  <si>
    <t>10-1207-6400</t>
  </si>
  <si>
    <t>10-1207-2220</t>
  </si>
  <si>
    <t>10-1207-2210</t>
  </si>
  <si>
    <t>10-1207-2111</t>
  </si>
  <si>
    <t>10-1207-2110</t>
  </si>
  <si>
    <t>10-1207-1100</t>
  </si>
  <si>
    <t>10-1206-6700</t>
  </si>
  <si>
    <t>10-1205-6400</t>
  </si>
  <si>
    <t>10-1205-2220</t>
  </si>
  <si>
    <t>10-1205-2210</t>
  </si>
  <si>
    <t>10-1205-2111</t>
  </si>
  <si>
    <t>10-1205-2110</t>
  </si>
  <si>
    <t>10-1205-2100</t>
  </si>
  <si>
    <t>10-1205-1100</t>
  </si>
  <si>
    <t>10-1205-1000</t>
  </si>
  <si>
    <t>10-1200-4100</t>
  </si>
  <si>
    <t>10-1200-3140</t>
  </si>
  <si>
    <t>10-1125-6400</t>
  </si>
  <si>
    <t>10-1125-4200</t>
  </si>
  <si>
    <t>10-1125-4100</t>
  </si>
  <si>
    <t>10-1125-4000</t>
  </si>
  <si>
    <t>10-1125-2220</t>
  </si>
  <si>
    <t>10-1125-2210</t>
  </si>
  <si>
    <t>10-1125-2111</t>
  </si>
  <si>
    <t>10-1125-2110</t>
  </si>
  <si>
    <t>10-1125-2100</t>
  </si>
  <si>
    <t>10-1125-1100</t>
  </si>
  <si>
    <t>10-1125-1000</t>
  </si>
  <si>
    <t>10-1100-4700</t>
  </si>
  <si>
    <t>10-1100-4000</t>
  </si>
  <si>
    <t>10-1100-3120</t>
  </si>
  <si>
    <t>Regular K-12 Programs - Professional Development</t>
  </si>
  <si>
    <t>Music Supplies</t>
  </si>
  <si>
    <t>Education Fund - Student Management Software</t>
  </si>
  <si>
    <t>Certified Staff - General Education - Salaries</t>
  </si>
  <si>
    <t>Employee Salaries - Stipends - Other</t>
  </si>
  <si>
    <t>General Education - Certified - Salaries</t>
  </si>
  <si>
    <t>Substitute - Salaries</t>
  </si>
  <si>
    <t>10 E 1110 2100 00 000 101110</t>
  </si>
  <si>
    <t>10 E 1110 2110 00 000 000000</t>
  </si>
  <si>
    <t>General Education - TRS Employer Contribution</t>
  </si>
  <si>
    <t>10 E 1110 2110 30 000 101110</t>
  </si>
  <si>
    <t>10 E 1110 2111 00 000 000000</t>
  </si>
  <si>
    <t>General Education - THIS Employer Contribution</t>
  </si>
  <si>
    <t>General Education - Life Insurance</t>
  </si>
  <si>
    <t>General Education - Medical Insurance</t>
  </si>
  <si>
    <t>Education Fund - Transportation - Med Insurance</t>
  </si>
  <si>
    <t>Tuition Reimbursement</t>
  </si>
  <si>
    <t>Education Fund - Purchased Services</t>
  </si>
  <si>
    <t>Elementary - Professional &amp; Technical Services</t>
  </si>
  <si>
    <t>Education Fund - Professional Development</t>
  </si>
  <si>
    <t>Education Fund - Prof Services - Instruction</t>
  </si>
  <si>
    <t>Education Fund - Rentals</t>
  </si>
  <si>
    <t>Elementary - Travel</t>
  </si>
  <si>
    <t>Education Fund - Incentive Program</t>
  </si>
  <si>
    <t>Education Fund - Technology Supplies</t>
  </si>
  <si>
    <t>Education Fund - Supplies and Materials</t>
  </si>
  <si>
    <t>Education Fund - First Grade Supplies</t>
  </si>
  <si>
    <t>Education Fund - Second Grade Supplies</t>
  </si>
  <si>
    <t>Education Fund - Third Grade Supplies</t>
  </si>
  <si>
    <t>Education Fund - Fourth Grade Supplies</t>
  </si>
  <si>
    <t>Education Fund - Fifth Grade Supplies</t>
  </si>
  <si>
    <t>Education Fund - Jr. High Math Supplies</t>
  </si>
  <si>
    <t>Education Fund - Jr. High ELA Supplies</t>
  </si>
  <si>
    <t>Education Fund - Jr. High Science Supplies</t>
  </si>
  <si>
    <t>Education Fund - Jr. High Social Studies Supplies</t>
  </si>
  <si>
    <t>Education Fund - RTI Supplies</t>
  </si>
  <si>
    <t>Education Fund - Kindergarten Supplies</t>
  </si>
  <si>
    <t>Education Fund - Physical Education Supplies</t>
  </si>
  <si>
    <t>Education Fund - Payroll Deductions &amp; Withholding</t>
  </si>
  <si>
    <t>Education Fund - Textbooks</t>
  </si>
  <si>
    <t>Elementary - Library Books</t>
  </si>
  <si>
    <t>Education Fund - Equipment</t>
  </si>
  <si>
    <t>Education Fund - Reap Grant</t>
  </si>
  <si>
    <t>Education Fund - Dues and Fees</t>
  </si>
  <si>
    <t>Education Fund - Pre-K Aide Salary</t>
  </si>
  <si>
    <t>Preschool - Salaries</t>
  </si>
  <si>
    <t>10 E 1125 2100 00 000 101125</t>
  </si>
  <si>
    <t>Preschool - TRS Employer Contribution</t>
  </si>
  <si>
    <t>Preschool - THIS Employer Contribution</t>
  </si>
  <si>
    <t>Preschool - Life Insurance</t>
  </si>
  <si>
    <t>10 E 1125 2210 10 000 101125</t>
  </si>
  <si>
    <t>Preschool - Medical Insurance</t>
  </si>
  <si>
    <t>10 E 1125 2220 10 000 101125</t>
  </si>
  <si>
    <t>Pre-K Programs - PFA - Snack and Milk</t>
  </si>
  <si>
    <t>Pre-K Programs - General Supplies</t>
  </si>
  <si>
    <t>Pre-K Programs - Textbooks</t>
  </si>
  <si>
    <t>Pre-K Programs - Dues and Fees</t>
  </si>
  <si>
    <t>Professional Services - Occupational Therapy</t>
  </si>
  <si>
    <t>Professional Services - Physical Therapy</t>
  </si>
  <si>
    <t>Special Education - General Supplies</t>
  </si>
  <si>
    <t>Special Education.LD - Aide Salaries</t>
  </si>
  <si>
    <t>Special Education.LD - Salaries</t>
  </si>
  <si>
    <t>10 E 1205 2100 00 000 101200</t>
  </si>
  <si>
    <t>Special Education LD - TRS Employer Contribution</t>
  </si>
  <si>
    <t>Education Fund - LD - TRS</t>
  </si>
  <si>
    <t>Special Education.LD - THIS Employer Contribution</t>
  </si>
  <si>
    <t>Special Education.LD - Life Insurance</t>
  </si>
  <si>
    <t>Special Education.LD - Medical Insurance</t>
  </si>
  <si>
    <t>10 E 1205 2220 40 000 101200</t>
  </si>
  <si>
    <t>Special Education.LD - Dues and Fees</t>
  </si>
  <si>
    <t>Visually Impaired (VI) - Tuition</t>
  </si>
  <si>
    <t>Special Education.HH - Salaries</t>
  </si>
  <si>
    <t>Special Education.HH - TRS Employer Contributions</t>
  </si>
  <si>
    <t>Special Education.HH - THIS Employer Contribution</t>
  </si>
  <si>
    <t>Special Education.HH - Life Insurance</t>
  </si>
  <si>
    <t>Special Education.HH - Medical Insurance</t>
  </si>
  <si>
    <t>Special Education.HH - Dues and Fees</t>
  </si>
  <si>
    <t>Interventionist - Salaries</t>
  </si>
  <si>
    <t>Interventionist - Life Insurance</t>
  </si>
  <si>
    <t>Interventionist - Medical Insurance</t>
  </si>
  <si>
    <t>Title I - Supplies and Materials</t>
  </si>
  <si>
    <t>Title 4 - Supplies</t>
  </si>
  <si>
    <t>Title 1 - Homeless</t>
  </si>
  <si>
    <t>Title I Textbooks</t>
  </si>
  <si>
    <t>Title I - Software</t>
  </si>
  <si>
    <t>Education Fund - Title IV - Equipment</t>
  </si>
  <si>
    <t>Athletic Salary</t>
  </si>
  <si>
    <t>Interscholastic Programs - Contract Salaries</t>
  </si>
  <si>
    <t>Interscholastic Programs - Non-Contract Salaries</t>
  </si>
  <si>
    <t>10 E 1500 2110 10 000 101500</t>
  </si>
  <si>
    <t>Interscholastic Programs - TRS</t>
  </si>
  <si>
    <t>10 E 1500 2110 62 001 101500</t>
  </si>
  <si>
    <t>10 E 1500 2111 10 000 101500</t>
  </si>
  <si>
    <t>10 E 1500 2111 61 000 101500</t>
  </si>
  <si>
    <t>Interscholastic Programs - THIS</t>
  </si>
  <si>
    <t>10 E 1500 2111 62 001 101500</t>
  </si>
  <si>
    <t>10 E 1500 2210 10 000 101500</t>
  </si>
  <si>
    <t>10 E 1500 2210 61 000 101500</t>
  </si>
  <si>
    <t>10 E 1500 2210 62 001 101500</t>
  </si>
  <si>
    <t>10 E 1500 2220 10 000 101500</t>
  </si>
  <si>
    <t>10 E 1500 2220 61 000 101500</t>
  </si>
  <si>
    <t>10 E 1500 2220 62 001 101500</t>
  </si>
  <si>
    <t>Educatin Fund - Interscholastic Programs - Travel</t>
  </si>
  <si>
    <t>Interscholastic Programs - Postage</t>
  </si>
  <si>
    <t>Interscholastic Programs - Officials</t>
  </si>
  <si>
    <t>Interscholastic Programs - Supplies</t>
  </si>
  <si>
    <t>Interscholastic Programs - Equipment</t>
  </si>
  <si>
    <t>Interscholastic Programs - Dues and Fees</t>
  </si>
  <si>
    <t>Speech Pathology Services</t>
  </si>
  <si>
    <t>Title II - Professional and Tech Services</t>
  </si>
  <si>
    <t>Instruction Improvement - Professional Services</t>
  </si>
  <si>
    <t>Professional Services - PFA</t>
  </si>
  <si>
    <t>School Library Services - Salaries</t>
  </si>
  <si>
    <t>School Library Books</t>
  </si>
  <si>
    <t>Technology Support - Salaries</t>
  </si>
  <si>
    <t>Computer-Assisted Instruction Services</t>
  </si>
  <si>
    <t>Assessment and Testing - Professional Services</t>
  </si>
  <si>
    <t>Assessment and Testing - Software</t>
  </si>
  <si>
    <t>Board of Education Services - Technical Services</t>
  </si>
  <si>
    <t>Board of Education - Audit/Financial Services</t>
  </si>
  <si>
    <t>Board of Education - Travel</t>
  </si>
  <si>
    <t>Board of Education - Advertising</t>
  </si>
  <si>
    <t>Board of Education Services - General Supplies</t>
  </si>
  <si>
    <t>Board of Education Services - Dues and Fees</t>
  </si>
  <si>
    <t>Board of Education - Other</t>
  </si>
  <si>
    <t>Board Secretary - Salaries</t>
  </si>
  <si>
    <t>10 E 2312 2210 00 000 102310</t>
  </si>
  <si>
    <t>10 E 2312 2220 00 000 102310</t>
  </si>
  <si>
    <t>Treasurer - Salaries</t>
  </si>
  <si>
    <t>Bond Treasurer Services</t>
  </si>
  <si>
    <t>Superintendent - Salaries</t>
  </si>
  <si>
    <t>Interim Superintendent Salary</t>
  </si>
  <si>
    <t>Superintendent Contract Pay</t>
  </si>
  <si>
    <t>Superintendent - Secretary Salaries</t>
  </si>
  <si>
    <t>Superintendent - TRS Employer Contributions</t>
  </si>
  <si>
    <t>10 E 2320 2110 30 000 102320</t>
  </si>
  <si>
    <t>Superintendent - THIS Employer Contribution</t>
  </si>
  <si>
    <t>Superintendent - Life Insurance</t>
  </si>
  <si>
    <t>10 E 2320 2210 10 000 102320</t>
  </si>
  <si>
    <t>Superintendent - Medical Insurance</t>
  </si>
  <si>
    <t>10 E 2320 2220 10 000 102320</t>
  </si>
  <si>
    <t>10 E 2320 2220 40 000 102320</t>
  </si>
  <si>
    <t>Superintendent - Dental Insurance</t>
  </si>
  <si>
    <t>Superintendent - Tuition Reimbursement</t>
  </si>
  <si>
    <t>Executive Administration Services - Rentals</t>
  </si>
  <si>
    <t>Executive Administration Services - Travel</t>
  </si>
  <si>
    <t>Executive Administration Services - Postage</t>
  </si>
  <si>
    <t>Executive Administration Services - Supplies</t>
  </si>
  <si>
    <t>Executive Administration Service - Capital Outlay</t>
  </si>
  <si>
    <t>Executive Administration - Office Tech Equipment</t>
  </si>
  <si>
    <t>Executive Administration - Dues and Fees</t>
  </si>
  <si>
    <t>Principal - Salaries</t>
  </si>
  <si>
    <t>Building Secretary Salary</t>
  </si>
  <si>
    <t>Principal - TRS Employer Contribution</t>
  </si>
  <si>
    <t>10 E 2410 2110 10 000 102410</t>
  </si>
  <si>
    <t>10 E 2410 2110 30 000 102400</t>
  </si>
  <si>
    <t>Principal - THIS Employer Contribution</t>
  </si>
  <si>
    <t>10 E 2410 2111 10 000 102410</t>
  </si>
  <si>
    <t>Principal - Life Insurance</t>
  </si>
  <si>
    <t>10 E 2410 2210 10 000 102410</t>
  </si>
  <si>
    <t>Secretary - Life Insurance</t>
  </si>
  <si>
    <t>10 E 2410 2220 00 000 102400</t>
  </si>
  <si>
    <t>10 E 2410 2220 10 000 102410</t>
  </si>
  <si>
    <t>10 E 2410 2220 40 000 102400</t>
  </si>
  <si>
    <t>Secretary - Medical Insurance</t>
  </si>
  <si>
    <t>Principal - Dues and Fee</t>
  </si>
  <si>
    <t>Bookkeeper - Salaries</t>
  </si>
  <si>
    <t>Bookkeeper - Life Insurance</t>
  </si>
  <si>
    <t>Bookkeeper - Medical Insurance</t>
  </si>
  <si>
    <t>Fiscal Services - Professional Employee Training</t>
  </si>
  <si>
    <t>Fiscal Services - Supplies &amp; Materials</t>
  </si>
  <si>
    <t>Fiscal Services - Financial Software</t>
  </si>
  <si>
    <t>Fiscal Services - Dues and Fees</t>
  </si>
  <si>
    <t>Payroll General Supplies</t>
  </si>
  <si>
    <t>Food Service Salaries</t>
  </si>
  <si>
    <t>10 E 2560 2210 00 001 000000</t>
  </si>
  <si>
    <t>Food Services - Life Insurance</t>
  </si>
  <si>
    <t>Food Services - Supplies - Food</t>
  </si>
  <si>
    <t>Food Services - Supplies</t>
  </si>
  <si>
    <t>Food Services - Capital Outlay</t>
  </si>
  <si>
    <t>Food Services - Dues and Fees</t>
  </si>
  <si>
    <t>Planning Services - Software</t>
  </si>
  <si>
    <t>Title 1 - Family Night</t>
  </si>
  <si>
    <t>Special Education - Other Professional Services</t>
  </si>
  <si>
    <t>10 - Education Fund</t>
  </si>
  <si>
    <t>E - Expense</t>
  </si>
  <si>
    <t>Education Fund - General Levies</t>
  </si>
  <si>
    <t>Education Fund - First Prior Year Levy</t>
  </si>
  <si>
    <t>Education Fund - Special Education Levy</t>
  </si>
  <si>
    <t>Education Fund - Mobile Home Privilege Tax</t>
  </si>
  <si>
    <t>Education Fund - Replacement Taxes</t>
  </si>
  <si>
    <t>Education Fund - Payments in Lieu of Taxes</t>
  </si>
  <si>
    <t>Education Fund - Interest on Investments</t>
  </si>
  <si>
    <t>Interest - Money Market 07</t>
  </si>
  <si>
    <t>Education Fund - Sales to Pupils - Lunch</t>
  </si>
  <si>
    <t>Education Fund - Sales to Adults</t>
  </si>
  <si>
    <t>Education Fund - Admissions - Athletic</t>
  </si>
  <si>
    <t>Education Fund - Other District/School Revenue</t>
  </si>
  <si>
    <t>Education Fund - Regular Textbooks</t>
  </si>
  <si>
    <t>Ed Fund - Refund of Prior Years' Expenditures</t>
  </si>
  <si>
    <t>Education Fund - Other</t>
  </si>
  <si>
    <t>Education Fund - Flow-through</t>
  </si>
  <si>
    <t>Education Fund - Evidence Based Funding</t>
  </si>
  <si>
    <t>Education Fund - General State Aid</t>
  </si>
  <si>
    <t>Education Fund - State Free Lunch and Breakfast</t>
  </si>
  <si>
    <t>Education Fund - Early Childhood - Block Grant</t>
  </si>
  <si>
    <t>Education Fund - REAP Grant</t>
  </si>
  <si>
    <t>Education Fund - Title V</t>
  </si>
  <si>
    <t>Education Fund - National School Lunch Program</t>
  </si>
  <si>
    <t>Ed Fund - National Free &amp; Reduced Lunch</t>
  </si>
  <si>
    <t>Education Fund - Prior Year Lunch Program</t>
  </si>
  <si>
    <t>Education Fund - National School Breakfast Program</t>
  </si>
  <si>
    <t>Education Fund - Prior Year Breakfast Program</t>
  </si>
  <si>
    <t>Education Fund - Title I - Low Income</t>
  </si>
  <si>
    <t>Ed Fund - Title IV - Safe &amp; Drug Free Schools</t>
  </si>
  <si>
    <t>Education Fund - Title IV - Other</t>
  </si>
  <si>
    <t>Ed Fund - Federal Special Education - IDEA Rm &amp; Bd</t>
  </si>
  <si>
    <t>Education Fund - Title II - Teacher Quality</t>
  </si>
  <si>
    <t>R - Revenue</t>
  </si>
  <si>
    <t>Operating Statement</t>
  </si>
  <si>
    <t>Other Support Services - Pupils (O&amp;M)</t>
  </si>
  <si>
    <t>Other Support Services - Pupils</t>
  </si>
  <si>
    <t>LCSSU Building Purchase</t>
  </si>
  <si>
    <t>Direction of Business Support Services (O&amp;M)</t>
  </si>
  <si>
    <t>Land Acquisition and Development Services</t>
  </si>
  <si>
    <t>Operations and Maintenance Salary</t>
  </si>
  <si>
    <t>Custodian - Salaries</t>
  </si>
  <si>
    <t>Temporary Custodian - Salaries</t>
  </si>
  <si>
    <t>Custodian - Overtime Salaries</t>
  </si>
  <si>
    <t>O&amp;M Fund - ETRS</t>
  </si>
  <si>
    <t>O&amp;M Fund - ETHIS</t>
  </si>
  <si>
    <t>Custodian - Life Insurance</t>
  </si>
  <si>
    <t>Custodian - Medical Insurance</t>
  </si>
  <si>
    <t>Operations and Maintenance of Plant Services</t>
  </si>
  <si>
    <t>Sanitation Services - Garbage Collection</t>
  </si>
  <si>
    <t>Sanitation Services - Extermination</t>
  </si>
  <si>
    <t>Cleaning Services - Laundry</t>
  </si>
  <si>
    <t>Cleaning Services - Lawn</t>
  </si>
  <si>
    <t>Cleaning Services - Snow Removal</t>
  </si>
  <si>
    <t>Repairs and Maintenance Services</t>
  </si>
  <si>
    <t>Repairs and Maintenance Services - Inspections</t>
  </si>
  <si>
    <t>Rentals (O&amp;M)</t>
  </si>
  <si>
    <t>Travel (O&amp;M)</t>
  </si>
  <si>
    <t>Communication - Phone</t>
  </si>
  <si>
    <t>Communication - Internet</t>
  </si>
  <si>
    <t>Communication - Cellular</t>
  </si>
  <si>
    <t>Communication - Cable</t>
  </si>
  <si>
    <t>Water - Main Building</t>
  </si>
  <si>
    <t>Water - Fitness Center</t>
  </si>
  <si>
    <t>Water - Baseball Field</t>
  </si>
  <si>
    <t>O&amp;M General Supplies</t>
  </si>
  <si>
    <t>Natural Gas</t>
  </si>
  <si>
    <t>Electricity</t>
  </si>
  <si>
    <t>Operations and Maintenance - Software</t>
  </si>
  <si>
    <t>Operations and Maintenance - Other Supplies</t>
  </si>
  <si>
    <t>O&amp;M Fund - Site Improvements &amp; Infrastructure</t>
  </si>
  <si>
    <t>Asbestos Abatement</t>
  </si>
  <si>
    <t>Dues and Fees (O&amp;M)</t>
  </si>
  <si>
    <t>Pupil Transportation - Repairs and Maintenance</t>
  </si>
  <si>
    <t>Pupil Transportation Services (O&amp;M)</t>
  </si>
  <si>
    <t>Food Services - Salaries</t>
  </si>
  <si>
    <t>Food Services - Medical Insurance</t>
  </si>
  <si>
    <t>Travel (Food Services)</t>
  </si>
  <si>
    <t>Food Services - Food</t>
  </si>
  <si>
    <t>Food Services - General Supplies</t>
  </si>
  <si>
    <t>Food Services (O&amp;M)</t>
  </si>
  <si>
    <t>Food Services Dues and Fees</t>
  </si>
  <si>
    <t>Community Services (O&amp;M)</t>
  </si>
  <si>
    <t>Fitness Center Salaries</t>
  </si>
  <si>
    <t>Fitness Center - Salaries</t>
  </si>
  <si>
    <t>20 E 3200 2110 00 000 203200</t>
  </si>
  <si>
    <t>20 E 3200 2110 30 000 203200</t>
  </si>
  <si>
    <t>20 E 3200 2111 00 000 203200</t>
  </si>
  <si>
    <t>20 E 3200 2220 00 000 203200</t>
  </si>
  <si>
    <t>20 E 3200 2220 40 000 203200</t>
  </si>
  <si>
    <t>Community Recreation Services - Purchase Services</t>
  </si>
  <si>
    <t>Payments for Regular Programs (O&amp;M)</t>
  </si>
  <si>
    <t>Payments for Special Education Programs (O&amp;M)</t>
  </si>
  <si>
    <t>Payments for CTE Programs (O&amp;M)</t>
  </si>
  <si>
    <t>Other Payments to In-State Government Units</t>
  </si>
  <si>
    <t>Other Payments to In-State Government Units (O&amp;M)</t>
  </si>
  <si>
    <t>Payments to Other District &amp; Government Units</t>
  </si>
  <si>
    <t>Tax Anticipation Warrants (O&amp;M)</t>
  </si>
  <si>
    <t>CPPRT Anticipated Notes (O&amp;M)</t>
  </si>
  <si>
    <t>State Aid Anticipation Certificates (O&amp;M)</t>
  </si>
  <si>
    <t>Other Interest on Short Term Debt (O&amp;M)</t>
  </si>
  <si>
    <t>Debt Service - Interest on Long Term Debt (O&amp;M)</t>
  </si>
  <si>
    <t>20 - Operations and Maintenance Fund</t>
  </si>
  <si>
    <t>Operations &amp; Maintenance - General Levies</t>
  </si>
  <si>
    <t>Operations &amp; Maintenance - First Prior Year Levy</t>
  </si>
  <si>
    <t>Operations &amp; Maintenance - Replacement Taxes</t>
  </si>
  <si>
    <t>O&amp;M Fund - Fees - Fitness Center</t>
  </si>
  <si>
    <t>O&amp;M Fund - Private Contributions and Donations</t>
  </si>
  <si>
    <t>Operations &amp; Maintenance - Payments from TIF</t>
  </si>
  <si>
    <t>Operations &amp; Maintenance - General State Aid</t>
  </si>
  <si>
    <t>Superintendent- Salaries</t>
  </si>
  <si>
    <t>Driver - Salaries (Special Education)</t>
  </si>
  <si>
    <t>Transportation Fund - Superintendent Salary</t>
  </si>
  <si>
    <t>Transportation Fund - Principal Salary</t>
  </si>
  <si>
    <t>Superintendent - TRS Employer Contribution</t>
  </si>
  <si>
    <t>40 E 2550 2110 30 000 402550</t>
  </si>
  <si>
    <t>Transportation Fund - Insurance</t>
  </si>
  <si>
    <t>Driver - Life Insurance</t>
  </si>
  <si>
    <t>Transportation Fund - Medical Insurance</t>
  </si>
  <si>
    <t>Driver - Medical Insurance</t>
  </si>
  <si>
    <t>Transportation Fund - Transportation Contract</t>
  </si>
  <si>
    <t>Transportation Fund - Pre-K Transportation</t>
  </si>
  <si>
    <t>Transportation Fund - Special Ed Transportation</t>
  </si>
  <si>
    <t>Regular Gasoline</t>
  </si>
  <si>
    <t>Transportation - Regular Route Fuel</t>
  </si>
  <si>
    <t>Transportation Fund - Pre-K Fuel</t>
  </si>
  <si>
    <t>Transportation Fund - Charter Fuel</t>
  </si>
  <si>
    <t>Transportation Fund - Dues and Fees</t>
  </si>
  <si>
    <t>Extra Curricular - Pupil Transportation</t>
  </si>
  <si>
    <t>Transportation Fund - Financial Software</t>
  </si>
  <si>
    <t>40 - Transportation Fund</t>
  </si>
  <si>
    <t>Transportation Fund - Current Year Leavy</t>
  </si>
  <si>
    <t>Transportation - Other Prior Years' Levies</t>
  </si>
  <si>
    <t>Transportation Fund - Replacement Taxes</t>
  </si>
  <si>
    <t>Special Education Transportation Fee from LEA</t>
  </si>
  <si>
    <t>Transportation - Interest on Investments</t>
  </si>
  <si>
    <t>Interest - Money Market 03</t>
  </si>
  <si>
    <t>Transportation - General State Aid</t>
  </si>
  <si>
    <t>Transportation - State Aid - Regular</t>
  </si>
  <si>
    <t>Transportation - Special Ed - State Aid</t>
  </si>
  <si>
    <t>Transportation - Regular/Vocational</t>
  </si>
  <si>
    <t>Transportation - State Aid - Special Ed</t>
  </si>
  <si>
    <t>Transportation - Prior Year - State Aid - Sped</t>
  </si>
  <si>
    <t>FICA- Elementary Salaries</t>
  </si>
  <si>
    <t>50 E 1110 2140 00 000 000000</t>
  </si>
  <si>
    <t>Elementary - Medicare Employer Contribution</t>
  </si>
  <si>
    <t>Preschool - IMRF</t>
  </si>
  <si>
    <t>50 E 1125 2120 10 000 101125</t>
  </si>
  <si>
    <t>Preschool - FICA</t>
  </si>
  <si>
    <t>50 E 1125 2130 10 000 101125</t>
  </si>
  <si>
    <t>Preschool - Medicare</t>
  </si>
  <si>
    <t>50 E 1125 2140 10 000 101125</t>
  </si>
  <si>
    <t>Special Education LD - IMRF</t>
  </si>
  <si>
    <t>Special Education LD - FICA (Social Security)</t>
  </si>
  <si>
    <t>Special Education LD - Medicare</t>
  </si>
  <si>
    <t>Special Education HH - IMRF</t>
  </si>
  <si>
    <t>Special Education HH - FICA (Social Security)</t>
  </si>
  <si>
    <t>Special Education HH - Medicare</t>
  </si>
  <si>
    <t>Special Education Title I - IMRF</t>
  </si>
  <si>
    <t>Special Education Title I - FICA (Social Security)</t>
  </si>
  <si>
    <t>Special Education Title I - Medicare</t>
  </si>
  <si>
    <t>50 E 1500 2120 61 000 101500</t>
  </si>
  <si>
    <t>50 E 1500 2120 62 001 101500</t>
  </si>
  <si>
    <t>Interscholastic Programs - FICA-MERGE</t>
  </si>
  <si>
    <t>50 E 1500 2130 10 000 101500</t>
  </si>
  <si>
    <t>50 E 1500 2130 61 000 101500</t>
  </si>
  <si>
    <t>Interscholastic Programs - FICA (Social Security)</t>
  </si>
  <si>
    <t>50 E 1500 2140 00 000 101500</t>
  </si>
  <si>
    <t>50 E 1500 2140 10 000 101500</t>
  </si>
  <si>
    <t>Interscholastic Programs - Contract - Medicare</t>
  </si>
  <si>
    <t>Interscholastic Programs - NonContract - Medicare</t>
  </si>
  <si>
    <t>Technology Support - FICA (Social Security)</t>
  </si>
  <si>
    <t>Technology Support - Medicare</t>
  </si>
  <si>
    <t>Board Secretary - IMRF</t>
  </si>
  <si>
    <t>Board Secretary - FICA (Social Security)</t>
  </si>
  <si>
    <t>Board Secretary - Medicare</t>
  </si>
  <si>
    <t>Board Treasurer Services - FICA (Social Security)</t>
  </si>
  <si>
    <t>Board Treasurer Services - Medicare</t>
  </si>
  <si>
    <t>Superintendent Secretary - IMRF</t>
  </si>
  <si>
    <t>50 E 2320 2130 00 000 102320</t>
  </si>
  <si>
    <t>50 E 2320 2140 00 000 102320</t>
  </si>
  <si>
    <t>50 E 2320 2140 10 000 102320</t>
  </si>
  <si>
    <t>50 E 2320 2140 10 001 102320</t>
  </si>
  <si>
    <t>Risk Management - IMRF</t>
  </si>
  <si>
    <t>Reitrement/SS - Risk Management - FICA</t>
  </si>
  <si>
    <t>Risk Management - FICA</t>
  </si>
  <si>
    <t>Retirement/SS - Risk Management - Medicare</t>
  </si>
  <si>
    <t>50 E 2410 2120 10 000 102410</t>
  </si>
  <si>
    <t>Building Secretary - IMRF</t>
  </si>
  <si>
    <t>50 E 2410 2130 10 000 102410</t>
  </si>
  <si>
    <t>Building Secretary - FICA</t>
  </si>
  <si>
    <t>50 E 2410 2140 10 000 102410</t>
  </si>
  <si>
    <t>Building Secretary - Medicare</t>
  </si>
  <si>
    <t>Admin - Medicare</t>
  </si>
  <si>
    <t>FIscal Services - IMRF</t>
  </si>
  <si>
    <t>Fiscal Services - FICA</t>
  </si>
  <si>
    <t>Fiscal Services - Medicare</t>
  </si>
  <si>
    <t>Operations &amp; Maintenance - IMRF</t>
  </si>
  <si>
    <t>50 E 2540 2120 80 000 802540</t>
  </si>
  <si>
    <t>Operations &amp; Maintenance - FICA</t>
  </si>
  <si>
    <t>50 E 2540 2130 80 000 802540</t>
  </si>
  <si>
    <t>Operations &amp; Maintenance - Medicare</t>
  </si>
  <si>
    <t>50 E 2540 2140 80 000 802540</t>
  </si>
  <si>
    <t>Pupil Transportation - IMRF</t>
  </si>
  <si>
    <t>Pupil Transportation - FICA</t>
  </si>
  <si>
    <t>Pupil Transportation - Medicare</t>
  </si>
  <si>
    <t>Food Services - IMRF</t>
  </si>
  <si>
    <t>50 E 2560 2120 00 001 000000</t>
  </si>
  <si>
    <t>50 E 2560 2120 80 000 802560</t>
  </si>
  <si>
    <t>Food Services - FICA</t>
  </si>
  <si>
    <t>50 E 2560 2130 00 001 000000</t>
  </si>
  <si>
    <t>50 E 2560 2130 80 000 802560</t>
  </si>
  <si>
    <t>Food Services - Medicare</t>
  </si>
  <si>
    <t>50 E 2560 2140 00 001 000000</t>
  </si>
  <si>
    <t>50 E 2560 2140 80 000 802560</t>
  </si>
  <si>
    <t>50 E 3200 2120 00 000 203200</t>
  </si>
  <si>
    <t>50 E 3200 2130 00 000 000000</t>
  </si>
  <si>
    <t>50 E 3200 2130 00 000 203200</t>
  </si>
  <si>
    <t>50 E 3200 2140 00 000 000000</t>
  </si>
  <si>
    <t>50 E 3200 2140 00 000 203200</t>
  </si>
  <si>
    <t>50 - Municipal Retirement / Social Security Fund</t>
  </si>
  <si>
    <t>Retirement / SS Fund - First Year Prior Levy</t>
  </si>
  <si>
    <t>Retirement / SS Fund - Retirement Purposes Levy</t>
  </si>
  <si>
    <t>Retirement / SS Fund - Replacement Taxes</t>
  </si>
  <si>
    <t>Retirement / SS Fund - Interest on Investments</t>
  </si>
  <si>
    <t>Capital Improvement Fund - Construction Services</t>
  </si>
  <si>
    <t>Capital Improvements Fund - Capital Outlay</t>
  </si>
  <si>
    <t>60 - Site and Construction / Capital Improvements Fund</t>
  </si>
  <si>
    <t>CSFT Payment</t>
  </si>
  <si>
    <t>General Levy - Working Cash Fund</t>
  </si>
  <si>
    <t>Current Year Levy - Working Cash Fund</t>
  </si>
  <si>
    <t>First Prior Year Levy - Working Cash Fund</t>
  </si>
  <si>
    <t>Other Prior Year Levy - Working Cash Fund</t>
  </si>
  <si>
    <t>Working Cash Purposes Levy - Working Cash Fund</t>
  </si>
  <si>
    <t>Working Cash Purposes Prior Year Levy</t>
  </si>
  <si>
    <t>Mobile Home Privilege Tax  - Working Cash Fund</t>
  </si>
  <si>
    <t>Interest on Investments  - Working Cash Fund</t>
  </si>
  <si>
    <t>70 - Working Cash Fund</t>
  </si>
  <si>
    <t>Tort - Educational Media Services</t>
  </si>
  <si>
    <t>Tort Fund - Workers' Compensation</t>
  </si>
  <si>
    <t>Tort - Liability Insurance</t>
  </si>
  <si>
    <t>Tort - Treasurer's Bond</t>
  </si>
  <si>
    <t>Tort Fund - RIsk Management Services</t>
  </si>
  <si>
    <t>Tort Fund - Risk Management Principal Salary</t>
  </si>
  <si>
    <t>Tort Fund - Teacher Retirement (TRS)</t>
  </si>
  <si>
    <t>Tort Fund - Teachers Retirement (THIS)</t>
  </si>
  <si>
    <t>Tort - Audit/Financial Services</t>
  </si>
  <si>
    <t>Tort Legal Services</t>
  </si>
  <si>
    <t>Maintenance Salary</t>
  </si>
  <si>
    <t>80 E 2540 2210 80 000 802540</t>
  </si>
  <si>
    <t>80 E 2540 2220 80 000 802540</t>
  </si>
  <si>
    <t>Food Service Salary</t>
  </si>
  <si>
    <t>80 E 2560 2210 80 000 802560</t>
  </si>
  <si>
    <t>Tort - Recruitment Services</t>
  </si>
  <si>
    <t>80 - Tort</t>
  </si>
  <si>
    <t>Tort Fund - Tort Immunity Levy</t>
  </si>
  <si>
    <t>Tort Fund - Interest on Investments</t>
  </si>
  <si>
    <t>Tort Fund - General State Aid</t>
  </si>
  <si>
    <t>10-1999-0000</t>
  </si>
  <si>
    <t>40-3001-0000</t>
  </si>
  <si>
    <t>80-3001-0000</t>
  </si>
  <si>
    <t>10-1100-1000</t>
  </si>
  <si>
    <t>10-1100-1100</t>
  </si>
  <si>
    <t>10-1100-1200</t>
  </si>
  <si>
    <t>10-1100-2100</t>
  </si>
  <si>
    <t>10-1100-2110</t>
  </si>
  <si>
    <t>10-1100-2111</t>
  </si>
  <si>
    <t>10-1100-2210</t>
  </si>
  <si>
    <t>10-1100-2220</t>
  </si>
  <si>
    <t>10-1100-2300</t>
  </si>
  <si>
    <t>10-1100-3000</t>
  </si>
  <si>
    <t>10-1100-3100</t>
  </si>
  <si>
    <t>10-1100-3140</t>
  </si>
  <si>
    <t>10-1100-3250</t>
  </si>
  <si>
    <t>10-1100-3320</t>
  </si>
  <si>
    <t>10-1100-4001</t>
  </si>
  <si>
    <t>10-1100-4004</t>
  </si>
  <si>
    <t>10-1100-4100</t>
  </si>
  <si>
    <t>10-1100-4101</t>
  </si>
  <si>
    <t>10-1100-4102</t>
  </si>
  <si>
    <t>10-1100-4103</t>
  </si>
  <si>
    <t>10-1100-4104</t>
  </si>
  <si>
    <t>10-1100-4105</t>
  </si>
  <si>
    <t>10-1100-4106</t>
  </si>
  <si>
    <t>10-1100-4107</t>
  </si>
  <si>
    <t>10-1100-4108</t>
  </si>
  <si>
    <t>10-1100-4109</t>
  </si>
  <si>
    <t>10-1100-4110</t>
  </si>
  <si>
    <t>10-1100-4112</t>
  </si>
  <si>
    <t>10-1100-4113</t>
  </si>
  <si>
    <t>10-1100-4180</t>
  </si>
  <si>
    <t>10-1100-4200</t>
  </si>
  <si>
    <t>10-1100-4300</t>
  </si>
  <si>
    <t>10-1100-5400</t>
  </si>
  <si>
    <t>10-1100-6001</t>
  </si>
  <si>
    <t>10-1100-6400</t>
  </si>
  <si>
    <t>20-3000-1100</t>
  </si>
  <si>
    <t>20-3000-2110</t>
  </si>
  <si>
    <t>20-3000-2111</t>
  </si>
  <si>
    <t>20-3000-2220</t>
  </si>
  <si>
    <t>20-3000-3000</t>
  </si>
  <si>
    <t>40-2550-4100</t>
  </si>
  <si>
    <t>50-1100-2130</t>
  </si>
  <si>
    <t>50-1100-2140</t>
  </si>
  <si>
    <t>50-3000-2120</t>
  </si>
  <si>
    <t>50-3000-2130</t>
  </si>
  <si>
    <t>50-3000-2140</t>
  </si>
  <si>
    <t>80-2365-3100</t>
  </si>
  <si>
    <t>80-2365-4700</t>
  </si>
  <si>
    <t>Grand-Totals:</t>
  </si>
  <si>
    <t>Totals-for:</t>
  </si>
  <si>
    <t>Totals-for-Fun</t>
  </si>
  <si>
    <t>Totals-for:-80</t>
  </si>
  <si>
    <t>80-7300-0000</t>
  </si>
  <si>
    <t>80-4310-0000</t>
  </si>
  <si>
    <t>80-1800-0000</t>
  </si>
  <si>
    <t>Totals-for:-70</t>
  </si>
  <si>
    <t>70-7300-0000</t>
  </si>
  <si>
    <t>70-1200-0000</t>
  </si>
  <si>
    <t>70-1120-0000</t>
  </si>
  <si>
    <t>Totals-for:-60</t>
  </si>
  <si>
    <t>60-7300-0000</t>
  </si>
  <si>
    <t>60-1120-0000</t>
  </si>
  <si>
    <t>Totals-for:-50</t>
  </si>
  <si>
    <t>50-7300-0000</t>
  </si>
  <si>
    <t>50-4810-4520</t>
  </si>
  <si>
    <t>50-4810-2120</t>
  </si>
  <si>
    <t>50-4810-0000</t>
  </si>
  <si>
    <t>50-4310-0000</t>
  </si>
  <si>
    <t>50-1213-0000</t>
  </si>
  <si>
    <t>50-1210-0000</t>
  </si>
  <si>
    <t>50-1120-0000</t>
  </si>
  <si>
    <t>Totals-for:-40</t>
  </si>
  <si>
    <t>40-7300-0000</t>
  </si>
  <si>
    <t>40-4810-4560</t>
  </si>
  <si>
    <t>40-4810-4551</t>
  </si>
  <si>
    <t>40-4810-4550</t>
  </si>
  <si>
    <t>40-4810-4530</t>
  </si>
  <si>
    <t>40-4810-4520</t>
  </si>
  <si>
    <t>40-4810-2210</t>
  </si>
  <si>
    <t>40-4810-2111</t>
  </si>
  <si>
    <t>40-4810-2110</t>
  </si>
  <si>
    <t>40-4810-0000</t>
  </si>
  <si>
    <t>40-4310-0000</t>
  </si>
  <si>
    <t>40-1210-6200</t>
  </si>
  <si>
    <t>40-1210-0000</t>
  </si>
  <si>
    <t>40-1120-0000</t>
  </si>
  <si>
    <t>Totals-for:-20</t>
  </si>
  <si>
    <t>20-7300-0000</t>
  </si>
  <si>
    <t>20-4810-4560</t>
  </si>
  <si>
    <t>20-4810-4530</t>
  </si>
  <si>
    <t>20-4810-4520</t>
  </si>
  <si>
    <t>20-4810-2210</t>
  </si>
  <si>
    <t>20-4810-2120</t>
  </si>
  <si>
    <t>20-4810-0000</t>
  </si>
  <si>
    <t>20-4310-0000</t>
  </si>
  <si>
    <t>20-1120-0000</t>
  </si>
  <si>
    <t>Totals-for:-10</t>
  </si>
  <si>
    <t>10-7300-0000</t>
  </si>
  <si>
    <t>10-4810-4591</t>
  </si>
  <si>
    <t>10-4810-4590</t>
  </si>
  <si>
    <t>10-4810-4561</t>
  </si>
  <si>
    <t>10-4810-4560</t>
  </si>
  <si>
    <t>10-4810-4551</t>
  </si>
  <si>
    <t>10-4810-4550</t>
  </si>
  <si>
    <t>10-4810-4530</t>
  </si>
  <si>
    <t>10-4810-4520</t>
  </si>
  <si>
    <t>10-4810-2210</t>
  </si>
  <si>
    <t>10-4810-2120</t>
  </si>
  <si>
    <t>10-4810-2111</t>
  </si>
  <si>
    <t>10-4810-2110</t>
  </si>
  <si>
    <t>10-4810-0000</t>
  </si>
  <si>
    <t>10-4310-0000</t>
  </si>
  <si>
    <t>10-1211-0000</t>
  </si>
  <si>
    <t>10-1130-0000</t>
  </si>
  <si>
    <t>10-1120-0000</t>
  </si>
  <si>
    <t>Q - Equity</t>
  </si>
  <si>
    <t>L - Liability</t>
  </si>
  <si>
    <t>A - Asset</t>
  </si>
  <si>
    <t>Expense Summary/Tort</t>
  </si>
  <si>
    <t>Tort Accrual</t>
  </si>
  <si>
    <t>Prepaid Unemployment Comp</t>
  </si>
  <si>
    <t>Bank Account Summary</t>
  </si>
  <si>
    <t>Expense Summary/Working Cash Fund</t>
  </si>
  <si>
    <t>Investments - MM</t>
  </si>
  <si>
    <t>Investments - CD's</t>
  </si>
  <si>
    <t>Expense Summary/Site and Construction/Capital Impr</t>
  </si>
  <si>
    <t>Expense Summary/Municipal Retirement/SS Fund</t>
  </si>
  <si>
    <t>Federal Withholding Tax Payable</t>
  </si>
  <si>
    <t>IMRF</t>
  </si>
  <si>
    <t>Payroll Accrual - Municipal Retirement/SS Fund</t>
  </si>
  <si>
    <t>Municipal Retirement/SS Fund Accrual</t>
  </si>
  <si>
    <t>Retirement/Social Security -  Investments - CD's</t>
  </si>
  <si>
    <t>Expense Summary/Transportation Fund</t>
  </si>
  <si>
    <t>Health Insurance Employee Deductions</t>
  </si>
  <si>
    <t>New York Life 403B</t>
  </si>
  <si>
    <t>New York Life Insurance</t>
  </si>
  <si>
    <t>State Withholding Tax Payable</t>
  </si>
  <si>
    <t>Life Insurance</t>
  </si>
  <si>
    <t>Teacher Health Insurance (THIS)</t>
  </si>
  <si>
    <t>Teacher Retirement (TRS)</t>
  </si>
  <si>
    <t>Payroll Accrual - Transportation Fund</t>
  </si>
  <si>
    <t>Transportation Fund Accrual</t>
  </si>
  <si>
    <t>Transportation Fund - Investments - MM</t>
  </si>
  <si>
    <t>Expense Summary/ Operations and Maintenance Fund</t>
  </si>
  <si>
    <t>Health Insurance Employee Deduction</t>
  </si>
  <si>
    <t>State Tax Withholding</t>
  </si>
  <si>
    <t>IMRF Payroll Withholding</t>
  </si>
  <si>
    <t>Payroll Accrual - Operations and Maintenance</t>
  </si>
  <si>
    <t>Operations and Maintenance Fund Accrual</t>
  </si>
  <si>
    <t>Expense Summary/Education Fund</t>
  </si>
  <si>
    <t>Other Payroll Deductions Payable</t>
  </si>
  <si>
    <t>Dental insurance Employee Deduction</t>
  </si>
  <si>
    <t>New York LIfe 403B Withholding</t>
  </si>
  <si>
    <t>New York Life Insurance Withholding</t>
  </si>
  <si>
    <t>Payroll Accrual - Education Fund</t>
  </si>
  <si>
    <t>Education Fund Accrual</t>
  </si>
  <si>
    <t>Investments - MM - Public Money Market</t>
  </si>
  <si>
    <t>Investments - CD</t>
  </si>
  <si>
    <t>Petty Cash</t>
  </si>
  <si>
    <t>Imprest Fund</t>
  </si>
  <si>
    <t>20-3001-0000</t>
  </si>
  <si>
    <t>20-1999-0000</t>
  </si>
  <si>
    <t>10-2560-3400</t>
  </si>
  <si>
    <t>40-5300-600</t>
  </si>
  <si>
    <t>X</t>
  </si>
  <si>
    <t>CAPITAL LEASE</t>
  </si>
  <si>
    <t>Page 9, Line 17, Education Fund, Payment in Lieu of Taxes</t>
  </si>
  <si>
    <t>Page 11, Line 107, Education Fund, Miscellaneous Revenue</t>
  </si>
  <si>
    <t>Page 10, Line 81, Education Fund, Miscellaneous Activity Fund Revenue</t>
  </si>
  <si>
    <t>Page 11, Line 107, Operations and Maintenance Fund, TIF Revenue</t>
  </si>
  <si>
    <t>Page 12, Line 180, Education Fund, R.E.A.P. Grant</t>
  </si>
  <si>
    <t>ROE #17  Publication of Legal Notices</t>
  </si>
  <si>
    <t>ROE #17 Paper Purchasing Cooperative</t>
  </si>
  <si>
    <t>Livingston County Special Services Unit</t>
  </si>
  <si>
    <t>ROE #17</t>
  </si>
  <si>
    <t>ROE #17 Job Bank Membership</t>
  </si>
  <si>
    <t>Illinois School District Agency</t>
  </si>
  <si>
    <t>LaSalle County Food Cooperative</t>
  </si>
  <si>
    <t>50-1150-0000</t>
  </si>
  <si>
    <t>Treasurer's reports and bank reconciliations for district cash and investments were unavailable.</t>
  </si>
  <si>
    <t>District experienced high turnover throughout the year and did not replace personnel with individuals who had similar levels of SKE.</t>
  </si>
  <si>
    <t>District did not designate an individual who had the skills, knowledge, experience (SKE) to accept responsibility and over the performance of non-attest services.</t>
  </si>
  <si>
    <t>Auditor is not independent of the entity.</t>
  </si>
  <si>
    <t>District changed software midway through the fiscal year and continued to operate without completing reports to a level consistent with school district standards.</t>
  </si>
  <si>
    <t>Auditor was unable verify cash per financial institutions to the cash reported on District books.</t>
  </si>
  <si>
    <t>Treasurer's reports and bank reconciliations will be prepared on a timely basis in a manner consistent with those accepted in the industry.</t>
  </si>
  <si>
    <t>District needs to have treasurer's reports and bank reconciliations that reasonably agree to those reported on the financial statements.</t>
  </si>
  <si>
    <t>District needs to accept responsibility for financial statements and non-attest services.</t>
  </si>
  <si>
    <t>Disbursements were not consistently approved and noted in the Board of Education minutes.</t>
  </si>
  <si>
    <t>The Board of Education will receive a comprehensive listing of invoices to be scrutinized by Board members prior to approval.</t>
  </si>
  <si>
    <t>The District will provide training to current employees or hire personnel who have the SKE to accept responsibility for the financial statements and non-attest services.</t>
  </si>
  <si>
    <t>District personnel was using too much discretion in payouts that should have been handled by the Board of Education.</t>
  </si>
  <si>
    <t>General ledger should provide a comprehensive detail of all district transactions.</t>
  </si>
  <si>
    <t>The general ledger did not provide an adequate, cohesive detail on district transactions.</t>
  </si>
  <si>
    <t>The general ledger will be readily available and contain sufficient information on every district transaction.</t>
  </si>
  <si>
    <t>Auditors could not effectively audit district which lead to a disclaimer of opinion.</t>
  </si>
  <si>
    <t>All disbursements should agree to amounts approved by the Board of Education</t>
  </si>
  <si>
    <t>Vendors and employees alike were being paid for amounts that did not agree to or were not authorized by the Board.</t>
  </si>
  <si>
    <t>Disbursements were made without retaining supporting documentation.</t>
  </si>
  <si>
    <t>Every disbursement should have and match supporting documentation</t>
  </si>
  <si>
    <t>District personnel lack commitment to recordkeeping.</t>
  </si>
  <si>
    <t>Auditors could not determine if material misstatements existed.</t>
  </si>
  <si>
    <t>Stamp was utilized by unauthorized personnel.</t>
  </si>
  <si>
    <t>Signature stamp will be properly secured and utilized only for convenience by individual named on stamp.</t>
  </si>
  <si>
    <t>Signature Stamp should be retained by individual named in a secure location.</t>
  </si>
  <si>
    <t>Personnel that had a signature stamp were careless with the security of the stamp.</t>
  </si>
  <si>
    <t>Loose cash was receipted and recorded into school accounts without documentation as to its origin.</t>
  </si>
  <si>
    <t>Lack of controls over cash receipting and recording.</t>
  </si>
  <si>
    <t>Segregation of duties for cash receipting and recording.</t>
  </si>
  <si>
    <t>Cash (other than petty cash) will be deposited at earliest convenience into district bank accounts with record of source and proper signatures and approvals. Cash will be collected or independently verified by two separate employees not involved directly in the administration of the records for the district.</t>
  </si>
  <si>
    <t>District records fail to properly identify certain transactions .</t>
  </si>
  <si>
    <t>District did not make a listing of journal entries available to auditors for testing.</t>
  </si>
  <si>
    <t>All manual entries journalized into district records will be made available to auditors with descriptions of why the entry was completed.</t>
  </si>
  <si>
    <t>Inexperienced personnel coupled with a software change.</t>
  </si>
  <si>
    <t>All voided checks should be kept on hand in a secured location.</t>
  </si>
  <si>
    <t>Voided checks could not be located.</t>
  </si>
  <si>
    <t>Auditor could not verify if checks were voided.</t>
  </si>
  <si>
    <t>District personnel shredded (per district personnel) voided checks.</t>
  </si>
  <si>
    <t>Transactions should be classified in proper ISBE accounts.</t>
  </si>
  <si>
    <t>District demonstrated numerous revenue and expense misclassifications in relation to budget and accounts prescribed by the Illinois State Board of Education.</t>
  </si>
  <si>
    <t>Auditor noted multiple misclassified transactions in samples pulled for examination.</t>
  </si>
  <si>
    <t>Activity funds were created with district identification number without Board of Education approval.</t>
  </si>
  <si>
    <t>Activity funds will not be created without direct approval from the Board of Education.</t>
  </si>
  <si>
    <t>New activity funds should be approved by Board of Education.</t>
  </si>
  <si>
    <t>Board of education should only approved items that have proper documentation.</t>
  </si>
  <si>
    <t>The Board minutes approved items in the Consent Agenda that were not available for audit scrutiny or lacked clarity.</t>
  </si>
  <si>
    <t>Treasurer's reports and disbursements were being approved without Board examination.</t>
  </si>
  <si>
    <t>Software change in middle of fiscal year disrupted reports that were sent to the Board for approval.</t>
  </si>
  <si>
    <t>Lack of communication and oversight from district Superintendent</t>
  </si>
  <si>
    <t>District had multiple unapproved activity funds at various financial institutions.</t>
  </si>
  <si>
    <t>School transitioned software providers in the middle of the fiscal year, and district personnel were unable to provide appropriate reports to support general ledger account balances.</t>
  </si>
  <si>
    <t>All expenditure transactions will have supporting documentation on file that reconciles to district records.</t>
  </si>
  <si>
    <t>Imprest fund signature stamp was not secured.</t>
  </si>
  <si>
    <t>Auditor was unable to test journal entries to ensure entries were appropriate and approved by management.</t>
  </si>
  <si>
    <t>Journal entries should be readily available with a description of its purpose.</t>
  </si>
  <si>
    <t>Voided checks shall be kept for an appropriate amount of time to be utilized as evidence to determine that sequence of checks used is proper.</t>
  </si>
  <si>
    <t>Inexperienced personnel and staff turnover. Oversight by management was insufficient.</t>
  </si>
  <si>
    <t>District transactions will adhere to budget approved by the Board of Education and account classifications set forth by Illinois State Board of Education. Training for staff in school district accounting and specific training in Skyward software should be completed.</t>
  </si>
  <si>
    <t>All items approved by Board of Education will contain substance and will not be done just to maintain status quo. Items approved in the consent agenda need to have support available for inspection by the Board of Education.</t>
  </si>
  <si>
    <t>We agree to institute the auditor's recommendation.</t>
  </si>
  <si>
    <t>doughang@saunemin.org</t>
  </si>
  <si>
    <t>Gary Doughan</t>
  </si>
  <si>
    <t>815-832-4421</t>
  </si>
  <si>
    <t>We agree to institute the above plan if deemed cost effective.</t>
  </si>
  <si>
    <t>20. See internal control material weaknesses as defined in the Independent Auditor's report on Internal Controls over Financial Reporting.
23. The independent Auditor's Report was disclaimed on the cash basis accounting. (See Independent Auditor's Report)</t>
  </si>
  <si>
    <t>Pontiac #429</t>
  </si>
  <si>
    <t>Getz Fire Equipment</t>
  </si>
  <si>
    <t>O&amp;M-Plant Services-Purchased Services</t>
  </si>
  <si>
    <t>Liberty Fire</t>
  </si>
  <si>
    <t>Republic Services</t>
  </si>
  <si>
    <t>Ideal Environmental</t>
  </si>
  <si>
    <t>Illinois School Dist Agency</t>
  </si>
  <si>
    <t>Tort-Support Services-Purchased Services</t>
  </si>
  <si>
    <t>Trans-Pupil Transportation Services-Purchased Services</t>
  </si>
  <si>
    <t>ED-Support Services-Purchased Services</t>
  </si>
  <si>
    <t>Common Goal</t>
  </si>
  <si>
    <t>ED-Instruction-Purchased Services</t>
  </si>
  <si>
    <t>NWEA MAP</t>
  </si>
  <si>
    <t>Domain Listing Website</t>
  </si>
  <si>
    <t>SMART Learning  Suite</t>
  </si>
  <si>
    <t>IXL</t>
  </si>
  <si>
    <t>ROE 17</t>
  </si>
  <si>
    <t>LCSSU</t>
  </si>
  <si>
    <t>CDS Office Technologies</t>
  </si>
  <si>
    <t>10-1000-300</t>
  </si>
  <si>
    <t>CDS Leasing Program</t>
  </si>
  <si>
    <t>Skyward</t>
  </si>
  <si>
    <t>Engie Resoures</t>
  </si>
  <si>
    <t>Comed</t>
  </si>
  <si>
    <t>Centerpoint Energy</t>
  </si>
  <si>
    <t xml:space="preserve">Hinckley </t>
  </si>
  <si>
    <t>Illinois American Water</t>
  </si>
  <si>
    <t>Roenfeldt &amp; Lockas</t>
  </si>
  <si>
    <t>Miller, Tracy, Braun, Funk</t>
  </si>
  <si>
    <t>Midwest Transit</t>
  </si>
  <si>
    <t xml:space="preserve">Pontiac Grade School </t>
  </si>
  <si>
    <t>Verizon</t>
  </si>
  <si>
    <t>Mediacom</t>
  </si>
  <si>
    <t>Comtech Holding</t>
  </si>
  <si>
    <t>Chemsearch</t>
  </si>
  <si>
    <t>HJ Eppel &amp; CO</t>
  </si>
  <si>
    <t>20-2540-300</t>
  </si>
  <si>
    <t>40-2550-300</t>
  </si>
  <si>
    <t>10-2520-400</t>
  </si>
  <si>
    <t>10-2520-300</t>
  </si>
  <si>
    <t>CP-Plant Services-Purchased Services</t>
  </si>
  <si>
    <t>60-2530-500</t>
  </si>
  <si>
    <t>10-2300-300</t>
  </si>
  <si>
    <t>80-2300-300</t>
  </si>
  <si>
    <t>ED-Instruction-Other</t>
  </si>
  <si>
    <t>ED-Support Services-Supplies &amp; Materials</t>
  </si>
  <si>
    <t>Saunemin CCSD 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</si>
</sst>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color indexed="8"/>
      <name val="Arial"/>
      <family val="2"/>
    </font>
    <font>
      <b/>
      <u/>
      <sz val="10"/>
      <color rgb="FFFF0000"/>
      <name val="Arial"/>
      <family val="2"/>
    </font>
    <font>
      <b/>
      <vertAlign val="superscript"/>
      <sz val="9"/>
      <name val="Arial"/>
      <family val="2"/>
    </font>
    <font>
      <b/>
      <u/>
      <sz val="8"/>
      <name val="Arial"/>
      <family val="2"/>
    </font>
    <font>
      <b/>
      <i/>
      <sz val="10"/>
      <name val="Arial"/>
      <family val="2"/>
    </font>
    <font>
      <vertAlign val="superscript"/>
      <sz val="8"/>
      <name val="Arial"/>
      <family val="2"/>
    </font>
    <font>
      <sz val="11"/>
      <name val="Calibri"/>
      <family val="2"/>
    </font>
    <font>
      <u/>
      <sz val="7.5"/>
      <color indexed="12"/>
      <name val="Arial"/>
      <family val="2"/>
    </font>
    <font>
      <sz val="10"/>
      <color rgb="FF000000"/>
      <name val="Times New Roman"/>
      <family val="1"/>
    </font>
    <font>
      <sz val="11"/>
      <color rgb="FF000000"/>
      <name val="Arial"/>
      <family val="2"/>
    </font>
    <font>
      <sz val="11"/>
      <color rgb="FF000000"/>
      <name val="Calibri"/>
      <family val="2"/>
    </font>
    <font>
      <sz val="11"/>
      <color theme="1"/>
      <name val="Arial"/>
      <family val="2"/>
    </font>
    <font>
      <sz val="11"/>
      <color theme="1"/>
      <name val="Calibri"/>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rgb="FFFFFFFF"/>
        <bgColor rgb="FFFFFFFF"/>
      </patternFill>
    </fill>
  </fills>
  <borders count="17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rgb="FF595959"/>
      </left>
      <right style="thin">
        <color rgb="FF595959"/>
      </right>
      <top style="thin">
        <color rgb="FF595959"/>
      </top>
      <bottom style="thin">
        <color rgb="FF595959"/>
      </bottom>
      <diagonal/>
    </border>
    <border>
      <left/>
      <right style="thin">
        <color rgb="FF595959"/>
      </right>
      <top/>
      <bottom style="thin">
        <color rgb="FF595959"/>
      </bottom>
      <diagonal/>
    </border>
    <border>
      <left/>
      <right style="thin">
        <color rgb="FF595959"/>
      </right>
      <top style="thin">
        <color rgb="FF595959"/>
      </top>
      <bottom style="thin">
        <color rgb="FF595959"/>
      </bottom>
      <diagonal/>
    </border>
    <border>
      <left style="thin">
        <color rgb="FF595959"/>
      </left>
      <right style="thin">
        <color rgb="FF595959"/>
      </right>
      <top style="thin">
        <color rgb="FF595959"/>
      </top>
      <bottom style="thin">
        <color rgb="FF000000"/>
      </bottom>
      <diagonal/>
    </border>
    <border>
      <left style="thin">
        <color rgb="FF595959"/>
      </left>
      <right style="thin">
        <color rgb="FF595959"/>
      </right>
      <top style="thin">
        <color rgb="FF595959"/>
      </top>
      <bottom/>
      <diagonal/>
    </border>
    <border>
      <left style="thin">
        <color rgb="FF595959"/>
      </left>
      <right style="thin">
        <color rgb="FF595959"/>
      </right>
      <top/>
      <bottom style="thin">
        <color rgb="FF595959"/>
      </bottom>
      <diagonal/>
    </border>
    <border>
      <left style="thin">
        <color rgb="FF000000"/>
      </left>
      <right style="thin">
        <color rgb="FF000000"/>
      </right>
      <top style="thin">
        <color rgb="FF000000"/>
      </top>
      <bottom style="thin">
        <color rgb="FF000000"/>
      </bottom>
      <diagonal/>
    </border>
    <border>
      <left style="thin">
        <color rgb="FF595959"/>
      </left>
      <right/>
      <top style="thin">
        <color rgb="FF595959"/>
      </top>
      <bottom style="thin">
        <color rgb="FF595959"/>
      </bottom>
      <diagonal/>
    </border>
  </borders>
  <cellStyleXfs count="10670">
    <xf numFmtId="0" fontId="0" fillId="0" borderId="0"/>
    <xf numFmtId="43" fontId="15" fillId="0" borderId="0" applyFont="0" applyFill="0" applyBorder="0" applyAlignment="0" applyProtection="0"/>
    <xf numFmtId="0" fontId="38" fillId="0" borderId="0" applyNumberFormat="0" applyFill="0" applyBorder="0" applyAlignment="0" applyProtection="0">
      <alignment vertical="top"/>
      <protection locked="0"/>
    </xf>
    <xf numFmtId="0" fontId="15" fillId="0" borderId="0"/>
    <xf numFmtId="0" fontId="5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0" fillId="0" borderId="0"/>
    <xf numFmtId="0" fontId="14" fillId="0" borderId="0"/>
    <xf numFmtId="0" fontId="57" fillId="0" borderId="0" applyNumberFormat="0" applyFill="0" applyBorder="0" applyAlignment="0" applyProtection="0"/>
    <xf numFmtId="0" fontId="13" fillId="0" borderId="0"/>
    <xf numFmtId="0" fontId="12" fillId="0" borderId="0"/>
    <xf numFmtId="0" fontId="9" fillId="0" borderId="0"/>
    <xf numFmtId="0" fontId="7" fillId="0" borderId="0"/>
    <xf numFmtId="0" fontId="7" fillId="0" borderId="0"/>
    <xf numFmtId="0" fontId="143" fillId="0" borderId="0">
      <alignment vertical="top"/>
    </xf>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4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43" fillId="0" borderId="0" applyFont="0" applyFill="0" applyBorder="0" applyAlignment="0" applyProtection="0"/>
    <xf numFmtId="44" fontId="1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43" fillId="0" borderId="0" applyFont="0" applyFill="0" applyBorder="0" applyAlignment="0" applyProtection="0"/>
    <xf numFmtId="44" fontId="143" fillId="0" borderId="0" applyFont="0" applyFill="0" applyBorder="0" applyAlignment="0" applyProtection="0"/>
    <xf numFmtId="44" fontId="149" fillId="0" borderId="0" applyFont="0" applyFill="0" applyBorder="0" applyAlignment="0" applyProtection="0"/>
    <xf numFmtId="0" fontId="150"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149" fillId="0" borderId="0"/>
    <xf numFmtId="0" fontId="3" fillId="0" borderId="0"/>
    <xf numFmtId="0" fontId="3" fillId="0" borderId="0"/>
    <xf numFmtId="0" fontId="3" fillId="0" borderId="0"/>
    <xf numFmtId="0" fontId="3" fillId="0" borderId="0"/>
    <xf numFmtId="0" fontId="3" fillId="0" borderId="0"/>
    <xf numFmtId="0" fontId="149" fillId="0" borderId="0"/>
    <xf numFmtId="0" fontId="149" fillId="0" borderId="0"/>
    <xf numFmtId="0" fontId="149" fillId="0" borderId="0"/>
    <xf numFmtId="0" fontId="149" fillId="0" borderId="0"/>
    <xf numFmtId="0" fontId="14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4" fillId="0" borderId="0"/>
  </cellStyleXfs>
  <cellXfs count="2553">
    <xf numFmtId="0" fontId="0" fillId="0" borderId="0" xfId="0"/>
    <xf numFmtId="0" fontId="15" fillId="0" borderId="0" xfId="0" applyFont="1"/>
    <xf numFmtId="0" fontId="20" fillId="0" borderId="0" xfId="0" applyFont="1"/>
    <xf numFmtId="0" fontId="0" fillId="0" borderId="0" xfId="0" applyAlignment="1">
      <alignment horizontal="left" vertical="center"/>
    </xf>
    <xf numFmtId="0" fontId="16" fillId="0" borderId="0" xfId="0" applyFont="1"/>
    <xf numFmtId="0" fontId="0" fillId="0" borderId="0" xfId="0" applyProtection="1"/>
    <xf numFmtId="0" fontId="0" fillId="0" borderId="0" xfId="0" applyBorder="1" applyProtection="1"/>
    <xf numFmtId="0" fontId="20" fillId="0" borderId="0" xfId="0" applyFont="1" applyAlignment="1"/>
    <xf numFmtId="0" fontId="0" fillId="0" borderId="0" xfId="0" applyFill="1"/>
    <xf numFmtId="0" fontId="20" fillId="0" borderId="0" xfId="0" applyFont="1" applyFill="1"/>
    <xf numFmtId="0" fontId="29" fillId="0" borderId="0" xfId="0" applyFont="1" applyProtection="1"/>
    <xf numFmtId="0" fontId="29" fillId="0" borderId="0" xfId="0" applyFont="1" applyProtection="1">
      <protection locked="0"/>
    </xf>
    <xf numFmtId="0" fontId="15" fillId="0" borderId="0" xfId="0" applyFont="1" applyProtection="1"/>
    <xf numFmtId="0" fontId="0" fillId="0" borderId="0" xfId="0" applyFill="1" applyProtection="1"/>
    <xf numFmtId="0" fontId="31" fillId="0" borderId="0" xfId="0" applyFont="1" applyAlignment="1" applyProtection="1">
      <alignment horizontal="right" vertical="top"/>
    </xf>
    <xf numFmtId="164" fontId="20" fillId="0" borderId="0" xfId="0" applyNumberFormat="1" applyFont="1" applyAlignment="1" applyProtection="1">
      <alignment horizontal="left" wrapText="1"/>
    </xf>
    <xf numFmtId="0" fontId="20" fillId="0" borderId="0" xfId="0" applyFont="1" applyAlignment="1">
      <alignment horizontal="left" wrapText="1"/>
    </xf>
    <xf numFmtId="49" fontId="33" fillId="0" borderId="0" xfId="0" applyNumberFormat="1" applyFont="1" applyAlignment="1">
      <alignment horizontal="right" vertical="top" indent="1"/>
    </xf>
    <xf numFmtId="49" fontId="33" fillId="0" borderId="0" xfId="0" applyNumberFormat="1" applyFont="1" applyAlignment="1">
      <alignment horizontal="right" vertical="top"/>
    </xf>
    <xf numFmtId="0" fontId="0" fillId="0" borderId="0" xfId="0" applyAlignment="1"/>
    <xf numFmtId="0" fontId="20" fillId="0" borderId="0" xfId="0" applyFont="1" applyAlignment="1">
      <alignment horizontal="left"/>
    </xf>
    <xf numFmtId="0" fontId="30" fillId="0" borderId="0" xfId="0" applyFont="1"/>
    <xf numFmtId="49" fontId="35" fillId="0" borderId="0" xfId="0" applyNumberFormat="1" applyFont="1" applyAlignment="1">
      <alignment horizontal="right" vertical="top" indent="1"/>
    </xf>
    <xf numFmtId="0" fontId="31" fillId="0" borderId="0" xfId="0" applyFont="1" applyAlignment="1" applyProtection="1">
      <alignment horizontal="left" vertical="center" wrapText="1"/>
    </xf>
    <xf numFmtId="0" fontId="0" fillId="0" borderId="0" xfId="0" applyAlignment="1">
      <alignment horizontal="left" vertical="center" wrapText="1"/>
    </xf>
    <xf numFmtId="49" fontId="33" fillId="0" borderId="0" xfId="0" applyNumberFormat="1" applyFont="1" applyAlignment="1">
      <alignment horizontal="right" vertical="center"/>
    </xf>
    <xf numFmtId="0" fontId="19" fillId="0" borderId="0" xfId="12" applyFont="1" applyBorder="1" applyAlignment="1" applyProtection="1">
      <alignment vertical="center"/>
    </xf>
    <xf numFmtId="0" fontId="21" fillId="0" borderId="0" xfId="12" applyNumberFormat="1" applyFont="1" applyBorder="1" applyAlignment="1" applyProtection="1">
      <alignment horizontal="left" vertical="center"/>
    </xf>
    <xf numFmtId="0" fontId="21" fillId="0" borderId="0" xfId="12" applyNumberFormat="1" applyFont="1" applyBorder="1" applyAlignment="1" applyProtection="1">
      <alignment vertical="center"/>
    </xf>
    <xf numFmtId="0" fontId="16" fillId="0" borderId="0" xfId="12" applyNumberFormat="1" applyFont="1" applyBorder="1" applyAlignment="1" applyProtection="1">
      <alignment vertical="center"/>
    </xf>
    <xf numFmtId="0" fontId="19" fillId="0" borderId="0" xfId="12" applyNumberFormat="1" applyFont="1" applyBorder="1" applyAlignment="1" applyProtection="1">
      <alignment vertical="center"/>
    </xf>
    <xf numFmtId="0" fontId="19" fillId="0" borderId="0" xfId="12" applyNumberFormat="1" applyFont="1" applyBorder="1" applyAlignment="1" applyProtection="1">
      <alignment horizontal="left" vertical="center"/>
    </xf>
    <xf numFmtId="0" fontId="16" fillId="0" borderId="0" xfId="12" applyNumberFormat="1" applyFont="1" applyBorder="1" applyAlignment="1" applyProtection="1">
      <alignment horizontal="left" vertical="center"/>
    </xf>
    <xf numFmtId="0" fontId="19" fillId="0" borderId="0" xfId="0" applyNumberFormat="1" applyFont="1" applyBorder="1" applyAlignment="1" applyProtection="1">
      <alignment vertical="center"/>
    </xf>
    <xf numFmtId="0" fontId="19" fillId="0" borderId="0" xfId="12" applyNumberFormat="1" applyFont="1" applyBorder="1" applyAlignment="1" applyProtection="1">
      <alignment horizontal="centerContinuous" vertical="center"/>
    </xf>
    <xf numFmtId="0" fontId="29" fillId="0" borderId="0" xfId="0" applyFont="1" applyFill="1" applyProtection="1"/>
    <xf numFmtId="0" fontId="19" fillId="0" borderId="0" xfId="12" applyFont="1" applyBorder="1" applyAlignment="1" applyProtection="1">
      <alignment horizontal="left" vertical="center"/>
    </xf>
    <xf numFmtId="0" fontId="37" fillId="0" borderId="0" xfId="12" applyFont="1" applyBorder="1" applyAlignment="1" applyProtection="1">
      <alignment vertical="center"/>
    </xf>
    <xf numFmtId="0" fontId="18" fillId="0" borderId="0" xfId="12" applyFont="1" applyBorder="1" applyAlignment="1" applyProtection="1">
      <alignment horizontal="center" vertical="center"/>
    </xf>
    <xf numFmtId="0" fontId="18" fillId="0" borderId="0" xfId="12" applyFont="1" applyBorder="1" applyAlignment="1" applyProtection="1">
      <alignment horizontal="left" vertical="center"/>
    </xf>
    <xf numFmtId="0" fontId="21" fillId="0" borderId="0" xfId="12" applyNumberFormat="1" applyFont="1" applyBorder="1" applyAlignment="1" applyProtection="1">
      <alignment horizontal="center" vertical="center"/>
    </xf>
    <xf numFmtId="0" fontId="16" fillId="0" borderId="0" xfId="12" applyFont="1" applyBorder="1" applyAlignment="1" applyProtection="1">
      <alignment vertical="center"/>
    </xf>
    <xf numFmtId="0" fontId="17" fillId="0" borderId="0" xfId="12" applyFont="1" applyBorder="1" applyAlignment="1" applyProtection="1">
      <alignment horizontal="left" vertical="center"/>
    </xf>
    <xf numFmtId="0" fontId="19" fillId="0" borderId="0" xfId="12" quotePrefix="1" applyNumberFormat="1" applyFont="1" applyBorder="1" applyAlignment="1" applyProtection="1">
      <alignment horizontal="left" vertical="center"/>
    </xf>
    <xf numFmtId="0" fontId="16" fillId="0" borderId="12" xfId="12" applyFont="1" applyBorder="1" applyAlignment="1" applyProtection="1">
      <alignment vertical="center"/>
    </xf>
    <xf numFmtId="0" fontId="19" fillId="0" borderId="16" xfId="12" applyFont="1" applyBorder="1" applyAlignment="1" applyProtection="1">
      <alignment vertical="center"/>
    </xf>
    <xf numFmtId="0" fontId="19" fillId="0" borderId="10" xfId="12" applyFont="1" applyBorder="1" applyAlignment="1" applyProtection="1">
      <alignment vertical="center"/>
    </xf>
    <xf numFmtId="0" fontId="16" fillId="0" borderId="17" xfId="12" applyFont="1" applyBorder="1" applyAlignment="1" applyProtection="1">
      <alignment vertical="center"/>
    </xf>
    <xf numFmtId="0" fontId="19" fillId="0" borderId="18" xfId="12" applyFont="1" applyBorder="1" applyAlignment="1" applyProtection="1">
      <alignment vertical="center"/>
    </xf>
    <xf numFmtId="0" fontId="21" fillId="0" borderId="0" xfId="0" applyNumberFormat="1" applyFont="1" applyFill="1" applyBorder="1" applyAlignment="1" applyProtection="1">
      <alignment vertical="center"/>
    </xf>
    <xf numFmtId="0" fontId="16" fillId="0" borderId="16" xfId="12" applyNumberFormat="1" applyFont="1" applyBorder="1" applyAlignment="1" applyProtection="1">
      <alignment vertical="center"/>
    </xf>
    <xf numFmtId="0" fontId="19" fillId="0" borderId="16" xfId="12" applyNumberFormat="1" applyFont="1" applyBorder="1" applyAlignment="1" applyProtection="1">
      <alignment vertical="center"/>
    </xf>
    <xf numFmtId="0" fontId="19" fillId="0" borderId="20" xfId="12" applyNumberFormat="1" applyFont="1" applyBorder="1" applyAlignment="1" applyProtection="1">
      <alignment vertical="center"/>
    </xf>
    <xf numFmtId="0" fontId="19" fillId="0" borderId="10" xfId="12" applyNumberFormat="1" applyFont="1" applyBorder="1" applyAlignment="1" applyProtection="1">
      <alignment horizontal="left" vertical="center"/>
    </xf>
    <xf numFmtId="0" fontId="19" fillId="0" borderId="17" xfId="12" applyNumberFormat="1" applyFont="1" applyBorder="1" applyAlignment="1" applyProtection="1">
      <alignment vertical="center"/>
    </xf>
    <xf numFmtId="0" fontId="19" fillId="0" borderId="18" xfId="12" applyNumberFormat="1" applyFont="1" applyBorder="1" applyAlignment="1" applyProtection="1">
      <alignment vertical="center"/>
    </xf>
    <xf numFmtId="0" fontId="16" fillId="0" borderId="10" xfId="12" applyNumberFormat="1" applyFont="1" applyBorder="1" applyAlignment="1" applyProtection="1">
      <alignment horizontal="left" vertical="center"/>
    </xf>
    <xf numFmtId="0" fontId="19" fillId="0" borderId="10" xfId="12" applyNumberFormat="1" applyFont="1" applyBorder="1" applyAlignment="1" applyProtection="1">
      <alignment vertical="center"/>
    </xf>
    <xf numFmtId="0" fontId="19" fillId="0" borderId="16" xfId="12" applyNumberFormat="1" applyFont="1" applyFill="1" applyBorder="1" applyAlignment="1" applyProtection="1">
      <alignment vertical="center"/>
    </xf>
    <xf numFmtId="0" fontId="21" fillId="0" borderId="16" xfId="0" applyNumberFormat="1" applyFont="1" applyFill="1" applyBorder="1" applyAlignment="1" applyProtection="1">
      <alignment vertical="center"/>
    </xf>
    <xf numFmtId="0" fontId="21" fillId="0" borderId="10" xfId="0" applyNumberFormat="1" applyFont="1" applyFill="1" applyBorder="1" applyAlignment="1" applyProtection="1">
      <alignment vertical="center"/>
    </xf>
    <xf numFmtId="0" fontId="21" fillId="0" borderId="18" xfId="0" applyNumberFormat="1" applyFont="1" applyFill="1" applyBorder="1" applyAlignment="1" applyProtection="1">
      <alignment vertical="center"/>
    </xf>
    <xf numFmtId="0" fontId="16" fillId="0" borderId="10" xfId="12" applyNumberFormat="1" applyFont="1" applyFill="1" applyBorder="1" applyAlignment="1" applyProtection="1">
      <alignment vertical="center"/>
    </xf>
    <xf numFmtId="0" fontId="16" fillId="0" borderId="12" xfId="12" quotePrefix="1" applyNumberFormat="1" applyFont="1" applyBorder="1" applyAlignment="1" applyProtection="1">
      <alignment horizontal="left" vertical="center"/>
    </xf>
    <xf numFmtId="0" fontId="19" fillId="0" borderId="17" xfId="12" applyNumberFormat="1" applyFont="1" applyBorder="1" applyAlignment="1" applyProtection="1">
      <alignment horizontal="right" vertical="center"/>
    </xf>
    <xf numFmtId="0" fontId="16" fillId="0" borderId="0" xfId="0" applyFont="1" applyAlignment="1">
      <alignment horizontal="left" vertical="center"/>
    </xf>
    <xf numFmtId="0" fontId="16" fillId="0" borderId="0" xfId="0" applyFont="1" applyAlignment="1"/>
    <xf numFmtId="0" fontId="0" fillId="0" borderId="16" xfId="0" applyNumberFormat="1" applyBorder="1" applyAlignment="1">
      <alignment horizontal="left" vertical="center"/>
    </xf>
    <xf numFmtId="0" fontId="19" fillId="0" borderId="12" xfId="12" applyFont="1" applyBorder="1" applyAlignment="1" applyProtection="1">
      <alignment vertical="center"/>
    </xf>
    <xf numFmtId="0" fontId="16" fillId="0" borderId="16" xfId="0" applyNumberFormat="1" applyFont="1" applyBorder="1" applyAlignment="1">
      <alignment horizontal="left" vertical="center"/>
    </xf>
    <xf numFmtId="0" fontId="16" fillId="0" borderId="18" xfId="12" applyNumberFormat="1" applyFont="1" applyBorder="1" applyAlignment="1" applyProtection="1">
      <alignment vertical="center"/>
    </xf>
    <xf numFmtId="0" fontId="16" fillId="0" borderId="10" xfId="12" applyNumberFormat="1" applyFont="1" applyBorder="1" applyAlignment="1" applyProtection="1">
      <alignment vertical="center"/>
    </xf>
    <xf numFmtId="0" fontId="16" fillId="0" borderId="16" xfId="12" applyNumberFormat="1" applyFont="1" applyBorder="1" applyAlignment="1" applyProtection="1">
      <alignment horizontal="left" vertical="center"/>
    </xf>
    <xf numFmtId="0" fontId="16" fillId="0" borderId="16" xfId="12" applyFont="1" applyBorder="1" applyAlignment="1" applyProtection="1">
      <alignment vertical="center"/>
    </xf>
    <xf numFmtId="0" fontId="19" fillId="0" borderId="0" xfId="12" applyNumberFormat="1" applyFont="1" applyBorder="1" applyAlignment="1" applyProtection="1">
      <alignment horizontal="center" vertical="center"/>
    </xf>
    <xf numFmtId="0" fontId="20" fillId="0" borderId="16" xfId="0" applyNumberFormat="1" applyFont="1" applyBorder="1" applyAlignment="1">
      <alignment horizontal="left" vertical="center"/>
    </xf>
    <xf numFmtId="0" fontId="19" fillId="0" borderId="16" xfId="12" applyNumberFormat="1" applyFont="1" applyBorder="1" applyAlignment="1" applyProtection="1">
      <alignment horizontal="left" vertical="center"/>
    </xf>
    <xf numFmtId="0" fontId="17" fillId="0" borderId="16" xfId="12" applyFont="1" applyBorder="1" applyAlignment="1" applyProtection="1">
      <alignment vertical="center"/>
    </xf>
    <xf numFmtId="0" fontId="17" fillId="0" borderId="16" xfId="12" applyNumberFormat="1" applyFont="1" applyBorder="1" applyAlignment="1" applyProtection="1">
      <alignment horizontal="left" vertical="center"/>
    </xf>
    <xf numFmtId="0" fontId="17" fillId="0" borderId="16" xfId="0" applyNumberFormat="1" applyFont="1" applyBorder="1" applyAlignment="1">
      <alignment horizontal="left" vertical="center"/>
    </xf>
    <xf numFmtId="0" fontId="19" fillId="0" borderId="16" xfId="12" applyFont="1" applyBorder="1" applyAlignment="1" applyProtection="1">
      <alignment horizontal="left" vertical="center"/>
    </xf>
    <xf numFmtId="0" fontId="16" fillId="0" borderId="16" xfId="12" applyFont="1" applyBorder="1" applyAlignment="1" applyProtection="1">
      <alignment horizontal="left" vertical="center"/>
    </xf>
    <xf numFmtId="0" fontId="19" fillId="0" borderId="10" xfId="12" applyFont="1" applyBorder="1" applyAlignment="1" applyProtection="1">
      <alignment horizontal="left" vertical="center"/>
    </xf>
    <xf numFmtId="0" fontId="18" fillId="0" borderId="0" xfId="12" applyNumberFormat="1" applyFont="1" applyBorder="1" applyAlignment="1" applyProtection="1">
      <alignment horizontal="center" vertical="center"/>
    </xf>
    <xf numFmtId="0" fontId="18" fillId="0" borderId="0" xfId="12" applyFont="1" applyBorder="1" applyAlignment="1" applyProtection="1">
      <alignment vertical="center"/>
    </xf>
    <xf numFmtId="0" fontId="16" fillId="0" borderId="12" xfId="12" applyNumberFormat="1" applyFont="1" applyBorder="1" applyAlignment="1" applyProtection="1">
      <alignment horizontal="left" vertical="center"/>
    </xf>
    <xf numFmtId="0" fontId="16" fillId="0" borderId="12" xfId="12" applyNumberFormat="1" applyFont="1" applyFill="1" applyBorder="1" applyAlignment="1" applyProtection="1">
      <alignment vertical="center"/>
    </xf>
    <xf numFmtId="0" fontId="16" fillId="0" borderId="12" xfId="0" applyNumberFormat="1" applyFont="1" applyFill="1" applyBorder="1" applyAlignment="1" applyProtection="1">
      <alignment vertical="center"/>
    </xf>
    <xf numFmtId="0" fontId="16" fillId="0" borderId="17" xfId="0" applyNumberFormat="1" applyFont="1" applyFill="1" applyBorder="1" applyAlignment="1" applyProtection="1">
      <alignment vertical="center"/>
    </xf>
    <xf numFmtId="0" fontId="16" fillId="0" borderId="12" xfId="12" applyNumberFormat="1" applyFont="1" applyBorder="1" applyAlignment="1" applyProtection="1">
      <alignment vertical="center"/>
    </xf>
    <xf numFmtId="0" fontId="16" fillId="0" borderId="17" xfId="12" applyNumberFormat="1" applyFont="1" applyBorder="1" applyAlignment="1" applyProtection="1">
      <alignment horizontal="left" vertical="center"/>
    </xf>
    <xf numFmtId="0" fontId="16" fillId="0" borderId="16" xfId="12" quotePrefix="1" applyNumberFormat="1" applyFont="1" applyBorder="1" applyAlignment="1" applyProtection="1">
      <alignment horizontal="left" vertical="center"/>
    </xf>
    <xf numFmtId="0" fontId="19" fillId="0" borderId="16" xfId="0" applyNumberFormat="1" applyFont="1" applyBorder="1" applyAlignment="1">
      <alignment vertical="center"/>
    </xf>
    <xf numFmtId="0" fontId="16" fillId="0" borderId="0" xfId="12" applyNumberFormat="1" applyFont="1" applyBorder="1" applyAlignment="1" applyProtection="1">
      <alignment horizontal="left" vertical="center" indent="1"/>
    </xf>
    <xf numFmtId="0" fontId="19" fillId="0" borderId="19" xfId="12" applyNumberFormat="1" applyFont="1" applyBorder="1" applyAlignment="1" applyProtection="1">
      <alignment vertical="center"/>
    </xf>
    <xf numFmtId="0" fontId="16" fillId="0" borderId="20" xfId="12" applyNumberFormat="1" applyFont="1" applyBorder="1" applyAlignment="1" applyProtection="1">
      <alignment vertical="top"/>
    </xf>
    <xf numFmtId="0" fontId="16" fillId="0" borderId="20" xfId="12" quotePrefix="1" applyNumberFormat="1" applyFont="1" applyBorder="1" applyAlignment="1" applyProtection="1">
      <alignment horizontal="left" vertical="center"/>
    </xf>
    <xf numFmtId="0" fontId="19" fillId="0" borderId="11" xfId="12" applyNumberFormat="1" applyFont="1" applyBorder="1" applyAlignment="1" applyProtection="1">
      <alignment vertical="center"/>
    </xf>
    <xf numFmtId="0" fontId="41" fillId="0" borderId="18" xfId="0" applyFont="1" applyBorder="1" applyAlignment="1">
      <alignment horizontal="left" vertical="center" indent="1"/>
    </xf>
    <xf numFmtId="0" fontId="26" fillId="0" borderId="0" xfId="12" applyNumberFormat="1" applyFont="1" applyBorder="1" applyAlignment="1" applyProtection="1">
      <alignment horizontal="center" vertical="center"/>
    </xf>
    <xf numFmtId="0" fontId="21" fillId="0" borderId="0" xfId="12" applyNumberFormat="1" applyFont="1" applyBorder="1" applyAlignment="1" applyProtection="1">
      <alignment horizontal="left" vertical="center" indent="2"/>
    </xf>
    <xf numFmtId="0" fontId="26" fillId="0" borderId="2" xfId="12" applyFont="1" applyBorder="1" applyAlignment="1" applyProtection="1">
      <alignment horizontal="center" vertical="center"/>
      <protection locked="0"/>
    </xf>
    <xf numFmtId="0" fontId="26" fillId="0" borderId="2" xfId="12" applyNumberFormat="1" applyFont="1" applyBorder="1" applyAlignment="1" applyProtection="1">
      <alignment horizontal="center" vertical="center"/>
      <protection locked="0"/>
    </xf>
    <xf numFmtId="0" fontId="36" fillId="0" borderId="0" xfId="12" applyFont="1" applyBorder="1" applyAlignment="1" applyProtection="1">
      <alignment horizontal="left" vertical="center"/>
    </xf>
    <xf numFmtId="0" fontId="18" fillId="0" borderId="2" xfId="12" applyFont="1" applyBorder="1" applyAlignment="1" applyProtection="1">
      <alignment horizontal="center" vertical="center"/>
      <protection locked="0"/>
    </xf>
    <xf numFmtId="0" fontId="16" fillId="0" borderId="12" xfId="0" applyNumberFormat="1" applyFont="1" applyBorder="1" applyAlignment="1" applyProtection="1">
      <alignment horizontal="left" vertical="center"/>
    </xf>
    <xf numFmtId="0" fontId="18" fillId="0" borderId="16" xfId="0" applyFont="1" applyBorder="1" applyAlignment="1" applyProtection="1">
      <alignment horizontal="left" vertical="center"/>
    </xf>
    <xf numFmtId="49" fontId="18" fillId="0" borderId="16" xfId="0" applyNumberFormat="1" applyFont="1" applyBorder="1" applyAlignment="1" applyProtection="1">
      <alignment horizontal="left" vertical="center" wrapText="1"/>
    </xf>
    <xf numFmtId="49" fontId="18" fillId="0" borderId="10" xfId="0" applyNumberFormat="1" applyFont="1" applyBorder="1" applyAlignment="1" applyProtection="1">
      <alignment horizontal="left" vertical="center" wrapText="1"/>
    </xf>
    <xf numFmtId="0" fontId="18" fillId="0" borderId="12" xfId="12" applyNumberFormat="1" applyFont="1" applyFill="1" applyBorder="1" applyAlignment="1" applyProtection="1">
      <alignment horizontal="left" vertical="center" indent="1"/>
    </xf>
    <xf numFmtId="0" fontId="18" fillId="0" borderId="16" xfId="0" applyFont="1" applyBorder="1" applyAlignment="1" applyProtection="1">
      <alignment horizontal="left" vertical="center" indent="1"/>
    </xf>
    <xf numFmtId="0" fontId="19" fillId="0" borderId="0" xfId="12" applyFont="1" applyBorder="1" applyAlignment="1" applyProtection="1">
      <alignment horizontal="left" vertical="center" indent="1"/>
    </xf>
    <xf numFmtId="0" fontId="28" fillId="0" borderId="0" xfId="12" applyNumberFormat="1" applyFont="1" applyBorder="1" applyAlignment="1" applyProtection="1">
      <alignment horizontal="left" vertical="center" indent="1"/>
    </xf>
    <xf numFmtId="0" fontId="19" fillId="0" borderId="19" xfId="12" applyFont="1" applyBorder="1" applyAlignment="1" applyProtection="1">
      <alignment vertical="center"/>
    </xf>
    <xf numFmtId="0" fontId="18" fillId="0" borderId="0" xfId="0" applyFont="1" applyBorder="1" applyAlignment="1" applyProtection="1">
      <alignment horizontal="left" vertical="center" indent="1"/>
    </xf>
    <xf numFmtId="0" fontId="19" fillId="0" borderId="0" xfId="12" applyFont="1" applyFill="1" applyBorder="1" applyAlignment="1" applyProtection="1">
      <alignment vertical="center"/>
    </xf>
    <xf numFmtId="0" fontId="19" fillId="0" borderId="17" xfId="12" applyFont="1" applyBorder="1" applyAlignment="1" applyProtection="1">
      <alignment vertical="center"/>
    </xf>
    <xf numFmtId="0" fontId="21" fillId="0" borderId="20" xfId="12" applyNumberFormat="1" applyFont="1" applyBorder="1" applyAlignment="1" applyProtection="1">
      <alignment vertical="center"/>
    </xf>
    <xf numFmtId="0" fontId="16" fillId="0" borderId="0" xfId="12" applyNumberFormat="1" applyFont="1" applyBorder="1" applyAlignment="1" applyProtection="1">
      <alignment horizontal="center" vertical="center"/>
    </xf>
    <xf numFmtId="0" fontId="39" fillId="0" borderId="0" xfId="0" applyFont="1" applyBorder="1" applyAlignment="1" applyProtection="1">
      <alignment horizontal="left" vertical="center" indent="1"/>
    </xf>
    <xf numFmtId="0" fontId="19" fillId="0" borderId="12" xfId="12" applyFont="1" applyFill="1" applyBorder="1" applyAlignment="1" applyProtection="1">
      <alignment vertical="center"/>
    </xf>
    <xf numFmtId="0" fontId="19" fillId="0" borderId="16" xfId="12" applyFont="1" applyFill="1" applyBorder="1" applyAlignment="1" applyProtection="1">
      <alignment vertical="center"/>
    </xf>
    <xf numFmtId="0" fontId="19" fillId="0" borderId="10" xfId="12" applyFont="1" applyFill="1" applyBorder="1" applyAlignment="1" applyProtection="1">
      <alignment vertical="center"/>
    </xf>
    <xf numFmtId="0" fontId="19" fillId="0" borderId="18" xfId="0" applyNumberFormat="1" applyFont="1" applyBorder="1" applyAlignment="1" applyProtection="1">
      <alignment horizontal="left" vertical="center"/>
    </xf>
    <xf numFmtId="0" fontId="0" fillId="0" borderId="0" xfId="0" applyBorder="1" applyAlignment="1">
      <alignment horizontal="left" indent="2"/>
    </xf>
    <xf numFmtId="164" fontId="39" fillId="0" borderId="0" xfId="0" applyNumberFormat="1" applyFont="1" applyBorder="1" applyAlignment="1" applyProtection="1">
      <alignment horizontal="center" vertical="center"/>
    </xf>
    <xf numFmtId="0" fontId="19" fillId="0" borderId="16" xfId="0" applyNumberFormat="1" applyFont="1" applyBorder="1" applyAlignment="1">
      <alignment horizontal="left" vertical="center"/>
    </xf>
    <xf numFmtId="0" fontId="29" fillId="0" borderId="0" xfId="0" applyFont="1" applyFill="1"/>
    <xf numFmtId="168" fontId="20" fillId="0" borderId="0" xfId="0" applyNumberFormat="1" applyFont="1"/>
    <xf numFmtId="0" fontId="29" fillId="0" borderId="0" xfId="0" applyFont="1"/>
    <xf numFmtId="0" fontId="40" fillId="0" borderId="0" xfId="2" applyFont="1" applyBorder="1" applyAlignment="1" applyProtection="1"/>
    <xf numFmtId="0" fontId="24" fillId="0" borderId="0" xfId="0" applyFont="1" applyBorder="1" applyProtection="1"/>
    <xf numFmtId="0" fontId="24" fillId="0" borderId="18" xfId="0" applyFont="1" applyBorder="1" applyProtection="1"/>
    <xf numFmtId="0" fontId="46" fillId="0" borderId="0" xfId="0" applyFont="1" applyBorder="1" applyProtection="1"/>
    <xf numFmtId="0" fontId="0" fillId="0" borderId="19" xfId="0" applyBorder="1" applyProtection="1"/>
    <xf numFmtId="0" fontId="0" fillId="0" borderId="20" xfId="0" applyBorder="1" applyProtection="1"/>
    <xf numFmtId="0" fontId="18" fillId="0" borderId="22" xfId="0" applyFont="1" applyBorder="1" applyAlignment="1" applyProtection="1">
      <alignment horizontal="center"/>
      <protection locked="0"/>
    </xf>
    <xf numFmtId="0" fontId="22" fillId="0" borderId="0" xfId="12" applyFont="1" applyBorder="1" applyAlignment="1" applyProtection="1">
      <alignment horizontal="left" vertical="center" indent="1"/>
    </xf>
    <xf numFmtId="1" fontId="15" fillId="0" borderId="0" xfId="0" applyNumberFormat="1" applyFont="1" applyAlignment="1">
      <alignment horizontal="right"/>
    </xf>
    <xf numFmtId="1" fontId="15" fillId="0" borderId="0" xfId="0" applyNumberFormat="1" applyFont="1" applyFill="1" applyAlignment="1">
      <alignment horizontal="right"/>
    </xf>
    <xf numFmtId="0" fontId="19" fillId="0" borderId="0" xfId="0" applyFont="1" applyBorder="1" applyAlignment="1" applyProtection="1">
      <alignment horizontal="left" vertical="center" indent="1"/>
    </xf>
    <xf numFmtId="0" fontId="15" fillId="0" borderId="0" xfId="0" applyFont="1" applyBorder="1" applyAlignment="1" applyProtection="1">
      <alignment horizontal="left" vertical="center" indent="1"/>
    </xf>
    <xf numFmtId="0" fontId="16" fillId="0" borderId="0" xfId="0" applyFont="1" applyAlignment="1">
      <alignment horizontal="left" wrapText="1"/>
    </xf>
    <xf numFmtId="49" fontId="32" fillId="0" borderId="0" xfId="0" applyNumberFormat="1" applyFont="1" applyAlignment="1">
      <alignment horizontal="center" vertical="top"/>
    </xf>
    <xf numFmtId="49" fontId="32" fillId="0" borderId="0" xfId="0" applyNumberFormat="1" applyFont="1" applyAlignment="1">
      <alignment horizontal="right" vertical="top"/>
    </xf>
    <xf numFmtId="0" fontId="16" fillId="0" borderId="0" xfId="0" applyNumberFormat="1" applyFont="1" applyAlignment="1">
      <alignment horizontal="left" wrapText="1"/>
    </xf>
    <xf numFmtId="49" fontId="32" fillId="0" borderId="0" xfId="0" applyNumberFormat="1" applyFont="1" applyAlignment="1">
      <alignment horizontal="right" vertical="center"/>
    </xf>
    <xf numFmtId="0" fontId="55" fillId="0" borderId="0" xfId="0" applyFont="1" applyAlignment="1">
      <alignment horizontal="left" wrapText="1" indent="4"/>
    </xf>
    <xf numFmtId="0" fontId="25" fillId="0" borderId="2" xfId="12" applyNumberFormat="1" applyFont="1" applyBorder="1" applyAlignment="1" applyProtection="1">
      <alignment horizontal="center" vertical="center"/>
      <protection locked="0"/>
    </xf>
    <xf numFmtId="0" fontId="25" fillId="0" borderId="2" xfId="12" applyFont="1" applyBorder="1" applyAlignment="1" applyProtection="1">
      <alignment horizontal="center" vertical="center"/>
      <protection locked="0"/>
    </xf>
    <xf numFmtId="14" fontId="15" fillId="0" borderId="0" xfId="0" applyNumberFormat="1" applyFont="1" applyAlignment="1">
      <alignment horizontal="right"/>
    </xf>
    <xf numFmtId="0" fontId="39" fillId="0" borderId="17" xfId="12" applyNumberFormat="1" applyFont="1" applyFill="1" applyBorder="1" applyAlignment="1" applyProtection="1">
      <alignment horizontal="left" vertical="center" indent="1"/>
    </xf>
    <xf numFmtId="0" fontId="18" fillId="0" borderId="17" xfId="12" applyNumberFormat="1" applyFont="1" applyFill="1" applyBorder="1" applyAlignment="1" applyProtection="1">
      <alignment horizontal="left" vertical="center" indent="1"/>
    </xf>
    <xf numFmtId="0" fontId="21" fillId="0" borderId="17" xfId="12" applyNumberFormat="1" applyFont="1" applyBorder="1" applyAlignment="1" applyProtection="1">
      <alignment vertical="center"/>
    </xf>
    <xf numFmtId="0" fontId="19" fillId="0" borderId="122" xfId="12" applyNumberFormat="1" applyFont="1" applyBorder="1" applyAlignment="1" applyProtection="1">
      <alignment horizontal="right" vertical="center"/>
    </xf>
    <xf numFmtId="0" fontId="16" fillId="0" borderId="122" xfId="12" applyFont="1" applyBorder="1" applyAlignment="1" applyProtection="1">
      <alignment vertical="center"/>
    </xf>
    <xf numFmtId="0" fontId="19" fillId="0" borderId="125" xfId="12" applyFont="1" applyBorder="1" applyAlignment="1" applyProtection="1">
      <alignment vertical="center"/>
    </xf>
    <xf numFmtId="0" fontId="19" fillId="0" borderId="123" xfId="12" applyFont="1" applyBorder="1" applyAlignment="1" applyProtection="1">
      <alignment vertical="center"/>
    </xf>
    <xf numFmtId="1" fontId="15" fillId="0" borderId="0" xfId="0" applyNumberFormat="1" applyFont="1" applyAlignment="1">
      <alignment horizontal="center" vertical="center"/>
    </xf>
    <xf numFmtId="0" fontId="16" fillId="0" borderId="132" xfId="12" applyFont="1" applyBorder="1" applyAlignment="1" applyProtection="1">
      <alignment vertical="center"/>
    </xf>
    <xf numFmtId="0" fontId="16" fillId="0" borderId="12" xfId="12" applyFont="1" applyBorder="1" applyAlignment="1" applyProtection="1">
      <alignment horizontal="left" vertical="center"/>
    </xf>
    <xf numFmtId="0" fontId="59" fillId="0" borderId="47" xfId="0" applyFont="1" applyFill="1" applyBorder="1" applyAlignment="1">
      <alignment horizontal="left" vertical="center"/>
    </xf>
    <xf numFmtId="0" fontId="60" fillId="0" borderId="0" xfId="0" applyFont="1" applyBorder="1"/>
    <xf numFmtId="0" fontId="60" fillId="0" borderId="47" xfId="0" applyFont="1" applyBorder="1" applyAlignment="1">
      <alignment horizontal="centerContinuous" vertical="center"/>
    </xf>
    <xf numFmtId="0" fontId="60" fillId="0" borderId="25" xfId="0" applyFont="1" applyBorder="1"/>
    <xf numFmtId="0" fontId="59" fillId="0" borderId="25" xfId="0" applyFont="1" applyBorder="1" applyAlignment="1">
      <alignment horizontal="left" vertical="center"/>
    </xf>
    <xf numFmtId="0" fontId="59" fillId="0" borderId="25" xfId="0" applyFont="1" applyBorder="1" applyAlignment="1">
      <alignment horizontal="center" vertical="center" wrapText="1"/>
    </xf>
    <xf numFmtId="0" fontId="60" fillId="0" borderId="0" xfId="0" applyFont="1" applyBorder="1" applyAlignment="1">
      <alignment horizontal="left"/>
    </xf>
    <xf numFmtId="0" fontId="59" fillId="0" borderId="0" xfId="0" applyFont="1" applyBorder="1"/>
    <xf numFmtId="49" fontId="60" fillId="0" borderId="0" xfId="0" applyNumberFormat="1" applyFont="1" applyBorder="1" applyAlignment="1">
      <alignment horizontal="left"/>
    </xf>
    <xf numFmtId="49" fontId="61" fillId="0" borderId="0" xfId="2" applyNumberFormat="1" applyFont="1" applyBorder="1" applyAlignment="1" applyProtection="1">
      <alignment horizontal="center"/>
    </xf>
    <xf numFmtId="49" fontId="60" fillId="0" borderId="0" xfId="0" applyNumberFormat="1" applyFont="1" applyBorder="1" applyAlignment="1">
      <alignment horizontal="center"/>
    </xf>
    <xf numFmtId="0" fontId="60" fillId="0" borderId="0" xfId="0" applyFont="1" applyBorder="1" applyAlignment="1">
      <alignment horizontal="left" indent="1"/>
    </xf>
    <xf numFmtId="0" fontId="59" fillId="0" borderId="0" xfId="0" applyFont="1" applyBorder="1" applyAlignment="1">
      <alignment horizontal="left"/>
    </xf>
    <xf numFmtId="0" fontId="60" fillId="0" borderId="0" xfId="0" applyFont="1" applyBorder="1" applyAlignment="1">
      <alignment horizontal="centerContinuous" vertical="center"/>
    </xf>
    <xf numFmtId="0" fontId="60" fillId="0" borderId="0" xfId="0" applyFont="1" applyBorder="1" applyAlignment="1">
      <alignment vertical="center"/>
    </xf>
    <xf numFmtId="0" fontId="63" fillId="0" borderId="0" xfId="2" applyFont="1" applyBorder="1" applyAlignment="1" applyProtection="1">
      <alignment horizontal="left" indent="2"/>
    </xf>
    <xf numFmtId="0" fontId="64" fillId="0" borderId="0" xfId="0" applyFont="1" applyBorder="1"/>
    <xf numFmtId="0" fontId="67" fillId="0" borderId="0" xfId="0" applyFont="1" applyBorder="1"/>
    <xf numFmtId="164" fontId="69" fillId="0" borderId="0" xfId="0" applyNumberFormat="1" applyFont="1" applyBorder="1" applyAlignment="1" applyProtection="1">
      <alignment vertical="center"/>
    </xf>
    <xf numFmtId="0" fontId="62" fillId="0" borderId="0" xfId="0" applyFont="1" applyBorder="1"/>
    <xf numFmtId="0" fontId="62" fillId="0" borderId="0" xfId="0" applyFont="1" applyBorder="1" applyAlignment="1" applyProtection="1">
      <alignment vertical="center"/>
    </xf>
    <xf numFmtId="0" fontId="60" fillId="0" borderId="0" xfId="0" applyFont="1" applyBorder="1" applyAlignment="1" applyProtection="1">
      <alignment horizontal="left" vertical="top"/>
      <protection locked="0"/>
    </xf>
    <xf numFmtId="0" fontId="60" fillId="0" borderId="0" xfId="0" applyFont="1" applyFill="1" applyBorder="1"/>
    <xf numFmtId="0" fontId="67" fillId="0" borderId="0" xfId="0" applyFont="1" applyBorder="1" applyAlignment="1">
      <alignment vertical="center"/>
    </xf>
    <xf numFmtId="49" fontId="60" fillId="0" borderId="0" xfId="0" applyNumberFormat="1" applyFont="1" applyBorder="1" applyAlignment="1">
      <alignment horizontal="center" vertical="center"/>
    </xf>
    <xf numFmtId="49" fontId="60" fillId="0" borderId="0" xfId="0" applyNumberFormat="1" applyFont="1" applyBorder="1" applyAlignment="1">
      <alignment vertical="center"/>
    </xf>
    <xf numFmtId="49" fontId="72" fillId="0" borderId="0" xfId="0" applyNumberFormat="1" applyFont="1" applyBorder="1" applyAlignment="1">
      <alignment horizontal="left" vertical="center"/>
    </xf>
    <xf numFmtId="49" fontId="60" fillId="0" borderId="0" xfId="0" applyNumberFormat="1" applyFont="1" applyBorder="1" applyAlignment="1">
      <alignment horizontal="left" indent="2"/>
    </xf>
    <xf numFmtId="49" fontId="60" fillId="0" borderId="0" xfId="0" applyNumberFormat="1" applyFont="1" applyBorder="1"/>
    <xf numFmtId="49" fontId="60" fillId="0" borderId="0" xfId="0" applyNumberFormat="1" applyFont="1" applyBorder="1" applyAlignment="1">
      <alignment horizontal="left" indent="1"/>
    </xf>
    <xf numFmtId="49" fontId="63" fillId="0" borderId="0" xfId="2" applyNumberFormat="1" applyFont="1" applyBorder="1" applyAlignment="1" applyProtection="1">
      <alignment horizontal="left" indent="1"/>
    </xf>
    <xf numFmtId="49" fontId="60" fillId="0" borderId="0" xfId="0" applyNumberFormat="1" applyFont="1" applyFill="1" applyBorder="1" applyAlignment="1">
      <alignment horizontal="left" indent="1"/>
    </xf>
    <xf numFmtId="49" fontId="60" fillId="0" borderId="0" xfId="0" applyNumberFormat="1" applyFont="1" applyFill="1" applyBorder="1" applyAlignment="1">
      <alignment horizontal="left" indent="2"/>
    </xf>
    <xf numFmtId="49" fontId="60" fillId="0" borderId="0" xfId="0" applyNumberFormat="1" applyFont="1" applyFill="1" applyBorder="1" applyAlignment="1">
      <alignment horizontal="left" indent="3"/>
    </xf>
    <xf numFmtId="49" fontId="66" fillId="0" borderId="0" xfId="0" applyNumberFormat="1" applyFont="1" applyBorder="1" applyAlignment="1">
      <alignment horizontal="left" indent="2"/>
    </xf>
    <xf numFmtId="49" fontId="68" fillId="0" borderId="0" xfId="0" applyNumberFormat="1" applyFont="1" applyBorder="1" applyAlignment="1">
      <alignment horizontal="left" indent="5"/>
    </xf>
    <xf numFmtId="49" fontId="68" fillId="0" borderId="0" xfId="0" applyNumberFormat="1" applyFont="1" applyBorder="1" applyAlignment="1">
      <alignment horizontal="left" indent="3"/>
    </xf>
    <xf numFmtId="49" fontId="65" fillId="0" borderId="0" xfId="0" applyNumberFormat="1" applyFont="1" applyBorder="1" applyAlignment="1">
      <alignment horizontal="left"/>
    </xf>
    <xf numFmtId="49" fontId="63" fillId="0" borderId="0" xfId="2" applyNumberFormat="1" applyFont="1" applyBorder="1" applyAlignment="1" applyProtection="1">
      <alignment horizontal="left" indent="3"/>
    </xf>
    <xf numFmtId="49" fontId="60" fillId="0" borderId="0" xfId="0" applyNumberFormat="1" applyFont="1" applyFill="1" applyBorder="1"/>
    <xf numFmtId="49" fontId="63" fillId="0" borderId="0" xfId="2" applyNumberFormat="1" applyFont="1" applyBorder="1" applyAlignment="1" applyProtection="1">
      <alignment horizontal="left" indent="2"/>
    </xf>
    <xf numFmtId="0" fontId="62" fillId="0" borderId="0" xfId="0" applyFont="1" applyBorder="1" applyProtection="1"/>
    <xf numFmtId="0" fontId="62" fillId="0" borderId="0" xfId="0" applyFont="1" applyBorder="1" applyAlignment="1" applyProtection="1">
      <alignment horizontal="left"/>
    </xf>
    <xf numFmtId="164" fontId="67" fillId="0" borderId="0" xfId="0" applyNumberFormat="1" applyFont="1" applyBorder="1" applyAlignment="1" applyProtection="1">
      <alignment horizontal="left"/>
    </xf>
    <xf numFmtId="0" fontId="62" fillId="0" borderId="0" xfId="0" applyFont="1" applyBorder="1" applyAlignment="1" applyProtection="1">
      <alignment horizontal="center" vertical="top" textRotation="180"/>
    </xf>
    <xf numFmtId="0" fontId="62" fillId="0" borderId="0" xfId="0" applyFont="1" applyBorder="1" applyAlignment="1" applyProtection="1"/>
    <xf numFmtId="0" fontId="76" fillId="0" borderId="0" xfId="0" applyFont="1" applyBorder="1" applyAlignment="1" applyProtection="1">
      <alignment horizontal="centerContinuous" vertical="center"/>
    </xf>
    <xf numFmtId="164" fontId="69" fillId="0" borderId="0" xfId="0" applyNumberFormat="1" applyFont="1" applyBorder="1" applyAlignment="1" applyProtection="1">
      <alignment horizontal="left" vertical="center"/>
    </xf>
    <xf numFmtId="0" fontId="60" fillId="0" borderId="0" xfId="0" applyFont="1" applyBorder="1" applyAlignment="1" applyProtection="1">
      <alignment horizontal="left" vertical="center"/>
    </xf>
    <xf numFmtId="0" fontId="62" fillId="0" borderId="0" xfId="0" applyFont="1" applyBorder="1" applyAlignment="1"/>
    <xf numFmtId="0" fontId="76" fillId="0" borderId="0" xfId="0" applyFont="1" applyBorder="1" applyAlignment="1" applyProtection="1">
      <alignment horizontal="center" vertical="center"/>
    </xf>
    <xf numFmtId="0" fontId="67" fillId="0" borderId="0" xfId="0" applyFont="1" applyBorder="1" applyAlignment="1">
      <alignment horizontal="left" vertical="top"/>
    </xf>
    <xf numFmtId="164" fontId="67" fillId="0" borderId="0" xfId="0" applyNumberFormat="1" applyFont="1" applyBorder="1" applyAlignment="1">
      <alignment horizontal="left" vertical="top"/>
    </xf>
    <xf numFmtId="0" fontId="71" fillId="0" borderId="0" xfId="0" applyFont="1" applyBorder="1" applyAlignment="1" applyProtection="1">
      <alignment horizontal="left" vertical="center"/>
    </xf>
    <xf numFmtId="0" fontId="77" fillId="0" borderId="0" xfId="0" applyFont="1" applyBorder="1" applyAlignment="1">
      <alignment horizontal="left" vertical="top"/>
    </xf>
    <xf numFmtId="0" fontId="60" fillId="0" borderId="0" xfId="0" applyFont="1" applyBorder="1" applyProtection="1"/>
    <xf numFmtId="0" fontId="60" fillId="0" borderId="0" xfId="0" applyFont="1" applyBorder="1" applyAlignment="1" applyProtection="1">
      <alignment horizontal="left"/>
    </xf>
    <xf numFmtId="0" fontId="67" fillId="0" borderId="0" xfId="0" applyFont="1" applyBorder="1" applyProtection="1"/>
    <xf numFmtId="0" fontId="59" fillId="0" borderId="0" xfId="0" applyFont="1" applyBorder="1" applyAlignment="1" applyProtection="1">
      <alignment horizontal="center" vertical="center"/>
    </xf>
    <xf numFmtId="164" fontId="59" fillId="0" borderId="2" xfId="0" applyNumberFormat="1" applyFont="1" applyBorder="1" applyAlignment="1" applyProtection="1">
      <alignment horizontal="center" vertical="center"/>
      <protection locked="0"/>
    </xf>
    <xf numFmtId="0" fontId="67" fillId="0" borderId="0" xfId="0" applyFont="1" applyBorder="1" applyAlignment="1">
      <alignment horizontal="left" vertical="center"/>
    </xf>
    <xf numFmtId="0" fontId="60" fillId="0" borderId="0" xfId="0" applyFont="1" applyBorder="1" applyAlignment="1" applyProtection="1">
      <alignment vertical="center"/>
    </xf>
    <xf numFmtId="164" fontId="69" fillId="0" borderId="0" xfId="0" applyNumberFormat="1" applyFont="1" applyBorder="1" applyAlignment="1" applyProtection="1">
      <alignment horizontal="right" vertical="center"/>
    </xf>
    <xf numFmtId="164" fontId="67" fillId="0" borderId="0" xfId="0" applyNumberFormat="1" applyFont="1" applyBorder="1" applyAlignment="1" applyProtection="1">
      <alignment vertical="center"/>
    </xf>
    <xf numFmtId="0" fontId="67" fillId="0" borderId="0" xfId="0" applyFont="1" applyBorder="1" applyAlignment="1" applyProtection="1">
      <alignment horizontal="left" vertical="center" indent="1"/>
    </xf>
    <xf numFmtId="0" fontId="59" fillId="0" borderId="2" xfId="0" applyFont="1" applyBorder="1" applyAlignment="1" applyProtection="1">
      <alignment horizontal="center" vertical="center"/>
      <protection locked="0"/>
    </xf>
    <xf numFmtId="164" fontId="69" fillId="0" borderId="0" xfId="0" applyNumberFormat="1" applyFont="1" applyBorder="1" applyAlignment="1" applyProtection="1">
      <alignment horizontal="right" vertical="center" wrapText="1"/>
    </xf>
    <xf numFmtId="164" fontId="67" fillId="0" borderId="0" xfId="0" applyNumberFormat="1" applyFont="1" applyBorder="1" applyAlignment="1">
      <alignment horizontal="left" vertical="center"/>
    </xf>
    <xf numFmtId="0" fontId="59" fillId="0" borderId="0" xfId="0" applyFont="1" applyBorder="1" applyAlignment="1" applyProtection="1">
      <alignment horizontal="left" vertical="center"/>
    </xf>
    <xf numFmtId="164" fontId="78" fillId="0" borderId="0" xfId="0" applyNumberFormat="1" applyFont="1" applyBorder="1" applyAlignment="1" applyProtection="1">
      <alignment horizontal="left" vertical="center" indent="1"/>
    </xf>
    <xf numFmtId="0" fontId="67" fillId="0" borderId="0" xfId="0" applyFont="1" applyAlignment="1">
      <alignment horizontal="left" vertical="center"/>
    </xf>
    <xf numFmtId="0" fontId="67" fillId="0" borderId="0" xfId="0" applyFont="1" applyAlignment="1">
      <alignment horizontal="left" vertical="center" indent="1"/>
    </xf>
    <xf numFmtId="0" fontId="78" fillId="0" borderId="0" xfId="0" applyFont="1" applyAlignment="1">
      <alignment horizontal="left" vertical="center" indent="1"/>
    </xf>
    <xf numFmtId="0" fontId="59" fillId="0" borderId="21" xfId="0" applyFont="1" applyBorder="1" applyAlignment="1" applyProtection="1">
      <alignment horizontal="center" vertical="center"/>
      <protection locked="0"/>
    </xf>
    <xf numFmtId="0" fontId="67" fillId="0" borderId="0" xfId="0" applyFont="1" applyBorder="1" applyAlignment="1">
      <alignment horizontal="left" vertical="center" indent="1"/>
    </xf>
    <xf numFmtId="0" fontId="59" fillId="0" borderId="0" xfId="0" applyFont="1" applyBorder="1" applyAlignment="1" applyProtection="1">
      <alignment horizontal="center" vertical="center"/>
      <protection locked="0"/>
    </xf>
    <xf numFmtId="0" fontId="67" fillId="0" borderId="0" xfId="0" applyFont="1" applyBorder="1" applyAlignment="1" applyProtection="1">
      <alignment vertical="center"/>
    </xf>
    <xf numFmtId="0" fontId="78" fillId="0" borderId="0" xfId="0" applyFont="1" applyAlignment="1">
      <alignment horizontal="left" vertical="center"/>
    </xf>
    <xf numFmtId="0" fontId="67" fillId="0" borderId="0" xfId="0" applyFont="1" applyBorder="1" applyAlignment="1" applyProtection="1">
      <alignment horizontal="left" vertical="top"/>
    </xf>
    <xf numFmtId="0" fontId="67" fillId="0" borderId="0" xfId="0" applyFont="1" applyBorder="1" applyAlignment="1" applyProtection="1">
      <alignment horizontal="left" vertical="top" indent="1"/>
    </xf>
    <xf numFmtId="0" fontId="78" fillId="0" borderId="0" xfId="0" applyFont="1" applyBorder="1" applyAlignment="1" applyProtection="1">
      <alignment horizontal="left" vertical="top" indent="1"/>
    </xf>
    <xf numFmtId="0" fontId="67" fillId="0" borderId="0" xfId="0" applyFont="1" applyAlignment="1">
      <alignment vertical="top"/>
    </xf>
    <xf numFmtId="0" fontId="67" fillId="0" borderId="0" xfId="0" applyFont="1" applyBorder="1" applyAlignment="1" applyProtection="1">
      <alignment vertical="top"/>
    </xf>
    <xf numFmtId="0" fontId="70" fillId="0" borderId="2" xfId="0" applyFont="1" applyBorder="1" applyAlignment="1" applyProtection="1">
      <alignment horizontal="center"/>
      <protection locked="0"/>
    </xf>
    <xf numFmtId="164" fontId="69" fillId="0" borderId="0" xfId="0" applyNumberFormat="1" applyFont="1" applyBorder="1" applyAlignment="1" applyProtection="1">
      <alignment horizontal="right"/>
    </xf>
    <xf numFmtId="0" fontId="62" fillId="0" borderId="21" xfId="0" applyFont="1" applyBorder="1" applyAlignment="1" applyProtection="1">
      <alignment horizontal="left"/>
    </xf>
    <xf numFmtId="0" fontId="67" fillId="0" borderId="0" xfId="0" applyFont="1" applyBorder="1" applyAlignment="1" applyProtection="1">
      <alignment horizontal="left" vertical="center"/>
    </xf>
    <xf numFmtId="0" fontId="62" fillId="0" borderId="0" xfId="0" applyFont="1" applyBorder="1" applyAlignment="1" applyProtection="1">
      <alignment horizontal="left" vertical="center"/>
    </xf>
    <xf numFmtId="14" fontId="60" fillId="0" borderId="0" xfId="0" applyNumberFormat="1" applyFont="1" applyBorder="1" applyAlignment="1" applyProtection="1">
      <alignment horizontal="center" vertical="center"/>
    </xf>
    <xf numFmtId="14" fontId="70" fillId="0" borderId="78" xfId="0" applyNumberFormat="1" applyFont="1" applyBorder="1" applyAlignment="1" applyProtection="1">
      <alignment horizontal="center" vertical="center"/>
      <protection locked="0"/>
    </xf>
    <xf numFmtId="0" fontId="80" fillId="0" borderId="0" xfId="0" applyFont="1" applyAlignment="1">
      <alignment horizontal="left" vertical="center"/>
    </xf>
    <xf numFmtId="0" fontId="62" fillId="0" borderId="0" xfId="0" applyFont="1" applyAlignment="1">
      <alignment horizontal="left" vertical="center"/>
    </xf>
    <xf numFmtId="0" fontId="71" fillId="0" borderId="0" xfId="0" applyFont="1" applyBorder="1" applyAlignment="1" applyProtection="1">
      <alignment horizontal="left" vertical="center" wrapText="1"/>
    </xf>
    <xf numFmtId="0" fontId="59" fillId="0" borderId="0" xfId="0" applyFont="1" applyBorder="1" applyAlignment="1" applyProtection="1">
      <alignment horizontal="center" vertical="center" wrapText="1"/>
    </xf>
    <xf numFmtId="0" fontId="60" fillId="0" borderId="0" xfId="0" applyFont="1" applyBorder="1" applyAlignment="1" applyProtection="1">
      <alignment horizontal="left" vertical="top"/>
    </xf>
    <xf numFmtId="0" fontId="62" fillId="0" borderId="0" xfId="0" applyFont="1" applyBorder="1" applyAlignment="1">
      <alignment horizontal="left" vertical="top"/>
    </xf>
    <xf numFmtId="0" fontId="62" fillId="0" borderId="0" xfId="0" applyFont="1" applyBorder="1" applyAlignment="1">
      <alignment horizontal="center" vertical="top"/>
    </xf>
    <xf numFmtId="0" fontId="67" fillId="0" borderId="0" xfId="0" applyFont="1" applyAlignment="1">
      <alignment horizontal="left"/>
    </xf>
    <xf numFmtId="0" fontId="67" fillId="0" borderId="0" xfId="0" applyFont="1"/>
    <xf numFmtId="0" fontId="62" fillId="0" borderId="0" xfId="0" applyFont="1" applyBorder="1" applyAlignment="1" applyProtection="1">
      <alignment horizontal="right" vertical="center"/>
    </xf>
    <xf numFmtId="14" fontId="62" fillId="0" borderId="100" xfId="0" applyNumberFormat="1" applyFont="1" applyBorder="1" applyAlignment="1" applyProtection="1">
      <alignment vertical="center"/>
      <protection locked="0"/>
    </xf>
    <xf numFmtId="164" fontId="59" fillId="0" borderId="0" xfId="0" applyNumberFormat="1" applyFont="1" applyBorder="1" applyAlignment="1" applyProtection="1">
      <alignment horizontal="center" vertical="center"/>
    </xf>
    <xf numFmtId="0" fontId="81" fillId="9" borderId="101" xfId="0" applyFont="1" applyFill="1" applyBorder="1" applyAlignment="1">
      <alignment horizontal="center" vertical="center"/>
    </xf>
    <xf numFmtId="0" fontId="81" fillId="9" borderId="102" xfId="0" applyFont="1" applyFill="1" applyBorder="1" applyAlignment="1">
      <alignment horizontal="center" vertical="center"/>
    </xf>
    <xf numFmtId="0" fontId="59" fillId="17" borderId="120" xfId="0" applyFont="1" applyFill="1" applyBorder="1" applyAlignment="1" applyProtection="1">
      <alignment horizontal="left" vertical="center"/>
    </xf>
    <xf numFmtId="164" fontId="59" fillId="17" borderId="120" xfId="0" applyNumberFormat="1" applyFont="1" applyFill="1" applyBorder="1" applyAlignment="1" applyProtection="1">
      <alignment horizontal="center" vertical="center"/>
    </xf>
    <xf numFmtId="164" fontId="69" fillId="17" borderId="120" xfId="0" applyNumberFormat="1" applyFont="1" applyFill="1" applyBorder="1" applyAlignment="1" applyProtection="1">
      <alignment vertical="center"/>
    </xf>
    <xf numFmtId="0" fontId="82" fillId="10" borderId="121" xfId="0" applyFont="1" applyFill="1" applyBorder="1" applyAlignment="1">
      <alignment horizontal="left" vertical="center"/>
    </xf>
    <xf numFmtId="38" fontId="54" fillId="10" borderId="103" xfId="0" applyNumberFormat="1" applyFont="1" applyFill="1" applyBorder="1" applyAlignment="1">
      <alignment horizontal="right"/>
    </xf>
    <xf numFmtId="38" fontId="54" fillId="10" borderId="110" xfId="0" applyNumberFormat="1" applyFont="1" applyFill="1" applyBorder="1" applyAlignment="1">
      <alignment horizontal="right"/>
    </xf>
    <xf numFmtId="0" fontId="83" fillId="11" borderId="103" xfId="0" applyFont="1" applyFill="1" applyBorder="1" applyAlignment="1">
      <alignment vertical="center"/>
    </xf>
    <xf numFmtId="164" fontId="59" fillId="13" borderId="116" xfId="0" applyNumberFormat="1" applyFont="1" applyFill="1" applyBorder="1" applyAlignment="1" applyProtection="1">
      <alignment horizontal="center" vertical="center"/>
    </xf>
    <xf numFmtId="164" fontId="69" fillId="13" borderId="110" xfId="0" applyNumberFormat="1" applyFont="1" applyFill="1" applyBorder="1" applyAlignment="1" applyProtection="1">
      <alignment vertical="center"/>
    </xf>
    <xf numFmtId="0" fontId="62" fillId="13" borderId="103" xfId="0" applyFont="1" applyFill="1" applyBorder="1" applyAlignment="1" applyProtection="1">
      <alignment vertical="center"/>
    </xf>
    <xf numFmtId="38" fontId="54" fillId="11" borderId="119" xfId="0" applyNumberFormat="1" applyFont="1" applyFill="1" applyBorder="1" applyAlignment="1" applyProtection="1">
      <alignment horizontal="right"/>
      <protection locked="0"/>
    </xf>
    <xf numFmtId="38" fontId="54" fillId="11" borderId="103" xfId="0" applyNumberFormat="1" applyFont="1" applyFill="1" applyBorder="1" applyAlignment="1" applyProtection="1">
      <alignment horizontal="right"/>
      <protection locked="0"/>
    </xf>
    <xf numFmtId="38" fontId="54" fillId="11" borderId="110" xfId="0" applyNumberFormat="1" applyFont="1" applyFill="1" applyBorder="1" applyAlignment="1" applyProtection="1">
      <alignment horizontal="right"/>
      <protection locked="0"/>
    </xf>
    <xf numFmtId="0" fontId="59" fillId="17" borderId="110" xfId="0" applyFont="1" applyFill="1" applyBorder="1" applyAlignment="1" applyProtection="1">
      <alignment horizontal="center" vertical="center"/>
    </xf>
    <xf numFmtId="164" fontId="59" fillId="17" borderId="110" xfId="0" applyNumberFormat="1" applyFont="1" applyFill="1" applyBorder="1" applyAlignment="1" applyProtection="1">
      <alignment horizontal="center" vertical="center"/>
    </xf>
    <xf numFmtId="164" fontId="69" fillId="17" borderId="110" xfId="0" applyNumberFormat="1" applyFont="1" applyFill="1" applyBorder="1" applyAlignment="1" applyProtection="1">
      <alignment vertical="center"/>
    </xf>
    <xf numFmtId="0" fontId="82" fillId="10" borderId="103" xfId="0" applyFont="1" applyFill="1" applyBorder="1" applyAlignment="1">
      <alignment horizontal="left" vertical="center"/>
    </xf>
    <xf numFmtId="0" fontId="59" fillId="17" borderId="0" xfId="0" applyFont="1" applyFill="1" applyBorder="1" applyAlignment="1" applyProtection="1">
      <alignment horizontal="left" vertical="center"/>
    </xf>
    <xf numFmtId="164" fontId="59" fillId="17" borderId="0" xfId="0" applyNumberFormat="1" applyFont="1" applyFill="1" applyBorder="1" applyAlignment="1" applyProtection="1">
      <alignment horizontal="center" vertical="center"/>
    </xf>
    <xf numFmtId="164" fontId="69" fillId="17" borderId="0" xfId="0" applyNumberFormat="1" applyFont="1" applyFill="1" applyBorder="1" applyAlignment="1" applyProtection="1">
      <alignment vertical="center"/>
    </xf>
    <xf numFmtId="0" fontId="67" fillId="13" borderId="116" xfId="0" applyFont="1" applyFill="1" applyBorder="1" applyAlignment="1" applyProtection="1">
      <alignment horizontal="left" vertical="center"/>
    </xf>
    <xf numFmtId="164" fontId="59" fillId="13" borderId="110" xfId="0" applyNumberFormat="1" applyFont="1" applyFill="1" applyBorder="1" applyAlignment="1" applyProtection="1">
      <alignment horizontal="center" vertical="center"/>
    </xf>
    <xf numFmtId="164" fontId="67" fillId="13" borderId="110" xfId="0" applyNumberFormat="1" applyFont="1" applyFill="1" applyBorder="1" applyAlignment="1" applyProtection="1">
      <alignment vertical="center"/>
    </xf>
    <xf numFmtId="0" fontId="83" fillId="11" borderId="103" xfId="0" applyFont="1" applyFill="1" applyBorder="1" applyAlignment="1">
      <alignment horizontal="left" vertical="center"/>
    </xf>
    <xf numFmtId="0" fontId="59" fillId="13" borderId="117" xfId="0" applyFont="1" applyFill="1" applyBorder="1" applyAlignment="1" applyProtection="1">
      <alignment horizontal="center" vertical="center"/>
    </xf>
    <xf numFmtId="164" fontId="59" fillId="13" borderId="118" xfId="0" applyNumberFormat="1" applyFont="1" applyFill="1" applyBorder="1" applyAlignment="1" applyProtection="1">
      <alignment horizontal="center" vertical="center"/>
    </xf>
    <xf numFmtId="164" fontId="69" fillId="13" borderId="118" xfId="0" applyNumberFormat="1" applyFont="1" applyFill="1" applyBorder="1" applyAlignment="1" applyProtection="1">
      <alignment vertical="center"/>
    </xf>
    <xf numFmtId="38" fontId="54" fillId="11" borderId="110" xfId="0" applyNumberFormat="1" applyFont="1" applyFill="1" applyBorder="1" applyAlignment="1">
      <alignment horizontal="right"/>
    </xf>
    <xf numFmtId="0" fontId="82" fillId="10" borderId="104" xfId="0" applyFont="1" applyFill="1" applyBorder="1" applyAlignment="1">
      <alignment horizontal="left" vertical="center"/>
    </xf>
    <xf numFmtId="38" fontId="54" fillId="10" borderId="104" xfId="0" applyNumberFormat="1" applyFont="1" applyFill="1" applyBorder="1" applyAlignment="1">
      <alignment horizontal="right"/>
    </xf>
    <xf numFmtId="38" fontId="54" fillId="10" borderId="0" xfId="0" applyNumberFormat="1" applyFont="1" applyFill="1" applyBorder="1" applyAlignment="1" applyProtection="1">
      <alignment horizontal="right"/>
      <protection locked="0"/>
    </xf>
    <xf numFmtId="1" fontId="60" fillId="0" borderId="0" xfId="0" applyNumberFormat="1" applyFont="1" applyBorder="1" applyAlignment="1" applyProtection="1">
      <alignment horizontal="center" vertical="center"/>
    </xf>
    <xf numFmtId="0" fontId="62" fillId="0" borderId="0" xfId="0" applyFont="1" applyBorder="1" applyAlignment="1" applyProtection="1">
      <alignment horizontal="center" vertical="center"/>
    </xf>
    <xf numFmtId="164" fontId="60" fillId="0" borderId="0" xfId="0" applyNumberFormat="1" applyFont="1" applyBorder="1" applyAlignment="1" applyProtection="1">
      <alignment horizontal="left" vertical="center" indent="1"/>
    </xf>
    <xf numFmtId="0" fontId="71" fillId="0" borderId="0" xfId="3" applyFont="1" applyBorder="1" applyAlignment="1" applyProtection="1">
      <alignment horizontal="left" vertical="center"/>
    </xf>
    <xf numFmtId="0" fontId="80" fillId="0" borderId="0" xfId="3" applyFont="1" applyAlignment="1">
      <alignment horizontal="left" vertical="center"/>
    </xf>
    <xf numFmtId="0" fontId="69" fillId="0" borderId="0" xfId="3" applyFont="1" applyBorder="1" applyAlignment="1" applyProtection="1">
      <alignment horizontal="left" vertical="center"/>
    </xf>
    <xf numFmtId="0" fontId="62" fillId="0" borderId="0" xfId="3" applyFont="1" applyBorder="1" applyAlignment="1" applyProtection="1">
      <alignment horizontal="right" vertical="center"/>
    </xf>
    <xf numFmtId="1" fontId="60" fillId="0" borderId="0" xfId="3" applyNumberFormat="1" applyFont="1" applyBorder="1" applyAlignment="1" applyProtection="1">
      <alignment horizontal="center" vertical="center"/>
    </xf>
    <xf numFmtId="0" fontId="62" fillId="0" borderId="0" xfId="3" applyFont="1" applyBorder="1" applyAlignment="1" applyProtection="1">
      <alignment vertical="center"/>
    </xf>
    <xf numFmtId="0" fontId="62" fillId="0" borderId="0" xfId="3" applyFont="1" applyBorder="1" applyAlignment="1" applyProtection="1">
      <alignment horizontal="center" vertical="center"/>
    </xf>
    <xf numFmtId="0" fontId="62" fillId="0" borderId="0" xfId="3" applyNumberFormat="1" applyFont="1" applyBorder="1" applyAlignment="1" applyProtection="1">
      <alignment vertical="center"/>
    </xf>
    <xf numFmtId="0" fontId="67" fillId="0" borderId="0" xfId="3" applyFont="1" applyBorder="1" applyAlignment="1">
      <alignment horizontal="left" indent="1"/>
    </xf>
    <xf numFmtId="0" fontId="60" fillId="0" borderId="0" xfId="3" applyFont="1" applyBorder="1"/>
    <xf numFmtId="164" fontId="69" fillId="0" borderId="0" xfId="3" applyNumberFormat="1" applyFont="1" applyBorder="1" applyAlignment="1" applyProtection="1">
      <alignment vertical="center"/>
    </xf>
    <xf numFmtId="0" fontId="62" fillId="0" borderId="0" xfId="3" applyFont="1" applyBorder="1"/>
    <xf numFmtId="0" fontId="60" fillId="0" borderId="0" xfId="3" applyFont="1" applyBorder="1" applyAlignment="1" applyProtection="1">
      <alignment horizontal="left" vertical="top"/>
    </xf>
    <xf numFmtId="0" fontId="67" fillId="0" borderId="0" xfId="3" applyFont="1" applyBorder="1"/>
    <xf numFmtId="0" fontId="59" fillId="0" borderId="0" xfId="3" applyFont="1" applyBorder="1" applyAlignment="1" applyProtection="1">
      <alignment horizontal="center" vertical="center"/>
    </xf>
    <xf numFmtId="164" fontId="69" fillId="0" borderId="0" xfId="3" applyNumberFormat="1" applyFont="1" applyBorder="1" applyAlignment="1" applyProtection="1">
      <alignment horizontal="right" vertical="center"/>
    </xf>
    <xf numFmtId="0" fontId="84" fillId="0" borderId="0" xfId="3" applyFont="1" applyBorder="1"/>
    <xf numFmtId="0" fontId="62" fillId="0" borderId="0" xfId="3" applyFont="1"/>
    <xf numFmtId="0" fontId="62" fillId="0" borderId="0" xfId="3" applyFont="1" applyProtection="1"/>
    <xf numFmtId="0" fontId="78" fillId="0" borderId="0" xfId="3" applyFont="1" applyBorder="1"/>
    <xf numFmtId="0" fontId="78" fillId="0" borderId="0" xfId="3" applyFont="1" applyBorder="1" applyAlignment="1">
      <alignment horizontal="center" vertical="top"/>
    </xf>
    <xf numFmtId="171" fontId="62" fillId="0" borderId="0" xfId="3" applyNumberFormat="1" applyFont="1" applyBorder="1" applyAlignment="1" applyProtection="1">
      <alignment horizontal="center" vertical="center"/>
    </xf>
    <xf numFmtId="0" fontId="78" fillId="0" borderId="0" xfId="3" applyFont="1" applyBorder="1" applyAlignment="1">
      <alignment horizontal="center"/>
    </xf>
    <xf numFmtId="0" fontId="62" fillId="0" borderId="0" xfId="3" applyFont="1" applyBorder="1" applyProtection="1"/>
    <xf numFmtId="0" fontId="62" fillId="0" borderId="0" xfId="3" applyFont="1" applyProtection="1">
      <protection locked="0"/>
    </xf>
    <xf numFmtId="0" fontId="62" fillId="0" borderId="0" xfId="3" applyFont="1" applyBorder="1" applyProtection="1">
      <protection locked="0"/>
    </xf>
    <xf numFmtId="0" fontId="62" fillId="0" borderId="0" xfId="3" applyFont="1" applyBorder="1" applyAlignment="1">
      <alignment horizontal="center" vertical="center"/>
    </xf>
    <xf numFmtId="164" fontId="67" fillId="0" borderId="0" xfId="3" applyNumberFormat="1" applyFont="1" applyBorder="1"/>
    <xf numFmtId="0" fontId="78" fillId="0" borderId="15" xfId="3" applyFont="1" applyBorder="1" applyAlignment="1">
      <alignment horizontal="center"/>
    </xf>
    <xf numFmtId="0" fontId="60" fillId="0" borderId="0" xfId="3" applyFont="1" applyBorder="1" applyProtection="1"/>
    <xf numFmtId="0" fontId="62" fillId="0" borderId="0" xfId="0" applyFont="1"/>
    <xf numFmtId="0" fontId="78" fillId="0" borderId="0" xfId="0" applyFont="1" applyBorder="1"/>
    <xf numFmtId="0" fontId="78" fillId="0" borderId="0" xfId="0" applyFont="1" applyBorder="1" applyAlignment="1">
      <alignment horizontal="left" vertical="top" wrapText="1"/>
    </xf>
    <xf numFmtId="0" fontId="78" fillId="0" borderId="0" xfId="0" applyFont="1" applyBorder="1" applyAlignment="1">
      <alignment horizontal="center"/>
    </xf>
    <xf numFmtId="0" fontId="78" fillId="0" borderId="0" xfId="0" applyFont="1" applyBorder="1" applyAlignment="1" applyProtection="1">
      <alignment horizontal="center" vertical="top"/>
    </xf>
    <xf numFmtId="0" fontId="62" fillId="0" borderId="0" xfId="0" applyFont="1" applyBorder="1" applyAlignment="1">
      <alignment horizontal="center" vertical="center"/>
    </xf>
    <xf numFmtId="164" fontId="67" fillId="0" borderId="0" xfId="0" applyNumberFormat="1" applyFont="1" applyBorder="1"/>
    <xf numFmtId="0" fontId="59" fillId="0" borderId="0" xfId="0" applyFont="1" applyBorder="1" applyAlignment="1" applyProtection="1">
      <alignment horizontal="center"/>
    </xf>
    <xf numFmtId="0" fontId="78" fillId="0" borderId="0" xfId="0" applyFont="1" applyBorder="1" applyAlignment="1">
      <alignment horizontal="center" vertical="top"/>
    </xf>
    <xf numFmtId="171" fontId="62" fillId="0" borderId="0" xfId="0" applyNumberFormat="1" applyFont="1" applyBorder="1" applyAlignment="1" applyProtection="1">
      <alignment horizontal="center" vertical="center"/>
    </xf>
    <xf numFmtId="164" fontId="67" fillId="0" borderId="0" xfId="0" applyNumberFormat="1" applyFont="1" applyBorder="1" applyProtection="1"/>
    <xf numFmtId="0" fontId="85" fillId="0" borderId="0" xfId="0" applyFont="1" applyBorder="1" applyAlignment="1">
      <alignment horizontal="left" vertical="top" wrapText="1"/>
    </xf>
    <xf numFmtId="166" fontId="62" fillId="0" borderId="0" xfId="0" applyNumberFormat="1" applyFont="1" applyBorder="1" applyAlignment="1" applyProtection="1">
      <alignment horizontal="left" vertical="center"/>
    </xf>
    <xf numFmtId="164" fontId="67" fillId="0" borderId="0" xfId="0" applyNumberFormat="1" applyFont="1" applyBorder="1" applyAlignment="1" applyProtection="1">
      <alignment horizontal="left" vertical="center"/>
    </xf>
    <xf numFmtId="0" fontId="62" fillId="0" borderId="0" xfId="0" applyFont="1" applyAlignment="1">
      <alignment vertical="center"/>
    </xf>
    <xf numFmtId="0" fontId="69" fillId="0" borderId="0" xfId="0" applyFont="1" applyBorder="1" applyAlignment="1" applyProtection="1">
      <alignment vertical="center"/>
    </xf>
    <xf numFmtId="0" fontId="60" fillId="0" borderId="0" xfId="3" applyFont="1" applyBorder="1" applyAlignment="1">
      <alignment horizontal="left" indent="1"/>
    </xf>
    <xf numFmtId="0" fontId="65" fillId="0" borderId="0" xfId="0" applyFont="1" applyBorder="1" applyAlignment="1" applyProtection="1">
      <alignment horizontal="center" vertical="center"/>
    </xf>
    <xf numFmtId="0" fontId="60" fillId="0" borderId="0" xfId="0" applyFont="1" applyAlignment="1" applyProtection="1">
      <alignment vertical="center"/>
    </xf>
    <xf numFmtId="0" fontId="87" fillId="0" borderId="0" xfId="0" applyFont="1" applyBorder="1" applyAlignment="1" applyProtection="1">
      <alignment horizontal="left" vertical="center"/>
    </xf>
    <xf numFmtId="0" fontId="59" fillId="0" borderId="0" xfId="0" applyFont="1" applyBorder="1" applyAlignment="1" applyProtection="1">
      <alignment vertical="center"/>
    </xf>
    <xf numFmtId="0" fontId="88" fillId="0" borderId="0" xfId="0" applyFont="1" applyBorder="1" applyAlignment="1" applyProtection="1">
      <alignment vertical="center"/>
    </xf>
    <xf numFmtId="0" fontId="67" fillId="0" borderId="0" xfId="0" applyFont="1" applyBorder="1" applyAlignment="1" applyProtection="1">
      <alignment horizontal="left" vertical="center" indent="3"/>
    </xf>
    <xf numFmtId="38" fontId="62" fillId="0" borderId="2" xfId="0" applyNumberFormat="1" applyFont="1" applyBorder="1" applyAlignment="1" applyProtection="1">
      <alignment vertical="center"/>
      <protection locked="0"/>
    </xf>
    <xf numFmtId="0" fontId="69" fillId="0" borderId="0" xfId="0" applyFont="1" applyBorder="1" applyAlignment="1" applyProtection="1">
      <alignment horizontal="center" vertical="center"/>
    </xf>
    <xf numFmtId="0" fontId="69" fillId="0" borderId="0" xfId="0" applyFont="1" applyBorder="1" applyAlignment="1" applyProtection="1">
      <alignment horizontal="center" vertical="center" wrapText="1"/>
    </xf>
    <xf numFmtId="176" fontId="62" fillId="0" borderId="2" xfId="0" applyNumberFormat="1" applyFont="1" applyBorder="1" applyAlignment="1" applyProtection="1">
      <alignment vertical="center" wrapText="1"/>
      <protection locked="0"/>
    </xf>
    <xf numFmtId="0" fontId="60" fillId="0" borderId="0" xfId="0" applyFont="1" applyBorder="1" applyAlignment="1" applyProtection="1">
      <alignment horizontal="center" vertical="center"/>
    </xf>
    <xf numFmtId="0" fontId="90" fillId="0" borderId="0" xfId="0" applyFont="1" applyBorder="1" applyAlignment="1" applyProtection="1">
      <alignment horizontal="center" vertical="center" wrapText="1"/>
    </xf>
    <xf numFmtId="0" fontId="89" fillId="0" borderId="0" xfId="0" applyNumberFormat="1" applyFont="1" applyBorder="1" applyAlignment="1" applyProtection="1">
      <alignment horizontal="left" vertical="center" wrapText="1"/>
    </xf>
    <xf numFmtId="0" fontId="60" fillId="0" borderId="0" xfId="0" applyFont="1" applyAlignment="1">
      <alignment horizontal="left" vertical="center" wrapText="1"/>
    </xf>
    <xf numFmtId="0" fontId="69" fillId="0" borderId="0" xfId="0" applyFont="1" applyBorder="1" applyAlignment="1" applyProtection="1">
      <alignment horizontal="center"/>
    </xf>
    <xf numFmtId="0" fontId="60" fillId="0" borderId="0" xfId="0" applyFont="1" applyBorder="1" applyAlignment="1" applyProtection="1"/>
    <xf numFmtId="0" fontId="69" fillId="0" borderId="0" xfId="0" applyFont="1" applyBorder="1" applyAlignment="1" applyProtection="1">
      <alignment horizontal="center" wrapText="1"/>
    </xf>
    <xf numFmtId="0" fontId="60" fillId="0" borderId="0" xfId="0" applyFont="1" applyBorder="1" applyAlignment="1" applyProtection="1">
      <alignment horizontal="right" vertical="center"/>
    </xf>
    <xf numFmtId="0" fontId="86" fillId="0" borderId="0" xfId="0" applyFont="1" applyBorder="1" applyAlignment="1" applyProtection="1">
      <alignment vertical="center"/>
    </xf>
    <xf numFmtId="0" fontId="78" fillId="0" borderId="0" xfId="0" applyFont="1" applyBorder="1" applyAlignment="1" applyProtection="1">
      <alignment vertical="center"/>
    </xf>
    <xf numFmtId="38" fontId="59" fillId="0" borderId="2" xfId="0" applyNumberFormat="1" applyFont="1" applyBorder="1" applyAlignment="1" applyProtection="1">
      <alignment horizontal="center" vertical="center"/>
      <protection locked="0"/>
    </xf>
    <xf numFmtId="0" fontId="60" fillId="0" borderId="0" xfId="0" applyFont="1" applyAlignment="1" applyProtection="1">
      <alignment horizontal="right" vertical="center"/>
    </xf>
    <xf numFmtId="0" fontId="67" fillId="0" borderId="17" xfId="0" applyFont="1" applyFill="1" applyBorder="1" applyAlignment="1" applyProtection="1">
      <alignment vertical="center"/>
    </xf>
    <xf numFmtId="38" fontId="62" fillId="0" borderId="2" xfId="0" applyNumberFormat="1" applyFont="1" applyBorder="1" applyAlignment="1" applyProtection="1">
      <alignment horizontal="center" vertical="center"/>
      <protection locked="0"/>
    </xf>
    <xf numFmtId="0" fontId="60" fillId="0" borderId="17" xfId="0" applyFont="1" applyBorder="1" applyAlignment="1" applyProtection="1">
      <alignment horizontal="right" vertical="center"/>
    </xf>
    <xf numFmtId="40" fontId="67" fillId="0" borderId="0" xfId="0" applyNumberFormat="1" applyFont="1" applyBorder="1" applyAlignment="1" applyProtection="1">
      <alignment horizontal="center" vertical="center"/>
    </xf>
    <xf numFmtId="0" fontId="92" fillId="0" borderId="0" xfId="0" applyFont="1" applyBorder="1" applyAlignment="1" applyProtection="1">
      <alignment vertical="center"/>
    </xf>
    <xf numFmtId="0" fontId="60" fillId="0" borderId="20" xfId="0" applyFont="1" applyFill="1" applyBorder="1" applyAlignment="1" applyProtection="1">
      <alignment vertical="center"/>
    </xf>
    <xf numFmtId="0" fontId="67" fillId="0" borderId="0" xfId="0" applyFont="1" applyBorder="1" applyAlignment="1" applyProtection="1">
      <alignment horizontal="right" vertical="center"/>
    </xf>
    <xf numFmtId="0" fontId="67" fillId="0" borderId="2" xfId="0" applyFont="1" applyBorder="1" applyAlignment="1" applyProtection="1">
      <alignment vertical="center"/>
    </xf>
    <xf numFmtId="38" fontId="62" fillId="6" borderId="2" xfId="0" applyNumberFormat="1" applyFont="1" applyFill="1" applyBorder="1" applyAlignment="1" applyProtection="1">
      <alignment vertical="center"/>
    </xf>
    <xf numFmtId="0" fontId="60" fillId="3" borderId="2" xfId="0" applyFont="1" applyFill="1" applyBorder="1" applyAlignment="1" applyProtection="1">
      <alignment vertical="center"/>
    </xf>
    <xf numFmtId="0" fontId="70" fillId="0" borderId="2" xfId="0" applyNumberFormat="1" applyFont="1" applyBorder="1" applyAlignment="1" applyProtection="1">
      <alignment horizontal="center" vertical="center"/>
      <protection locked="0"/>
    </xf>
    <xf numFmtId="38" fontId="62" fillId="0" borderId="0" xfId="0" applyNumberFormat="1" applyFont="1" applyBorder="1" applyAlignment="1" applyProtection="1">
      <alignment horizontal="center" vertical="center"/>
    </xf>
    <xf numFmtId="0" fontId="62" fillId="0" borderId="0" xfId="0" applyFont="1" applyBorder="1" applyAlignment="1" applyProtection="1">
      <alignment horizontal="left" vertical="top"/>
    </xf>
    <xf numFmtId="0" fontId="86" fillId="0" borderId="0" xfId="0" applyFont="1" applyBorder="1" applyAlignment="1" applyProtection="1">
      <alignment horizontal="left"/>
    </xf>
    <xf numFmtId="0" fontId="86" fillId="0" borderId="0" xfId="0" applyFont="1" applyBorder="1" applyAlignment="1" applyProtection="1"/>
    <xf numFmtId="0" fontId="93" fillId="0" borderId="0" xfId="0" applyFont="1" applyBorder="1" applyAlignment="1" applyProtection="1">
      <alignment horizontal="right" vertical="center"/>
    </xf>
    <xf numFmtId="0" fontId="62" fillId="0" borderId="0" xfId="0" applyFont="1" applyProtection="1"/>
    <xf numFmtId="0" fontId="60" fillId="0" borderId="0" xfId="0" applyFont="1" applyProtection="1"/>
    <xf numFmtId="0" fontId="94" fillId="0" borderId="0" xfId="2" applyFont="1" applyAlignment="1" applyProtection="1">
      <alignment horizontal="centerContinuous" vertical="center"/>
    </xf>
    <xf numFmtId="0" fontId="62" fillId="0" borderId="0" xfId="0" applyFont="1" applyAlignment="1">
      <alignment horizontal="centerContinuous" vertical="center"/>
    </xf>
    <xf numFmtId="0" fontId="60" fillId="0" borderId="0" xfId="0" applyFont="1" applyAlignment="1" applyProtection="1">
      <alignment horizontal="centerContinuous" vertical="center"/>
    </xf>
    <xf numFmtId="0" fontId="70" fillId="0" borderId="0" xfId="0" applyFont="1"/>
    <xf numFmtId="0" fontId="60" fillId="0" borderId="0" xfId="0" applyNumberFormat="1" applyFont="1" applyAlignment="1">
      <alignment horizontal="left"/>
    </xf>
    <xf numFmtId="0" fontId="62" fillId="0" borderId="0" xfId="0" applyFont="1" applyAlignment="1">
      <alignment horizontal="left"/>
    </xf>
    <xf numFmtId="174" fontId="60" fillId="0" borderId="0" xfId="0" applyNumberFormat="1" applyFont="1" applyAlignment="1">
      <alignment horizontal="left"/>
    </xf>
    <xf numFmtId="174" fontId="62" fillId="0" borderId="0" xfId="0" applyNumberFormat="1" applyFont="1" applyAlignment="1">
      <alignment horizontal="left"/>
    </xf>
    <xf numFmtId="0" fontId="60" fillId="0" borderId="0" xfId="0" applyNumberFormat="1" applyFont="1" applyBorder="1" applyAlignment="1" applyProtection="1">
      <alignment horizontal="left"/>
    </xf>
    <xf numFmtId="0" fontId="60" fillId="0" borderId="0" xfId="0" applyFont="1" applyBorder="1" applyAlignment="1" applyProtection="1">
      <alignment horizontal="right"/>
    </xf>
    <xf numFmtId="49" fontId="60" fillId="0" borderId="0" xfId="0" applyNumberFormat="1" applyFont="1" applyBorder="1" applyAlignment="1" applyProtection="1">
      <alignment horizontal="left" vertical="center"/>
    </xf>
    <xf numFmtId="49" fontId="59" fillId="0" borderId="0" xfId="0" applyNumberFormat="1" applyFont="1" applyBorder="1" applyAlignment="1" applyProtection="1">
      <alignment horizontal="left" vertical="center"/>
    </xf>
    <xf numFmtId="0" fontId="59" fillId="0" borderId="0" xfId="0" applyFont="1" applyBorder="1" applyProtection="1"/>
    <xf numFmtId="0" fontId="59" fillId="0" borderId="0" xfId="0" applyFont="1" applyBorder="1" applyAlignment="1" applyProtection="1">
      <alignment horizontal="right"/>
    </xf>
    <xf numFmtId="0" fontId="62" fillId="0" borderId="0" xfId="5" applyNumberFormat="1" applyFont="1" applyBorder="1" applyAlignment="1" applyProtection="1">
      <alignment horizontal="right"/>
    </xf>
    <xf numFmtId="49" fontId="67" fillId="0" borderId="0" xfId="0" applyNumberFormat="1" applyFont="1" applyBorder="1" applyAlignment="1" applyProtection="1">
      <alignment horizontal="left" vertical="center"/>
    </xf>
    <xf numFmtId="0" fontId="67" fillId="0" borderId="0" xfId="0" applyFont="1" applyFill="1" applyBorder="1" applyProtection="1"/>
    <xf numFmtId="40" fontId="67" fillId="0" borderId="0" xfId="0" applyNumberFormat="1" applyFont="1" applyBorder="1" applyAlignment="1" applyProtection="1">
      <alignment horizontal="right"/>
    </xf>
    <xf numFmtId="37" fontId="67" fillId="0" borderId="0" xfId="0" applyNumberFormat="1" applyFont="1" applyBorder="1" applyProtection="1"/>
    <xf numFmtId="175" fontId="67" fillId="0" borderId="0" xfId="0" applyNumberFormat="1" applyFont="1" applyFill="1" applyBorder="1" applyAlignment="1" applyProtection="1">
      <alignment horizontal="right"/>
    </xf>
    <xf numFmtId="173" fontId="67" fillId="0" borderId="0" xfId="0" applyNumberFormat="1" applyFont="1" applyBorder="1" applyProtection="1"/>
    <xf numFmtId="0" fontId="67" fillId="0" borderId="0" xfId="5" applyNumberFormat="1" applyFont="1" applyBorder="1" applyAlignment="1" applyProtection="1">
      <alignment horizontal="right"/>
    </xf>
    <xf numFmtId="0" fontId="67" fillId="0" borderId="0" xfId="0" applyFont="1" applyProtection="1"/>
    <xf numFmtId="0" fontId="67" fillId="0" borderId="0" xfId="0" applyFont="1" applyBorder="1" applyAlignment="1" applyProtection="1">
      <alignment vertical="center" wrapText="1"/>
    </xf>
    <xf numFmtId="0" fontId="67" fillId="0" borderId="0" xfId="0" applyFont="1" applyBorder="1" applyAlignment="1" applyProtection="1">
      <alignment horizontal="right"/>
    </xf>
    <xf numFmtId="2" fontId="67" fillId="0" borderId="0" xfId="0" applyNumberFormat="1" applyFont="1" applyBorder="1" applyAlignment="1" applyProtection="1">
      <alignment horizontal="right"/>
    </xf>
    <xf numFmtId="0" fontId="95" fillId="0" borderId="0" xfId="0" applyFont="1" applyAlignment="1" applyProtection="1">
      <alignment horizontal="left"/>
    </xf>
    <xf numFmtId="0" fontId="67" fillId="0" borderId="0" xfId="0" applyFont="1" applyAlignment="1">
      <alignment wrapText="1"/>
    </xf>
    <xf numFmtId="0" fontId="60" fillId="0" borderId="0" xfId="0" applyFont="1" applyFill="1" applyBorder="1" applyProtection="1"/>
    <xf numFmtId="0" fontId="60" fillId="0" borderId="0" xfId="0" applyFont="1" applyBorder="1" applyAlignment="1" applyProtection="1">
      <alignment horizontal="center"/>
    </xf>
    <xf numFmtId="175" fontId="67" fillId="0" borderId="0" xfId="0" quotePrefix="1" applyNumberFormat="1" applyFont="1" applyBorder="1" applyAlignment="1" applyProtection="1">
      <alignment horizontal="right"/>
    </xf>
    <xf numFmtId="0" fontId="69" fillId="0" borderId="0" xfId="0" applyFont="1" applyProtection="1"/>
    <xf numFmtId="0" fontId="67" fillId="0" borderId="0" xfId="5" quotePrefix="1" applyNumberFormat="1" applyFont="1" applyBorder="1" applyAlignment="1" applyProtection="1">
      <alignment horizontal="right"/>
    </xf>
    <xf numFmtId="0" fontId="67" fillId="0" borderId="0" xfId="0" applyFont="1" applyBorder="1" applyAlignment="1" applyProtection="1">
      <alignment vertical="top" wrapText="1"/>
    </xf>
    <xf numFmtId="37" fontId="67" fillId="0" borderId="0" xfId="0" applyNumberFormat="1" applyFont="1" applyBorder="1" applyAlignment="1" applyProtection="1">
      <alignment horizontal="right"/>
    </xf>
    <xf numFmtId="175" fontId="67" fillId="8" borderId="0" xfId="0" quotePrefix="1" applyNumberFormat="1" applyFont="1" applyFill="1" applyBorder="1" applyAlignment="1" applyProtection="1">
      <alignment horizontal="right"/>
    </xf>
    <xf numFmtId="38" fontId="67" fillId="0" borderId="0" xfId="0" applyNumberFormat="1" applyFont="1" applyBorder="1" applyProtection="1"/>
    <xf numFmtId="40" fontId="67" fillId="0" borderId="0" xfId="0" applyNumberFormat="1" applyFont="1" applyFill="1" applyBorder="1" applyAlignment="1" applyProtection="1">
      <alignment horizontal="right"/>
    </xf>
    <xf numFmtId="1" fontId="67" fillId="0" borderId="0" xfId="0" applyNumberFormat="1" applyFont="1" applyBorder="1" applyProtection="1"/>
    <xf numFmtId="39" fontId="67" fillId="0" borderId="0" xfId="0" applyNumberFormat="1" applyFont="1" applyBorder="1" applyProtection="1"/>
    <xf numFmtId="1" fontId="62" fillId="0" borderId="0" xfId="5" applyNumberFormat="1" applyFont="1" applyBorder="1" applyAlignment="1" applyProtection="1">
      <alignment horizontal="right"/>
    </xf>
    <xf numFmtId="40" fontId="67" fillId="0" borderId="0" xfId="0" applyNumberFormat="1" applyFont="1" applyBorder="1" applyAlignment="1" applyProtection="1">
      <alignment horizontal="right" vertical="center"/>
    </xf>
    <xf numFmtId="3" fontId="67" fillId="0" borderId="0" xfId="0" applyNumberFormat="1" applyFont="1" applyBorder="1" applyAlignment="1" applyProtection="1">
      <alignment horizontal="right" vertical="center"/>
    </xf>
    <xf numFmtId="173" fontId="67" fillId="0" borderId="0" xfId="0" applyNumberFormat="1" applyFont="1" applyBorder="1" applyAlignment="1" applyProtection="1">
      <alignment horizontal="right"/>
    </xf>
    <xf numFmtId="2" fontId="67" fillId="0" borderId="0" xfId="0" applyNumberFormat="1" applyFont="1" applyBorder="1" applyAlignment="1" applyProtection="1">
      <alignment horizontal="right" vertical="center"/>
    </xf>
    <xf numFmtId="40" fontId="67" fillId="0" borderId="0" xfId="0" applyNumberFormat="1" applyFont="1" applyFill="1" applyBorder="1" applyAlignment="1" applyProtection="1">
      <alignment horizontal="right" vertical="center"/>
    </xf>
    <xf numFmtId="49" fontId="67" fillId="0" borderId="0" xfId="0" applyNumberFormat="1" applyFont="1" applyBorder="1" applyProtection="1"/>
    <xf numFmtId="0" fontId="67" fillId="0" borderId="0" xfId="0" applyFont="1" applyBorder="1" applyAlignment="1" applyProtection="1">
      <alignment horizontal="center"/>
    </xf>
    <xf numFmtId="172" fontId="67" fillId="0" borderId="0" xfId="0" applyNumberFormat="1" applyFont="1" applyBorder="1" applyAlignment="1" applyProtection="1">
      <alignment horizontal="right"/>
    </xf>
    <xf numFmtId="0" fontId="69" fillId="0" borderId="0" xfId="0" applyFont="1" applyFill="1" applyBorder="1" applyAlignment="1" applyProtection="1">
      <alignment horizontal="center"/>
    </xf>
    <xf numFmtId="0" fontId="60" fillId="0" borderId="0" xfId="0" applyFont="1" applyFill="1" applyBorder="1" applyAlignment="1" applyProtection="1">
      <alignment horizontal="right"/>
    </xf>
    <xf numFmtId="0" fontId="59" fillId="0" borderId="0" xfId="0" applyFont="1" applyFill="1" applyBorder="1" applyAlignment="1" applyProtection="1">
      <alignment horizontal="left"/>
    </xf>
    <xf numFmtId="0" fontId="70" fillId="0" borderId="0" xfId="0" applyFont="1" applyFill="1" applyBorder="1" applyAlignment="1" applyProtection="1">
      <alignment horizontal="right"/>
    </xf>
    <xf numFmtId="2" fontId="70" fillId="0" borderId="0" xfId="0" applyNumberFormat="1" applyFont="1" applyFill="1" applyBorder="1" applyAlignment="1" applyProtection="1">
      <alignment horizontal="right"/>
    </xf>
    <xf numFmtId="0" fontId="93" fillId="0" borderId="0" xfId="0" applyFont="1" applyProtection="1"/>
    <xf numFmtId="0" fontId="60" fillId="0" borderId="0" xfId="0" applyFont="1" applyFill="1" applyBorder="1" applyAlignment="1" applyProtection="1">
      <alignment horizontal="center"/>
    </xf>
    <xf numFmtId="0" fontId="71" fillId="0" borderId="0" xfId="5" applyNumberFormat="1" applyFont="1" applyFill="1" applyBorder="1" applyAlignment="1" applyProtection="1">
      <alignment horizontal="right"/>
    </xf>
    <xf numFmtId="49" fontId="93" fillId="0" borderId="0" xfId="0" applyNumberFormat="1" applyFont="1" applyAlignment="1" applyProtection="1">
      <alignment horizontal="right" vertical="top"/>
    </xf>
    <xf numFmtId="0" fontId="67" fillId="0" borderId="0" xfId="0" applyFont="1" applyBorder="1" applyAlignment="1" applyProtection="1">
      <alignment horizontal="left"/>
    </xf>
    <xf numFmtId="49" fontId="60" fillId="0" borderId="0" xfId="0" applyNumberFormat="1" applyFont="1" applyBorder="1" applyAlignment="1" applyProtection="1">
      <alignment horizontal="left" vertical="top"/>
    </xf>
    <xf numFmtId="0" fontId="67" fillId="0" borderId="0" xfId="0" applyFont="1" applyAlignment="1" applyProtection="1">
      <alignment horizontal="left"/>
    </xf>
    <xf numFmtId="49" fontId="60" fillId="0" borderId="0" xfId="0" applyNumberFormat="1" applyFont="1" applyAlignment="1" applyProtection="1">
      <alignment horizontal="left" vertical="center"/>
    </xf>
    <xf numFmtId="49" fontId="60" fillId="0" borderId="0" xfId="0" applyNumberFormat="1" applyFont="1" applyAlignment="1" applyProtection="1">
      <alignment horizontal="left" vertical="top"/>
    </xf>
    <xf numFmtId="0" fontId="60" fillId="0" borderId="0" xfId="0" applyFont="1" applyAlignment="1" applyProtection="1">
      <alignment horizontal="right"/>
    </xf>
    <xf numFmtId="0" fontId="67" fillId="0" borderId="0" xfId="0" applyFont="1" applyAlignment="1" applyProtection="1">
      <alignment horizontal="right"/>
    </xf>
    <xf numFmtId="49" fontId="91" fillId="0" borderId="0" xfId="0" applyNumberFormat="1" applyFont="1" applyAlignment="1" applyProtection="1">
      <alignment horizontal="right" vertical="top"/>
    </xf>
    <xf numFmtId="0" fontId="67" fillId="0" borderId="3" xfId="0" applyFont="1" applyBorder="1" applyAlignment="1" applyProtection="1">
      <alignment horizontal="center" vertical="center"/>
    </xf>
    <xf numFmtId="49" fontId="59" fillId="0" borderId="3" xfId="0" applyNumberFormat="1" applyFont="1" applyBorder="1" applyAlignment="1" applyProtection="1">
      <alignment horizontal="center" vertical="center"/>
    </xf>
    <xf numFmtId="49" fontId="62" fillId="0" borderId="3" xfId="0" applyNumberFormat="1" applyFont="1" applyBorder="1" applyAlignment="1" applyProtection="1">
      <alignment horizontal="center" vertical="center"/>
    </xf>
    <xf numFmtId="49" fontId="70" fillId="0" borderId="12" xfId="0" applyNumberFormat="1" applyFont="1" applyBorder="1" applyAlignment="1" applyProtection="1">
      <alignment horizontal="centerContinuous" vertical="center"/>
    </xf>
    <xf numFmtId="49" fontId="62" fillId="0" borderId="10" xfId="0" applyNumberFormat="1" applyFont="1" applyBorder="1" applyAlignment="1" applyProtection="1">
      <alignment horizontal="centerContinuous" vertical="center"/>
    </xf>
    <xf numFmtId="0" fontId="62" fillId="0" borderId="0" xfId="0" applyFont="1" applyAlignment="1" applyProtection="1">
      <alignment vertical="center"/>
    </xf>
    <xf numFmtId="1" fontId="69" fillId="0" borderId="4" xfId="0" applyNumberFormat="1" applyFont="1" applyBorder="1" applyAlignment="1" applyProtection="1">
      <alignment horizontal="center" vertical="center" wrapText="1"/>
    </xf>
    <xf numFmtId="3" fontId="69" fillId="0" borderId="4" xfId="0" applyNumberFormat="1" applyFont="1" applyBorder="1" applyAlignment="1" applyProtection="1">
      <alignment horizontal="center" vertical="center" wrapText="1"/>
    </xf>
    <xf numFmtId="0" fontId="69" fillId="0" borderId="4" xfId="0" applyFont="1" applyBorder="1" applyAlignment="1" applyProtection="1">
      <alignment horizontal="center" vertical="center" wrapText="1"/>
    </xf>
    <xf numFmtId="43" fontId="69" fillId="0" borderId="2" xfId="1" applyFont="1" applyBorder="1" applyAlignment="1" applyProtection="1">
      <alignment horizontal="center" vertical="center" wrapText="1"/>
    </xf>
    <xf numFmtId="0" fontId="69" fillId="0" borderId="2" xfId="0" applyFont="1" applyBorder="1" applyAlignment="1" applyProtection="1">
      <alignment horizontal="center" vertical="center" wrapText="1"/>
    </xf>
    <xf numFmtId="0" fontId="67" fillId="0" borderId="21" xfId="0" applyFont="1" applyBorder="1" applyAlignment="1" applyProtection="1">
      <alignment horizontal="left" vertical="center" indent="1"/>
    </xf>
    <xf numFmtId="0" fontId="67" fillId="0" borderId="14" xfId="0" applyFont="1" applyBorder="1" applyAlignment="1" applyProtection="1">
      <alignment horizontal="center" vertical="center"/>
    </xf>
    <xf numFmtId="38" fontId="60" fillId="0" borderId="14" xfId="0" applyNumberFormat="1" applyFont="1" applyBorder="1" applyAlignment="1" applyProtection="1">
      <alignment horizontal="right"/>
      <protection locked="0"/>
    </xf>
    <xf numFmtId="38" fontId="60" fillId="0" borderId="2" xfId="0" applyNumberFormat="1" applyFont="1" applyBorder="1" applyAlignment="1" applyProtection="1">
      <alignment horizontal="right"/>
      <protection locked="0"/>
    </xf>
    <xf numFmtId="38" fontId="60" fillId="0" borderId="2" xfId="0" applyNumberFormat="1" applyFont="1" applyFill="1" applyBorder="1" applyAlignment="1" applyProtection="1">
      <alignment horizontal="right"/>
      <protection locked="0"/>
    </xf>
    <xf numFmtId="38" fontId="60" fillId="3" borderId="26" xfId="0" applyNumberFormat="1" applyFont="1" applyFill="1" applyBorder="1" applyAlignment="1" applyProtection="1">
      <alignment horizontal="right"/>
    </xf>
    <xf numFmtId="38" fontId="60" fillId="3" borderId="18" xfId="0" applyNumberFormat="1" applyFont="1" applyFill="1" applyBorder="1" applyAlignment="1" applyProtection="1">
      <alignment horizontal="right"/>
    </xf>
    <xf numFmtId="0" fontId="67" fillId="0" borderId="2" xfId="0" applyFont="1" applyBorder="1" applyAlignment="1" applyProtection="1">
      <alignment horizontal="center" vertical="center"/>
    </xf>
    <xf numFmtId="38" fontId="60" fillId="0" borderId="3" xfId="0" applyNumberFormat="1" applyFont="1" applyBorder="1" applyAlignment="1" applyProtection="1">
      <alignment horizontal="right"/>
      <protection locked="0"/>
    </xf>
    <xf numFmtId="38" fontId="60" fillId="0" borderId="0" xfId="0" applyNumberFormat="1" applyFont="1" applyBorder="1" applyAlignment="1" applyProtection="1">
      <alignment horizontal="right"/>
      <protection locked="0"/>
    </xf>
    <xf numFmtId="0" fontId="67" fillId="0" borderId="14" xfId="0" applyFont="1" applyBorder="1" applyAlignment="1" applyProtection="1">
      <alignment horizontal="left" vertical="center" indent="1"/>
    </xf>
    <xf numFmtId="38" fontId="60" fillId="0" borderId="3" xfId="0" applyNumberFormat="1" applyFont="1" applyFill="1" applyBorder="1" applyAlignment="1" applyProtection="1">
      <alignment horizontal="right"/>
      <protection locked="0"/>
    </xf>
    <xf numFmtId="38" fontId="60" fillId="6" borderId="3" xfId="0" applyNumberFormat="1" applyFont="1" applyFill="1" applyBorder="1" applyAlignment="1" applyProtection="1">
      <alignment horizontal="right"/>
    </xf>
    <xf numFmtId="38" fontId="60" fillId="6" borderId="26" xfId="0" applyNumberFormat="1" applyFont="1" applyFill="1" applyBorder="1" applyAlignment="1" applyProtection="1">
      <alignment horizontal="right"/>
    </xf>
    <xf numFmtId="38" fontId="60" fillId="0" borderId="4" xfId="0" applyNumberFormat="1" applyFont="1" applyFill="1" applyBorder="1" applyAlignment="1" applyProtection="1">
      <alignment horizontal="right"/>
      <protection locked="0"/>
    </xf>
    <xf numFmtId="38" fontId="60" fillId="0" borderId="26" xfId="0" applyNumberFormat="1" applyFont="1" applyFill="1" applyBorder="1" applyAlignment="1" applyProtection="1">
      <alignment horizontal="right"/>
      <protection locked="0"/>
    </xf>
    <xf numFmtId="38" fontId="60" fillId="6" borderId="4" xfId="0" applyNumberFormat="1" applyFont="1" applyFill="1" applyBorder="1" applyAlignment="1" applyProtection="1">
      <alignment horizontal="right"/>
    </xf>
    <xf numFmtId="38" fontId="60" fillId="0" borderId="4" xfId="0" applyNumberFormat="1" applyFont="1" applyBorder="1" applyAlignment="1" applyProtection="1">
      <alignment horizontal="right"/>
      <protection locked="0"/>
    </xf>
    <xf numFmtId="164" fontId="67" fillId="0" borderId="2" xfId="0" applyNumberFormat="1" applyFont="1" applyFill="1" applyBorder="1" applyAlignment="1" applyProtection="1">
      <alignment horizontal="left" vertical="center"/>
    </xf>
    <xf numFmtId="0" fontId="67" fillId="0" borderId="2" xfId="0" applyFont="1" applyFill="1" applyBorder="1" applyAlignment="1" applyProtection="1">
      <alignment horizontal="center" vertical="center"/>
    </xf>
    <xf numFmtId="38" fontId="60" fillId="6" borderId="18" xfId="0" applyNumberFormat="1" applyFont="1" applyFill="1" applyBorder="1" applyAlignment="1" applyProtection="1">
      <alignment horizontal="right"/>
    </xf>
    <xf numFmtId="0" fontId="62" fillId="0" borderId="0" xfId="0" applyFont="1" applyFill="1" applyAlignment="1" applyProtection="1">
      <alignment vertical="center"/>
    </xf>
    <xf numFmtId="38" fontId="60" fillId="6" borderId="0" xfId="0" applyNumberFormat="1" applyFont="1" applyFill="1" applyBorder="1" applyAlignment="1" applyProtection="1">
      <alignment horizontal="right"/>
    </xf>
    <xf numFmtId="38" fontId="60" fillId="0" borderId="2" xfId="0" applyNumberFormat="1" applyFont="1" applyFill="1" applyBorder="1" applyAlignment="1" applyProtection="1">
      <alignment horizontal="right"/>
    </xf>
    <xf numFmtId="0" fontId="67" fillId="0" borderId="11" xfId="0" applyFont="1" applyBorder="1" applyAlignment="1" applyProtection="1">
      <alignment horizontal="left" vertical="center" indent="1"/>
    </xf>
    <xf numFmtId="0" fontId="67" fillId="0" borderId="4" xfId="0" applyFont="1" applyBorder="1" applyAlignment="1" applyProtection="1">
      <alignment horizontal="center" vertical="center"/>
    </xf>
    <xf numFmtId="38" fontId="60" fillId="0" borderId="26" xfId="0" applyNumberFormat="1" applyFont="1" applyBorder="1" applyAlignment="1" applyProtection="1">
      <alignment horizontal="right"/>
      <protection locked="0"/>
    </xf>
    <xf numFmtId="0" fontId="67" fillId="0" borderId="20" xfId="0" applyFont="1" applyBorder="1" applyAlignment="1" applyProtection="1">
      <alignment horizontal="left" vertical="center" indent="1"/>
    </xf>
    <xf numFmtId="0" fontId="67" fillId="0" borderId="14" xfId="0" applyFont="1" applyBorder="1" applyAlignment="1" applyProtection="1">
      <alignment horizontal="left" vertical="center" wrapText="1" indent="1"/>
    </xf>
    <xf numFmtId="38" fontId="60" fillId="0" borderId="4" xfId="0" applyNumberFormat="1" applyFont="1" applyBorder="1" applyAlignment="1" applyProtection="1">
      <alignment horizontal="right"/>
    </xf>
    <xf numFmtId="0" fontId="67" fillId="0" borderId="2" xfId="0" applyFont="1" applyFill="1" applyBorder="1" applyAlignment="1" applyProtection="1">
      <alignment horizontal="left" vertical="center" indent="1"/>
    </xf>
    <xf numFmtId="38" fontId="62" fillId="6" borderId="26" xfId="0" applyNumberFormat="1" applyFont="1" applyFill="1" applyBorder="1" applyAlignment="1">
      <alignment horizontal="right"/>
    </xf>
    <xf numFmtId="0" fontId="67" fillId="0" borderId="16" xfId="0" applyFont="1" applyFill="1" applyBorder="1" applyAlignment="1" applyProtection="1">
      <alignment horizontal="left" vertical="center" indent="1"/>
    </xf>
    <xf numFmtId="0" fontId="67" fillId="0" borderId="10" xfId="0" applyFont="1" applyFill="1" applyBorder="1" applyAlignment="1" applyProtection="1">
      <alignment horizontal="center" vertical="center"/>
    </xf>
    <xf numFmtId="38" fontId="60" fillId="6" borderId="3" xfId="0" applyNumberFormat="1" applyFont="1" applyFill="1" applyBorder="1" applyAlignment="1">
      <alignment horizontal="right"/>
    </xf>
    <xf numFmtId="0" fontId="67" fillId="0" borderId="0" xfId="0" applyFont="1" applyAlignment="1" applyProtection="1">
      <alignment vertical="center"/>
    </xf>
    <xf numFmtId="0" fontId="67" fillId="0" borderId="0" xfId="0" applyFont="1" applyAlignment="1" applyProtection="1">
      <alignment horizontal="center" vertical="center"/>
    </xf>
    <xf numFmtId="38" fontId="62" fillId="0" borderId="0" xfId="0" applyNumberFormat="1" applyFont="1" applyAlignment="1" applyProtection="1">
      <alignment vertical="center"/>
    </xf>
    <xf numFmtId="49" fontId="69" fillId="0" borderId="3" xfId="0" applyNumberFormat="1" applyFont="1" applyBorder="1" applyAlignment="1" applyProtection="1">
      <alignment horizontal="center" vertical="center"/>
    </xf>
    <xf numFmtId="0" fontId="62" fillId="0" borderId="0" xfId="0" applyFont="1" applyAlignment="1" applyProtection="1">
      <alignment horizontal="center" vertical="center"/>
    </xf>
    <xf numFmtId="0" fontId="60" fillId="0" borderId="0" xfId="0" applyFont="1" applyFill="1" applyAlignment="1" applyProtection="1">
      <alignment horizontal="center" vertical="center"/>
    </xf>
    <xf numFmtId="0" fontId="62" fillId="0" borderId="0" xfId="0" applyFont="1" applyFill="1" applyAlignment="1" applyProtection="1">
      <alignment horizontal="center" vertical="center"/>
    </xf>
    <xf numFmtId="38" fontId="60" fillId="3" borderId="21" xfId="0" applyNumberFormat="1" applyFont="1" applyFill="1" applyBorder="1" applyAlignment="1" applyProtection="1">
      <alignment horizontal="right"/>
    </xf>
    <xf numFmtId="38" fontId="60" fillId="3" borderId="0" xfId="0" applyNumberFormat="1" applyFont="1" applyFill="1" applyBorder="1" applyAlignment="1" applyProtection="1">
      <alignment horizontal="right"/>
    </xf>
    <xf numFmtId="38" fontId="60" fillId="3" borderId="3" xfId="0" applyNumberFormat="1" applyFont="1" applyFill="1" applyBorder="1" applyAlignment="1" applyProtection="1">
      <alignment horizontal="right"/>
    </xf>
    <xf numFmtId="38" fontId="60" fillId="3" borderId="13" xfId="0" applyNumberFormat="1" applyFont="1" applyFill="1" applyBorder="1" applyAlignment="1" applyProtection="1">
      <alignment horizontal="right"/>
    </xf>
    <xf numFmtId="38" fontId="60" fillId="3" borderId="2" xfId="0" applyNumberFormat="1" applyFont="1" applyFill="1" applyBorder="1" applyAlignment="1" applyProtection="1">
      <alignment horizontal="right"/>
    </xf>
    <xf numFmtId="3" fontId="62" fillId="0" borderId="0" xfId="0" applyNumberFormat="1" applyFont="1" applyAlignment="1" applyProtection="1">
      <alignment vertical="center"/>
    </xf>
    <xf numFmtId="0" fontId="78" fillId="0" borderId="20" xfId="0" applyFont="1" applyBorder="1" applyAlignment="1" applyProtection="1">
      <alignment horizontal="left" indent="2"/>
    </xf>
    <xf numFmtId="0" fontId="67" fillId="0" borderId="11" xfId="0" applyFont="1" applyBorder="1" applyAlignment="1" applyProtection="1">
      <alignment horizontal="center" vertical="center"/>
    </xf>
    <xf numFmtId="38" fontId="60" fillId="0" borderId="19" xfId="0" applyNumberFormat="1" applyFont="1" applyBorder="1" applyAlignment="1" applyProtection="1">
      <alignment horizontal="right"/>
      <protection locked="0"/>
    </xf>
    <xf numFmtId="38" fontId="60" fillId="0" borderId="11" xfId="0" applyNumberFormat="1" applyFont="1" applyBorder="1" applyAlignment="1" applyProtection="1">
      <alignment horizontal="right"/>
      <protection locked="0"/>
    </xf>
    <xf numFmtId="0" fontId="59" fillId="0" borderId="0" xfId="0" applyFont="1" applyAlignment="1" applyProtection="1">
      <alignment vertical="center"/>
    </xf>
    <xf numFmtId="0" fontId="70" fillId="0" borderId="0" xfId="0" applyFont="1" applyAlignment="1" applyProtection="1">
      <alignment vertical="center"/>
    </xf>
    <xf numFmtId="38" fontId="60" fillId="3" borderId="11" xfId="0" applyNumberFormat="1" applyFont="1" applyFill="1" applyBorder="1" applyAlignment="1" applyProtection="1">
      <alignment horizontal="right"/>
    </xf>
    <xf numFmtId="38" fontId="60" fillId="3" borderId="4" xfId="0" applyNumberFormat="1" applyFont="1" applyFill="1" applyBorder="1" applyAlignment="1" applyProtection="1">
      <alignment horizontal="right"/>
    </xf>
    <xf numFmtId="38" fontId="60" fillId="3" borderId="19" xfId="0" applyNumberFormat="1" applyFont="1" applyFill="1" applyBorder="1" applyAlignment="1" applyProtection="1">
      <alignment horizontal="right"/>
    </xf>
    <xf numFmtId="38" fontId="60" fillId="3" borderId="14" xfId="0" applyNumberFormat="1" applyFont="1" applyFill="1" applyBorder="1" applyAlignment="1" applyProtection="1">
      <alignment horizontal="right"/>
    </xf>
    <xf numFmtId="0" fontId="60" fillId="0" borderId="0" xfId="0" applyFont="1" applyFill="1" applyAlignment="1" applyProtection="1">
      <alignment vertical="center"/>
    </xf>
    <xf numFmtId="0" fontId="67" fillId="0" borderId="4" xfId="0" applyFont="1" applyFill="1" applyBorder="1" applyAlignment="1" applyProtection="1">
      <alignment horizontal="center" vertical="center"/>
    </xf>
    <xf numFmtId="38" fontId="60" fillId="6" borderId="2" xfId="0" applyNumberFormat="1" applyFont="1" applyFill="1" applyBorder="1" applyAlignment="1" applyProtection="1">
      <alignment horizontal="right"/>
    </xf>
    <xf numFmtId="0" fontId="67" fillId="0" borderId="2" xfId="0" applyFont="1" applyFill="1" applyBorder="1" applyAlignment="1" applyProtection="1">
      <alignment horizontal="center" vertical="top"/>
    </xf>
    <xf numFmtId="38" fontId="60" fillId="6" borderId="28" xfId="0" applyNumberFormat="1" applyFont="1" applyFill="1" applyBorder="1" applyAlignment="1" applyProtection="1">
      <alignment horizontal="right"/>
    </xf>
    <xf numFmtId="0" fontId="60" fillId="0" borderId="0" xfId="0" applyFont="1" applyFill="1" applyBorder="1" applyAlignment="1" applyProtection="1">
      <alignment vertical="center"/>
    </xf>
    <xf numFmtId="38" fontId="60" fillId="0" borderId="27" xfId="0" applyNumberFormat="1" applyFont="1" applyFill="1" applyBorder="1" applyAlignment="1" applyProtection="1">
      <alignment horizontal="right"/>
      <protection locked="0"/>
    </xf>
    <xf numFmtId="38" fontId="60" fillId="0" borderId="33" xfId="0" applyNumberFormat="1" applyFont="1" applyFill="1" applyBorder="1" applyAlignment="1" applyProtection="1">
      <alignment horizontal="right"/>
      <protection locked="0"/>
    </xf>
    <xf numFmtId="38" fontId="60" fillId="0" borderId="32" xfId="0" applyNumberFormat="1" applyFont="1" applyFill="1" applyBorder="1" applyAlignment="1" applyProtection="1">
      <alignment horizontal="right"/>
      <protection locked="0"/>
    </xf>
    <xf numFmtId="38" fontId="60" fillId="0" borderId="0" xfId="0" applyNumberFormat="1" applyFont="1" applyAlignment="1" applyProtection="1"/>
    <xf numFmtId="0" fontId="67" fillId="0" borderId="11" xfId="0" applyFont="1" applyFill="1" applyBorder="1" applyAlignment="1" applyProtection="1">
      <alignment horizontal="center" vertical="center"/>
    </xf>
    <xf numFmtId="38" fontId="60" fillId="0" borderId="29" xfId="0" applyNumberFormat="1" applyFont="1" applyFill="1" applyBorder="1" applyAlignment="1" applyProtection="1">
      <alignment horizontal="right"/>
      <protection locked="0"/>
    </xf>
    <xf numFmtId="0" fontId="67" fillId="0" borderId="49" xfId="0" applyFont="1" applyBorder="1" applyAlignment="1" applyProtection="1">
      <alignment horizontal="left" vertical="center" indent="4"/>
    </xf>
    <xf numFmtId="0" fontId="67" fillId="0" borderId="31" xfId="0" applyFont="1" applyBorder="1" applyAlignment="1" applyProtection="1">
      <alignment horizontal="center" vertical="center"/>
    </xf>
    <xf numFmtId="40" fontId="60" fillId="7" borderId="33" xfId="0" applyNumberFormat="1" applyFont="1" applyFill="1" applyBorder="1" applyAlignment="1" applyProtection="1">
      <alignment horizontal="right" vertical="center"/>
    </xf>
    <xf numFmtId="0" fontId="67" fillId="0" borderId="13" xfId="0" applyFont="1" applyBorder="1" applyAlignment="1" applyProtection="1">
      <alignment horizontal="left" vertical="center" indent="4"/>
    </xf>
    <xf numFmtId="9" fontId="60" fillId="7" borderId="33" xfId="0" applyNumberFormat="1" applyFont="1" applyFill="1" applyBorder="1" applyAlignment="1" applyProtection="1">
      <alignment horizontal="right" vertical="center"/>
    </xf>
    <xf numFmtId="1" fontId="59" fillId="0" borderId="4" xfId="0" applyNumberFormat="1" applyFont="1" applyBorder="1" applyAlignment="1" applyProtection="1">
      <alignment horizontal="center" vertical="center" wrapText="1"/>
    </xf>
    <xf numFmtId="3" fontId="59" fillId="0" borderId="4" xfId="0" applyNumberFormat="1" applyFont="1" applyBorder="1" applyAlignment="1" applyProtection="1">
      <alignment horizontal="center" vertical="center" wrapText="1"/>
    </xf>
    <xf numFmtId="3" fontId="60" fillId="3" borderId="4" xfId="0" applyNumberFormat="1" applyFont="1" applyFill="1" applyBorder="1" applyAlignment="1" applyProtection="1">
      <alignment horizontal="center"/>
    </xf>
    <xf numFmtId="3" fontId="62" fillId="3" borderId="11" xfId="0" applyNumberFormat="1" applyFont="1" applyFill="1" applyBorder="1" applyAlignment="1" applyProtection="1">
      <alignment horizontal="center"/>
    </xf>
    <xf numFmtId="38" fontId="62" fillId="3" borderId="4" xfId="0" applyNumberFormat="1" applyFont="1" applyFill="1" applyBorder="1" applyAlignment="1" applyProtection="1">
      <alignment horizontal="center"/>
    </xf>
    <xf numFmtId="3" fontId="62" fillId="3" borderId="4" xfId="0" applyNumberFormat="1" applyFont="1" applyFill="1" applyBorder="1" applyAlignment="1" applyProtection="1">
      <alignment horizontal="center"/>
    </xf>
    <xf numFmtId="0" fontId="67" fillId="0" borderId="14" xfId="0" applyFont="1" applyBorder="1" applyAlignment="1" applyProtection="1">
      <alignment horizontal="center"/>
    </xf>
    <xf numFmtId="0" fontId="67" fillId="0" borderId="2" xfId="0" applyFont="1" applyBorder="1" applyAlignment="1" applyProtection="1">
      <alignment horizontal="center"/>
    </xf>
    <xf numFmtId="0" fontId="67" fillId="0" borderId="2" xfId="0" applyFont="1" applyBorder="1" applyAlignment="1" applyProtection="1">
      <alignment horizontal="center" vertical="center" wrapText="1"/>
    </xf>
    <xf numFmtId="38" fontId="62" fillId="0" borderId="0" xfId="0" applyNumberFormat="1" applyFont="1" applyProtection="1"/>
    <xf numFmtId="38" fontId="60" fillId="3" borderId="17" xfId="0" applyNumberFormat="1" applyFont="1" applyFill="1" applyBorder="1" applyAlignment="1" applyProtection="1">
      <alignment horizontal="right"/>
    </xf>
    <xf numFmtId="37" fontId="60" fillId="3" borderId="17" xfId="0" applyNumberFormat="1" applyFont="1" applyFill="1" applyBorder="1" applyAlignment="1" applyProtection="1">
      <alignment horizontal="right"/>
    </xf>
    <xf numFmtId="37" fontId="60" fillId="3" borderId="26" xfId="0" applyNumberFormat="1" applyFont="1" applyFill="1" applyBorder="1" applyAlignment="1" applyProtection="1">
      <alignment horizontal="right"/>
    </xf>
    <xf numFmtId="0" fontId="67" fillId="0" borderId="26" xfId="0" applyFont="1" applyFill="1" applyBorder="1" applyAlignment="1" applyProtection="1">
      <alignment horizontal="center" vertical="center"/>
    </xf>
    <xf numFmtId="0" fontId="67" fillId="0" borderId="2" xfId="0" applyFont="1" applyBorder="1" applyAlignment="1" applyProtection="1">
      <alignment horizontal="center" vertical="top"/>
    </xf>
    <xf numFmtId="0" fontId="67" fillId="0" borderId="26" xfId="0" applyFont="1" applyFill="1" applyBorder="1" applyAlignment="1" applyProtection="1">
      <alignment horizontal="center" vertical="top"/>
    </xf>
    <xf numFmtId="0" fontId="67" fillId="0" borderId="18" xfId="0" applyFont="1" applyFill="1" applyBorder="1" applyAlignment="1" applyProtection="1">
      <alignment horizontal="center" vertical="center"/>
    </xf>
    <xf numFmtId="38" fontId="60" fillId="3" borderId="0" xfId="0" applyNumberFormat="1" applyFont="1" applyFill="1" applyAlignment="1" applyProtection="1">
      <alignment horizontal="right"/>
    </xf>
    <xf numFmtId="1" fontId="67" fillId="0" borderId="2" xfId="0" applyNumberFormat="1" applyFont="1" applyBorder="1" applyAlignment="1" applyProtection="1">
      <alignment horizontal="center" vertical="center"/>
    </xf>
    <xf numFmtId="0" fontId="67" fillId="0" borderId="21" xfId="0" applyFont="1" applyBorder="1" applyAlignment="1" applyProtection="1">
      <alignment horizontal="left" vertical="top" wrapText="1" indent="1"/>
    </xf>
    <xf numFmtId="1" fontId="67" fillId="0" borderId="2" xfId="0" applyNumberFormat="1" applyFont="1" applyBorder="1" applyAlignment="1" applyProtection="1">
      <alignment horizontal="center" vertical="top"/>
    </xf>
    <xf numFmtId="38" fontId="60" fillId="3" borderId="38" xfId="0" applyNumberFormat="1" applyFont="1" applyFill="1" applyBorder="1" applyAlignment="1" applyProtection="1">
      <alignment horizontal="right"/>
    </xf>
    <xf numFmtId="38" fontId="60" fillId="3" borderId="28" xfId="0" applyNumberFormat="1" applyFont="1" applyFill="1" applyBorder="1" applyAlignment="1" applyProtection="1">
      <alignment horizontal="right"/>
    </xf>
    <xf numFmtId="1" fontId="67" fillId="0" borderId="4" xfId="0" applyNumberFormat="1" applyFont="1" applyBorder="1" applyAlignment="1" applyProtection="1">
      <alignment horizontal="center" vertical="center"/>
    </xf>
    <xf numFmtId="1" fontId="67" fillId="0" borderId="124" xfId="0" applyNumberFormat="1" applyFont="1" applyBorder="1" applyAlignment="1" applyProtection="1">
      <alignment horizontal="center" vertical="center"/>
    </xf>
    <xf numFmtId="38" fontId="60" fillId="0" borderId="124" xfId="0" applyNumberFormat="1" applyFont="1" applyBorder="1" applyAlignment="1" applyProtection="1">
      <alignment horizontal="right"/>
      <protection locked="0"/>
    </xf>
    <xf numFmtId="38" fontId="60" fillId="3" borderId="124" xfId="0" applyNumberFormat="1" applyFont="1" applyFill="1" applyBorder="1" applyAlignment="1" applyProtection="1">
      <alignment horizontal="right"/>
    </xf>
    <xf numFmtId="38" fontId="60" fillId="3" borderId="29" xfId="0" applyNumberFormat="1" applyFont="1" applyFill="1" applyBorder="1" applyAlignment="1" applyProtection="1">
      <alignment horizontal="right"/>
    </xf>
    <xf numFmtId="1" fontId="67" fillId="0" borderId="32" xfId="0" applyNumberFormat="1" applyFont="1" applyBorder="1" applyAlignment="1" applyProtection="1">
      <alignment horizontal="center" vertical="center"/>
    </xf>
    <xf numFmtId="38" fontId="60" fillId="0" borderId="32" xfId="0" applyNumberFormat="1" applyFont="1" applyBorder="1" applyAlignment="1" applyProtection="1">
      <alignment horizontal="right"/>
      <protection locked="0"/>
    </xf>
    <xf numFmtId="1" fontId="67" fillId="0" borderId="33" xfId="0" applyNumberFormat="1" applyFont="1" applyBorder="1" applyAlignment="1" applyProtection="1">
      <alignment horizontal="center" vertical="center"/>
    </xf>
    <xf numFmtId="38" fontId="60" fillId="0" borderId="33" xfId="0" applyNumberFormat="1" applyFont="1" applyBorder="1" applyAlignment="1" applyProtection="1">
      <alignment horizontal="right"/>
      <protection locked="0"/>
    </xf>
    <xf numFmtId="38" fontId="60" fillId="0" borderId="27" xfId="0" applyNumberFormat="1" applyFont="1" applyBorder="1" applyAlignment="1" applyProtection="1">
      <alignment horizontal="right"/>
      <protection locked="0"/>
    </xf>
    <xf numFmtId="38" fontId="60" fillId="0" borderId="27" xfId="0" applyNumberFormat="1" applyFont="1" applyFill="1" applyBorder="1" applyAlignment="1" applyProtection="1">
      <alignment horizontal="right" vertical="center"/>
      <protection locked="0"/>
    </xf>
    <xf numFmtId="0" fontId="67" fillId="0" borderId="2" xfId="0" applyFont="1" applyBorder="1" applyAlignment="1" applyProtection="1">
      <alignment horizontal="center" vertical="top" wrapText="1"/>
    </xf>
    <xf numFmtId="38" fontId="60" fillId="3" borderId="39" xfId="0" applyNumberFormat="1" applyFont="1" applyFill="1" applyBorder="1" applyAlignment="1" applyProtection="1">
      <alignment horizontal="right"/>
    </xf>
    <xf numFmtId="38" fontId="60" fillId="0" borderId="2" xfId="0" applyNumberFormat="1" applyFont="1" applyFill="1" applyBorder="1" applyAlignment="1" applyProtection="1">
      <alignment horizontal="right" vertical="center"/>
      <protection locked="0"/>
    </xf>
    <xf numFmtId="38" fontId="60" fillId="6" borderId="2" xfId="0" applyNumberFormat="1" applyFont="1" applyFill="1" applyBorder="1" applyAlignment="1" applyProtection="1">
      <alignment horizontal="right" vertical="center"/>
    </xf>
    <xf numFmtId="0" fontId="67" fillId="0" borderId="26" xfId="0" applyFont="1" applyBorder="1" applyAlignment="1" applyProtection="1">
      <alignment horizontal="center" vertical="center"/>
    </xf>
    <xf numFmtId="0" fontId="67" fillId="0" borderId="127" xfId="0" applyFont="1" applyFill="1" applyBorder="1" applyAlignment="1" applyProtection="1">
      <alignment horizontal="center" vertical="center"/>
    </xf>
    <xf numFmtId="0" fontId="67" fillId="0" borderId="100" xfId="0" applyFont="1" applyFill="1" applyBorder="1" applyAlignment="1" applyProtection="1">
      <alignment horizontal="center" vertical="center"/>
    </xf>
    <xf numFmtId="0" fontId="62" fillId="0" borderId="0" xfId="0" applyFont="1" applyAlignment="1" applyProtection="1"/>
    <xf numFmtId="0" fontId="67" fillId="0" borderId="0" xfId="0" applyFont="1" applyAlignment="1" applyProtection="1">
      <alignment horizontal="left" vertical="center" wrapText="1"/>
    </xf>
    <xf numFmtId="0" fontId="67" fillId="0" borderId="0" xfId="0" applyFont="1" applyAlignment="1" applyProtection="1">
      <alignment horizontal="center" vertical="center" wrapText="1"/>
    </xf>
    <xf numFmtId="0" fontId="62" fillId="0" borderId="0" xfId="0" applyFont="1" applyAlignment="1" applyProtection="1">
      <alignment wrapText="1"/>
    </xf>
    <xf numFmtId="0" fontId="62" fillId="0" borderId="0" xfId="0" applyFont="1" applyAlignment="1"/>
    <xf numFmtId="38" fontId="60" fillId="3" borderId="31" xfId="0" applyNumberFormat="1" applyFont="1" applyFill="1" applyBorder="1" applyAlignment="1" applyProtection="1">
      <alignment horizontal="right" vertical="center"/>
    </xf>
    <xf numFmtId="38" fontId="60" fillId="3" borderId="28" xfId="0" applyNumberFormat="1" applyFont="1" applyFill="1" applyBorder="1" applyAlignment="1" applyProtection="1">
      <alignment horizontal="right" vertical="center"/>
    </xf>
    <xf numFmtId="38" fontId="60" fillId="3" borderId="0" xfId="0" applyNumberFormat="1" applyFont="1" applyFill="1" applyAlignment="1" applyProtection="1">
      <alignment horizontal="right" vertical="center"/>
    </xf>
    <xf numFmtId="38" fontId="60" fillId="3" borderId="26" xfId="0" applyNumberFormat="1" applyFont="1" applyFill="1" applyBorder="1" applyAlignment="1" applyProtection="1">
      <alignment horizontal="right" vertical="center"/>
    </xf>
    <xf numFmtId="49" fontId="67" fillId="0" borderId="3" xfId="0" applyNumberFormat="1" applyFont="1" applyBorder="1" applyAlignment="1">
      <alignment horizontal="center" vertical="center"/>
    </xf>
    <xf numFmtId="49" fontId="59" fillId="0" borderId="3" xfId="0" applyNumberFormat="1" applyFont="1" applyBorder="1" applyAlignment="1">
      <alignment horizontal="center" vertical="center"/>
    </xf>
    <xf numFmtId="49" fontId="60" fillId="0" borderId="3" xfId="0" applyNumberFormat="1" applyFont="1" applyBorder="1" applyAlignment="1">
      <alignment horizontal="center" vertical="center"/>
    </xf>
    <xf numFmtId="49" fontId="69" fillId="0" borderId="26" xfId="0" applyNumberFormat="1" applyFont="1" applyBorder="1" applyAlignment="1">
      <alignment horizontal="center" vertical="center" wrapText="1"/>
    </xf>
    <xf numFmtId="3" fontId="59" fillId="0" borderId="26" xfId="0" applyNumberFormat="1" applyFont="1" applyBorder="1" applyAlignment="1">
      <alignment horizontal="center" vertical="center"/>
    </xf>
    <xf numFmtId="3" fontId="59" fillId="0" borderId="26" xfId="0" applyNumberFormat="1" applyFont="1" applyBorder="1" applyAlignment="1">
      <alignment horizontal="center" vertical="center" wrapText="1"/>
    </xf>
    <xf numFmtId="0" fontId="62" fillId="0" borderId="0" xfId="0" applyFont="1" applyAlignment="1">
      <alignment horizontal="center" vertical="top" wrapText="1"/>
    </xf>
    <xf numFmtId="0" fontId="62" fillId="0" borderId="0" xfId="0" applyFont="1" applyBorder="1" applyAlignment="1">
      <alignment vertical="center"/>
    </xf>
    <xf numFmtId="3" fontId="60" fillId="3" borderId="124" xfId="0" applyNumberFormat="1" applyFont="1" applyFill="1" applyBorder="1" applyAlignment="1">
      <alignment horizontal="center"/>
    </xf>
    <xf numFmtId="3" fontId="60" fillId="3" borderId="26" xfId="0" applyNumberFormat="1" applyFont="1" applyFill="1" applyBorder="1" applyAlignment="1">
      <alignment horizontal="center"/>
    </xf>
    <xf numFmtId="3" fontId="60" fillId="3" borderId="124" xfId="0" applyNumberFormat="1" applyFont="1" applyFill="1" applyBorder="1" applyAlignment="1">
      <alignment horizontal="right"/>
    </xf>
    <xf numFmtId="0" fontId="67" fillId="0" borderId="0" xfId="0" applyFont="1" applyBorder="1" applyAlignment="1"/>
    <xf numFmtId="49" fontId="67" fillId="0" borderId="2" xfId="0" applyNumberFormat="1" applyFont="1" applyBorder="1" applyAlignment="1">
      <alignment horizontal="center" vertical="center"/>
    </xf>
    <xf numFmtId="38" fontId="60" fillId="2" borderId="2" xfId="0" applyNumberFormat="1" applyFont="1" applyFill="1" applyBorder="1" applyAlignment="1">
      <alignment horizontal="right"/>
    </xf>
    <xf numFmtId="38" fontId="60" fillId="3" borderId="26" xfId="0" applyNumberFormat="1" applyFont="1" applyFill="1" applyBorder="1" applyAlignment="1">
      <alignment horizontal="right"/>
    </xf>
    <xf numFmtId="49" fontId="69" fillId="2" borderId="27" xfId="0" applyNumberFormat="1" applyFont="1" applyFill="1" applyBorder="1" applyAlignment="1">
      <alignment horizontal="center" vertical="center"/>
    </xf>
    <xf numFmtId="38" fontId="60" fillId="3" borderId="28" xfId="0" applyNumberFormat="1" applyFont="1" applyFill="1" applyBorder="1" applyAlignment="1">
      <alignment horizontal="right"/>
    </xf>
    <xf numFmtId="0" fontId="67" fillId="0" borderId="0" xfId="0" applyFont="1" applyFill="1" applyBorder="1" applyAlignment="1"/>
    <xf numFmtId="0" fontId="67" fillId="0" borderId="0" xfId="0" applyFont="1" applyFill="1"/>
    <xf numFmtId="3" fontId="69" fillId="3" borderId="13" xfId="0" applyNumberFormat="1" applyFont="1" applyFill="1" applyBorder="1" applyAlignment="1">
      <alignment horizontal="left" vertical="center" wrapText="1" indent="1"/>
    </xf>
    <xf numFmtId="49" fontId="69" fillId="3" borderId="14" xfId="0" applyNumberFormat="1" applyFont="1" applyFill="1" applyBorder="1" applyAlignment="1">
      <alignment horizontal="center" vertical="center"/>
    </xf>
    <xf numFmtId="38" fontId="60" fillId="3" borderId="4" xfId="0" applyNumberFormat="1" applyFont="1" applyFill="1" applyBorder="1" applyAlignment="1">
      <alignment horizontal="right"/>
    </xf>
    <xf numFmtId="164" fontId="69" fillId="3" borderId="122" xfId="0" applyNumberFormat="1" applyFont="1" applyFill="1" applyBorder="1" applyAlignment="1">
      <alignment horizontal="left" vertical="center" wrapText="1" indent="1"/>
    </xf>
    <xf numFmtId="49" fontId="69" fillId="3" borderId="31" xfId="0" applyNumberFormat="1" applyFont="1" applyFill="1" applyBorder="1" applyAlignment="1">
      <alignment horizontal="center" vertical="center"/>
    </xf>
    <xf numFmtId="38" fontId="60" fillId="3" borderId="29" xfId="0" applyNumberFormat="1" applyFont="1" applyFill="1" applyBorder="1" applyAlignment="1">
      <alignment horizontal="right"/>
    </xf>
    <xf numFmtId="49" fontId="67" fillId="0" borderId="3" xfId="0" applyNumberFormat="1" applyFont="1" applyBorder="1" applyAlignment="1">
      <alignment horizontal="center" vertical="center" wrapText="1"/>
    </xf>
    <xf numFmtId="49" fontId="67" fillId="0" borderId="2" xfId="0" applyNumberFormat="1" applyFont="1" applyBorder="1" applyAlignment="1">
      <alignment horizontal="center" vertical="top"/>
    </xf>
    <xf numFmtId="38" fontId="60" fillId="3" borderId="31" xfId="0" applyNumberFormat="1" applyFont="1" applyFill="1" applyBorder="1" applyAlignment="1">
      <alignment horizontal="right"/>
    </xf>
    <xf numFmtId="49" fontId="67" fillId="0" borderId="4" xfId="0" applyNumberFormat="1" applyFont="1" applyBorder="1" applyAlignment="1">
      <alignment horizontal="center" vertical="center"/>
    </xf>
    <xf numFmtId="49" fontId="69" fillId="3" borderId="11" xfId="0" applyNumberFormat="1" applyFont="1" applyFill="1" applyBorder="1" applyAlignment="1">
      <alignment horizontal="center" vertical="center"/>
    </xf>
    <xf numFmtId="49" fontId="67" fillId="0" borderId="33" xfId="0" applyNumberFormat="1" applyFont="1" applyFill="1" applyBorder="1" applyAlignment="1">
      <alignment horizontal="center" vertical="center"/>
    </xf>
    <xf numFmtId="0" fontId="67" fillId="0" borderId="0" xfId="0" applyFont="1" applyAlignment="1">
      <alignment vertical="center"/>
    </xf>
    <xf numFmtId="0" fontId="67" fillId="0" borderId="29" xfId="0" applyFont="1" applyFill="1" applyBorder="1" applyAlignment="1">
      <alignment horizontal="center" vertical="center"/>
    </xf>
    <xf numFmtId="38" fontId="60" fillId="6" borderId="28" xfId="0" applyNumberFormat="1" applyFont="1" applyFill="1" applyBorder="1" applyAlignment="1">
      <alignment horizontal="right"/>
    </xf>
    <xf numFmtId="0" fontId="67" fillId="0" borderId="4" xfId="0" applyFont="1" applyFill="1" applyBorder="1" applyAlignment="1">
      <alignment horizontal="center" vertical="center"/>
    </xf>
    <xf numFmtId="38" fontId="60" fillId="6" borderId="26" xfId="0" applyNumberFormat="1" applyFont="1" applyFill="1" applyBorder="1" applyAlignment="1">
      <alignment horizontal="right"/>
    </xf>
    <xf numFmtId="0" fontId="67" fillId="0" borderId="2" xfId="0" applyFont="1" applyFill="1" applyBorder="1" applyAlignment="1">
      <alignment horizontal="center" vertical="center"/>
    </xf>
    <xf numFmtId="0" fontId="67" fillId="0" borderId="124" xfId="0" applyFont="1" applyFill="1" applyBorder="1" applyAlignment="1">
      <alignment horizontal="center" vertical="center"/>
    </xf>
    <xf numFmtId="38" fontId="60" fillId="0" borderId="124" xfId="0" applyNumberFormat="1" applyFont="1" applyFill="1" applyBorder="1" applyAlignment="1" applyProtection="1">
      <alignment horizontal="right"/>
      <protection locked="0"/>
    </xf>
    <xf numFmtId="38" fontId="60" fillId="6" borderId="4" xfId="0" applyNumberFormat="1" applyFont="1" applyFill="1" applyBorder="1" applyAlignment="1">
      <alignment horizontal="right"/>
    </xf>
    <xf numFmtId="49" fontId="67" fillId="0" borderId="4" xfId="0" applyNumberFormat="1" applyFont="1" applyFill="1" applyBorder="1" applyAlignment="1">
      <alignment horizontal="center" vertical="center"/>
    </xf>
    <xf numFmtId="164" fontId="69" fillId="6" borderId="13" xfId="0" applyNumberFormat="1" applyFont="1" applyFill="1" applyBorder="1" applyAlignment="1">
      <alignment horizontal="left" vertical="center" wrapText="1" indent="1"/>
    </xf>
    <xf numFmtId="49" fontId="69" fillId="6" borderId="14" xfId="0" applyNumberFormat="1" applyFont="1" applyFill="1" applyBorder="1" applyAlignment="1">
      <alignment horizontal="center" vertical="center"/>
    </xf>
    <xf numFmtId="0" fontId="67" fillId="0" borderId="0" xfId="0" applyFont="1" applyAlignment="1"/>
    <xf numFmtId="49" fontId="69" fillId="0" borderId="29" xfId="0" applyNumberFormat="1" applyFont="1" applyFill="1" applyBorder="1" applyAlignment="1">
      <alignment horizontal="center" vertical="center"/>
    </xf>
    <xf numFmtId="3" fontId="69" fillId="0" borderId="13" xfId="0" applyNumberFormat="1" applyFont="1" applyBorder="1" applyAlignment="1">
      <alignment horizontal="left" vertical="top" wrapText="1" indent="2"/>
    </xf>
    <xf numFmtId="49" fontId="67" fillId="0" borderId="21" xfId="0" applyNumberFormat="1" applyFont="1" applyFill="1" applyBorder="1" applyAlignment="1">
      <alignment horizontal="left" vertical="top" indent="1"/>
    </xf>
    <xf numFmtId="38" fontId="60" fillId="0" borderId="21" xfId="0" applyNumberFormat="1" applyFont="1" applyFill="1" applyBorder="1" applyAlignment="1">
      <alignment horizontal="right"/>
    </xf>
    <xf numFmtId="0" fontId="60" fillId="0" borderId="0" xfId="0" applyFont="1" applyAlignment="1">
      <alignment vertical="center"/>
    </xf>
    <xf numFmtId="3" fontId="69" fillId="3" borderId="12" xfId="0" applyNumberFormat="1" applyFont="1" applyFill="1" applyBorder="1" applyAlignment="1">
      <alignment horizontal="left" vertical="center" wrapText="1" indent="1"/>
    </xf>
    <xf numFmtId="164" fontId="69" fillId="3" borderId="13" xfId="0" applyNumberFormat="1" applyFont="1" applyFill="1" applyBorder="1" applyAlignment="1">
      <alignment horizontal="left" vertical="center" wrapText="1" indent="1"/>
    </xf>
    <xf numFmtId="38" fontId="60" fillId="3" borderId="2" xfId="0" applyNumberFormat="1" applyFont="1" applyFill="1" applyBorder="1" applyAlignment="1">
      <alignment horizontal="right"/>
    </xf>
    <xf numFmtId="49" fontId="67" fillId="0" borderId="29" xfId="0" applyNumberFormat="1" applyFont="1" applyFill="1" applyBorder="1" applyAlignment="1">
      <alignment horizontal="center" vertical="center"/>
    </xf>
    <xf numFmtId="38" fontId="60" fillId="0" borderId="29" xfId="0" applyNumberFormat="1" applyFont="1" applyBorder="1" applyAlignment="1" applyProtection="1">
      <alignment horizontal="right"/>
      <protection locked="0"/>
    </xf>
    <xf numFmtId="164" fontId="69" fillId="3" borderId="13" xfId="0" applyNumberFormat="1" applyFont="1" applyFill="1" applyBorder="1" applyAlignment="1" applyProtection="1">
      <alignment horizontal="left" vertical="center" wrapText="1" indent="1"/>
    </xf>
    <xf numFmtId="49" fontId="69" fillId="3" borderId="14" xfId="0" applyNumberFormat="1" applyFont="1" applyFill="1" applyBorder="1" applyAlignment="1" applyProtection="1">
      <alignment horizontal="center" vertical="center"/>
    </xf>
    <xf numFmtId="49" fontId="69" fillId="7" borderId="27" xfId="0" applyNumberFormat="1" applyFont="1" applyFill="1" applyBorder="1" applyAlignment="1">
      <alignment horizontal="center" vertical="center"/>
    </xf>
    <xf numFmtId="3" fontId="69" fillId="6" borderId="17" xfId="0" applyNumberFormat="1" applyFont="1" applyFill="1" applyBorder="1" applyAlignment="1">
      <alignment horizontal="left" vertical="center" wrapText="1" indent="1"/>
    </xf>
    <xf numFmtId="49" fontId="69" fillId="6" borderId="26" xfId="0" applyNumberFormat="1" applyFont="1" applyFill="1" applyBorder="1" applyAlignment="1">
      <alignment horizontal="center" vertical="center"/>
    </xf>
    <xf numFmtId="38" fontId="60" fillId="6" borderId="29" xfId="0" applyNumberFormat="1" applyFont="1" applyFill="1" applyBorder="1" applyAlignment="1">
      <alignment horizontal="right"/>
    </xf>
    <xf numFmtId="3" fontId="69" fillId="0" borderId="13" xfId="0" applyNumberFormat="1" applyFont="1" applyFill="1" applyBorder="1" applyAlignment="1">
      <alignment horizontal="left" vertical="top" wrapText="1" indent="2"/>
    </xf>
    <xf numFmtId="0" fontId="62" fillId="0" borderId="21" xfId="0" applyFont="1" applyFill="1" applyBorder="1" applyAlignment="1">
      <alignment horizontal="left" vertical="top" wrapText="1" indent="2"/>
    </xf>
    <xf numFmtId="0" fontId="62" fillId="0" borderId="0" xfId="0" applyFont="1" applyFill="1" applyBorder="1" applyAlignment="1"/>
    <xf numFmtId="0" fontId="62" fillId="0" borderId="0" xfId="0" applyFont="1" applyFill="1" applyBorder="1"/>
    <xf numFmtId="0" fontId="60" fillId="0" borderId="0" xfId="0" applyFont="1" applyBorder="1" applyAlignment="1"/>
    <xf numFmtId="0" fontId="60" fillId="0" borderId="0" xfId="0" applyFont="1"/>
    <xf numFmtId="3" fontId="69" fillId="3" borderId="122" xfId="0" applyNumberFormat="1" applyFont="1" applyFill="1" applyBorder="1" applyAlignment="1">
      <alignment horizontal="left" vertical="center" wrapText="1" indent="1"/>
    </xf>
    <xf numFmtId="49" fontId="69" fillId="3" borderId="29" xfId="0" applyNumberFormat="1" applyFont="1" applyFill="1" applyBorder="1" applyAlignment="1">
      <alignment horizontal="center" vertical="center"/>
    </xf>
    <xf numFmtId="49" fontId="69" fillId="3" borderId="4" xfId="0" applyNumberFormat="1" applyFont="1" applyFill="1" applyBorder="1" applyAlignment="1">
      <alignment horizontal="center" vertical="top"/>
    </xf>
    <xf numFmtId="49" fontId="69" fillId="3" borderId="2" xfId="0" applyNumberFormat="1" applyFont="1" applyFill="1" applyBorder="1" applyAlignment="1">
      <alignment horizontal="center" vertical="top"/>
    </xf>
    <xf numFmtId="49" fontId="67" fillId="0" borderId="21" xfId="0" applyNumberFormat="1" applyFont="1" applyFill="1" applyBorder="1" applyAlignment="1">
      <alignment horizontal="center" vertical="top"/>
    </xf>
    <xf numFmtId="0" fontId="62" fillId="0" borderId="0" xfId="0" applyFont="1" applyFill="1"/>
    <xf numFmtId="0" fontId="69" fillId="3" borderId="13" xfId="0" applyFont="1" applyFill="1" applyBorder="1" applyAlignment="1">
      <alignment horizontal="left" vertical="center" wrapText="1" indent="1"/>
    </xf>
    <xf numFmtId="49" fontId="69" fillId="3" borderId="123" xfId="0" applyNumberFormat="1" applyFont="1" applyFill="1" applyBorder="1" applyAlignment="1">
      <alignment horizontal="center" vertical="center"/>
    </xf>
    <xf numFmtId="49" fontId="67" fillId="0" borderId="124" xfId="0" applyNumberFormat="1" applyFont="1" applyBorder="1" applyAlignment="1">
      <alignment horizontal="center" vertical="center"/>
    </xf>
    <xf numFmtId="49" fontId="69" fillId="3" borderId="4" xfId="0" applyNumberFormat="1" applyFont="1" applyFill="1" applyBorder="1" applyAlignment="1">
      <alignment horizontal="center" vertical="center"/>
    </xf>
    <xf numFmtId="3" fontId="69" fillId="6" borderId="29" xfId="0" applyNumberFormat="1" applyFont="1" applyFill="1" applyBorder="1" applyAlignment="1">
      <alignment horizontal="left" vertical="center" wrapText="1" indent="1"/>
    </xf>
    <xf numFmtId="49" fontId="69" fillId="6" borderId="29" xfId="0" applyNumberFormat="1" applyFont="1" applyFill="1" applyBorder="1" applyAlignment="1">
      <alignment horizontal="center" vertical="center"/>
    </xf>
    <xf numFmtId="3" fontId="69" fillId="3" borderId="2" xfId="0" applyNumberFormat="1" applyFont="1" applyFill="1" applyBorder="1" applyAlignment="1">
      <alignment horizontal="left" vertical="center" wrapText="1" indent="1"/>
    </xf>
    <xf numFmtId="49" fontId="69" fillId="3" borderId="11" xfId="0" applyNumberFormat="1" applyFont="1" applyFill="1" applyBorder="1" applyAlignment="1">
      <alignment horizontal="center" vertical="center" wrapText="1"/>
    </xf>
    <xf numFmtId="49" fontId="67" fillId="0" borderId="3" xfId="0" applyNumberFormat="1" applyFont="1" applyBorder="1" applyAlignment="1">
      <alignment horizontal="center" vertical="top"/>
    </xf>
    <xf numFmtId="49" fontId="69" fillId="3" borderId="31" xfId="0" applyNumberFormat="1" applyFont="1" applyFill="1" applyBorder="1" applyAlignment="1">
      <alignment horizontal="center" vertical="center" wrapText="1"/>
    </xf>
    <xf numFmtId="49" fontId="67" fillId="0" borderId="2" xfId="0" applyNumberFormat="1" applyFont="1" applyBorder="1" applyAlignment="1">
      <alignment horizontal="center" vertical="center" wrapText="1"/>
    </xf>
    <xf numFmtId="38" fontId="60" fillId="3" borderId="124" xfId="0" applyNumberFormat="1" applyFont="1" applyFill="1" applyBorder="1" applyAlignment="1">
      <alignment horizontal="right"/>
    </xf>
    <xf numFmtId="38" fontId="60" fillId="3" borderId="3" xfId="0" applyNumberFormat="1" applyFont="1" applyFill="1" applyBorder="1" applyAlignment="1">
      <alignment horizontal="right"/>
    </xf>
    <xf numFmtId="164" fontId="69" fillId="3" borderId="17" xfId="0" applyNumberFormat="1" applyFont="1" applyFill="1" applyBorder="1" applyAlignment="1">
      <alignment horizontal="left" vertical="center" wrapText="1" indent="1"/>
    </xf>
    <xf numFmtId="0" fontId="67" fillId="0" borderId="2" xfId="0" applyFont="1" applyBorder="1" applyAlignment="1">
      <alignment horizontal="center" vertical="center"/>
    </xf>
    <xf numFmtId="49" fontId="67" fillId="0" borderId="2" xfId="0" applyNumberFormat="1" applyFont="1" applyFill="1" applyBorder="1" applyAlignment="1">
      <alignment horizontal="center" vertical="center"/>
    </xf>
    <xf numFmtId="3" fontId="69" fillId="0" borderId="122" xfId="0" applyNumberFormat="1" applyFont="1" applyFill="1" applyBorder="1" applyAlignment="1">
      <alignment horizontal="left" vertical="top" wrapText="1" indent="1"/>
    </xf>
    <xf numFmtId="0" fontId="62" fillId="0" borderId="20" xfId="0" applyFont="1" applyFill="1" applyBorder="1" applyAlignment="1">
      <alignment horizontal="left" vertical="top" wrapText="1"/>
    </xf>
    <xf numFmtId="38" fontId="60" fillId="0" borderId="20" xfId="0" applyNumberFormat="1" applyFont="1" applyFill="1" applyBorder="1" applyAlignment="1">
      <alignment horizontal="right"/>
    </xf>
    <xf numFmtId="38" fontId="60" fillId="0" borderId="0" xfId="0" applyNumberFormat="1" applyFont="1" applyFill="1" applyBorder="1" applyAlignment="1">
      <alignment horizontal="right"/>
    </xf>
    <xf numFmtId="0" fontId="69" fillId="6" borderId="12" xfId="0" applyFont="1" applyFill="1" applyBorder="1" applyAlignment="1">
      <alignment horizontal="left" vertical="center" wrapText="1" indent="1"/>
    </xf>
    <xf numFmtId="49" fontId="67" fillId="6" borderId="14" xfId="0" applyNumberFormat="1" applyFont="1" applyFill="1" applyBorder="1" applyAlignment="1">
      <alignment horizontal="center" vertical="center"/>
    </xf>
    <xf numFmtId="49" fontId="67" fillId="0" borderId="14" xfId="0" applyNumberFormat="1" applyFont="1" applyFill="1" applyBorder="1" applyAlignment="1">
      <alignment horizontal="center" vertical="center"/>
    </xf>
    <xf numFmtId="49" fontId="67" fillId="0" borderId="14" xfId="0" applyNumberFormat="1" applyFont="1" applyFill="1" applyBorder="1" applyAlignment="1">
      <alignment horizontal="center" vertical="top"/>
    </xf>
    <xf numFmtId="164" fontId="69" fillId="3" borderId="13" xfId="0" applyNumberFormat="1" applyFont="1" applyFill="1" applyBorder="1" applyAlignment="1">
      <alignment horizontal="left" vertical="top" wrapText="1" indent="1"/>
    </xf>
    <xf numFmtId="49" fontId="69" fillId="3" borderId="14" xfId="0" applyNumberFormat="1" applyFont="1" applyFill="1" applyBorder="1" applyAlignment="1">
      <alignment horizontal="center" vertical="top"/>
    </xf>
    <xf numFmtId="0" fontId="62" fillId="6" borderId="0" xfId="0" applyFont="1" applyFill="1" applyAlignment="1">
      <alignment vertical="center"/>
    </xf>
    <xf numFmtId="49" fontId="69" fillId="6" borderId="2" xfId="7" applyNumberFormat="1" applyFont="1" applyFill="1" applyBorder="1" applyAlignment="1">
      <alignment horizontal="left" vertical="center" wrapText="1" indent="1"/>
    </xf>
    <xf numFmtId="0" fontId="69" fillId="6" borderId="2" xfId="8" applyNumberFormat="1" applyFont="1" applyFill="1" applyBorder="1" applyAlignment="1">
      <alignment horizontal="center" vertical="top"/>
    </xf>
    <xf numFmtId="38" fontId="60" fillId="6" borderId="0" xfId="8" applyNumberFormat="1" applyFont="1" applyFill="1" applyBorder="1" applyAlignment="1" applyProtection="1">
      <alignment horizontal="right"/>
    </xf>
    <xf numFmtId="38" fontId="60" fillId="6" borderId="26" xfId="8" applyNumberFormat="1" applyFont="1" applyFill="1" applyBorder="1" applyAlignment="1" applyProtection="1">
      <alignment horizontal="right"/>
    </xf>
    <xf numFmtId="38" fontId="60" fillId="0" borderId="2" xfId="6" applyNumberFormat="1" applyFont="1" applyBorder="1" applyProtection="1">
      <protection locked="0"/>
    </xf>
    <xf numFmtId="0" fontId="86" fillId="0" borderId="0" xfId="6" applyFont="1"/>
    <xf numFmtId="0" fontId="67" fillId="0" borderId="17" xfId="0" applyFont="1" applyBorder="1" applyAlignment="1">
      <alignment horizontal="left" vertical="center" wrapText="1"/>
    </xf>
    <xf numFmtId="49" fontId="67" fillId="0" borderId="0" xfId="0" applyNumberFormat="1" applyFont="1" applyAlignment="1">
      <alignment horizontal="center" vertical="center"/>
    </xf>
    <xf numFmtId="0" fontId="62" fillId="0" borderId="0" xfId="0" applyFont="1" applyAlignment="1">
      <alignment horizontal="right" vertical="center"/>
    </xf>
    <xf numFmtId="38" fontId="62" fillId="0" borderId="0" xfId="0" applyNumberFormat="1" applyFont="1" applyAlignment="1">
      <alignment horizontal="right" vertical="center"/>
    </xf>
    <xf numFmtId="38" fontId="62" fillId="0" borderId="0" xfId="0" applyNumberFormat="1" applyFont="1" applyFill="1" applyAlignment="1">
      <alignment horizontal="right" vertical="center"/>
    </xf>
    <xf numFmtId="38" fontId="69" fillId="6" borderId="3" xfId="0" applyNumberFormat="1" applyFont="1" applyFill="1" applyBorder="1" applyAlignment="1">
      <alignment horizontal="center" vertical="center" wrapText="1"/>
    </xf>
    <xf numFmtId="0" fontId="67" fillId="0" borderId="2" xfId="0" applyFont="1" applyBorder="1" applyAlignment="1">
      <alignment horizontal="left" vertical="center" wrapText="1" indent="1"/>
    </xf>
    <xf numFmtId="38" fontId="62" fillId="0" borderId="0" xfId="0" applyNumberFormat="1" applyFont="1"/>
    <xf numFmtId="0" fontId="78" fillId="0" borderId="0" xfId="0" applyFont="1" applyAlignment="1">
      <alignment horizontal="left" indent="2"/>
    </xf>
    <xf numFmtId="0" fontId="78" fillId="0" borderId="0" xfId="0" applyFont="1" applyAlignment="1">
      <alignment horizontal="left"/>
    </xf>
    <xf numFmtId="0" fontId="78" fillId="0" borderId="0" xfId="0" applyFont="1" applyAlignment="1">
      <alignment horizontal="left" vertical="top" indent="2"/>
    </xf>
    <xf numFmtId="0" fontId="78" fillId="0" borderId="0" xfId="0" applyFont="1" applyAlignment="1">
      <alignment horizontal="left" vertical="top"/>
    </xf>
    <xf numFmtId="49" fontId="67" fillId="0" borderId="0" xfId="0" applyNumberFormat="1" applyFont="1" applyFill="1" applyBorder="1" applyAlignment="1" applyProtection="1">
      <alignment horizontal="left" vertical="center"/>
    </xf>
    <xf numFmtId="49" fontId="67" fillId="0" borderId="0" xfId="0" applyNumberFormat="1" applyFont="1" applyAlignment="1" applyProtection="1">
      <alignment horizontal="left" vertical="center"/>
    </xf>
    <xf numFmtId="49" fontId="69" fillId="0" borderId="2" xfId="0" applyNumberFormat="1" applyFont="1" applyFill="1" applyBorder="1" applyAlignment="1" applyProtection="1">
      <alignment horizontal="center" vertical="center" wrapText="1"/>
    </xf>
    <xf numFmtId="49" fontId="67" fillId="0" borderId="13" xfId="0" applyNumberFormat="1" applyFont="1" applyBorder="1" applyAlignment="1" applyProtection="1">
      <alignment horizontal="left" vertical="center" indent="1"/>
    </xf>
    <xf numFmtId="49" fontId="67" fillId="0" borderId="21" xfId="0" applyNumberFormat="1" applyFont="1" applyBorder="1" applyAlignment="1" applyProtection="1">
      <alignment horizontal="left" vertical="center"/>
    </xf>
    <xf numFmtId="38" fontId="60" fillId="0" borderId="2" xfId="0" applyNumberFormat="1" applyFont="1" applyBorder="1" applyAlignment="1" applyProtection="1">
      <alignment horizontal="right" vertical="center"/>
      <protection locked="0"/>
    </xf>
    <xf numFmtId="38" fontId="60" fillId="3" borderId="0" xfId="0" applyNumberFormat="1" applyFont="1" applyFill="1" applyBorder="1" applyAlignment="1" applyProtection="1">
      <alignment horizontal="right" vertical="center"/>
    </xf>
    <xf numFmtId="38" fontId="60" fillId="3" borderId="18" xfId="0" applyNumberFormat="1" applyFont="1" applyFill="1" applyBorder="1" applyAlignment="1" applyProtection="1">
      <alignment horizontal="right" vertical="center"/>
    </xf>
    <xf numFmtId="0" fontId="86" fillId="0" borderId="0" xfId="9" applyFont="1" applyFill="1"/>
    <xf numFmtId="49" fontId="69" fillId="0" borderId="2" xfId="9" applyNumberFormat="1" applyFont="1" applyFill="1" applyBorder="1" applyAlignment="1">
      <alignment horizontal="center" vertical="center" wrapText="1"/>
    </xf>
    <xf numFmtId="0" fontId="62" fillId="0" borderId="0" xfId="9" applyFont="1" applyFill="1"/>
    <xf numFmtId="164" fontId="67" fillId="0" borderId="2" xfId="9" applyNumberFormat="1" applyFont="1" applyFill="1" applyBorder="1" applyAlignment="1" applyProtection="1">
      <alignment horizontal="left" vertical="center"/>
      <protection locked="0"/>
    </xf>
    <xf numFmtId="177" fontId="67" fillId="0" borderId="2" xfId="9" applyNumberFormat="1" applyFont="1" applyFill="1" applyBorder="1" applyAlignment="1" applyProtection="1">
      <alignment horizontal="right"/>
      <protection locked="0"/>
    </xf>
    <xf numFmtId="38" fontId="60" fillId="0" borderId="2" xfId="9" applyNumberFormat="1" applyFont="1" applyFill="1" applyBorder="1" applyAlignment="1" applyProtection="1">
      <alignment horizontal="right"/>
      <protection locked="0"/>
    </xf>
    <xf numFmtId="3" fontId="60" fillId="0" borderId="2" xfId="9" applyNumberFormat="1" applyFont="1" applyFill="1" applyBorder="1" applyAlignment="1" applyProtection="1">
      <alignment horizontal="right" vertical="center"/>
      <protection locked="0"/>
    </xf>
    <xf numFmtId="0" fontId="62" fillId="0" borderId="0" xfId="9" applyFont="1" applyFill="1" applyAlignment="1"/>
    <xf numFmtId="0" fontId="67" fillId="0" borderId="0" xfId="9" applyFont="1" applyFill="1" applyAlignment="1"/>
    <xf numFmtId="38" fontId="60" fillId="0" borderId="2" xfId="9" applyNumberFormat="1" applyFont="1" applyFill="1" applyBorder="1" applyAlignment="1" applyProtection="1">
      <alignment horizontal="right" vertical="center"/>
      <protection locked="0"/>
    </xf>
    <xf numFmtId="0" fontId="86" fillId="0" borderId="0" xfId="9" applyFont="1" applyFill="1" applyAlignment="1">
      <alignment vertical="top"/>
    </xf>
    <xf numFmtId="0" fontId="60" fillId="0" borderId="2" xfId="0" applyFont="1" applyFill="1" applyBorder="1" applyAlignment="1" applyProtection="1">
      <alignment horizontal="right"/>
      <protection locked="0"/>
    </xf>
    <xf numFmtId="0" fontId="60" fillId="0" borderId="2" xfId="9" applyFont="1" applyFill="1" applyBorder="1" applyAlignment="1" applyProtection="1">
      <alignment horizontal="right" vertical="top"/>
      <protection locked="0"/>
    </xf>
    <xf numFmtId="38" fontId="60" fillId="0" borderId="2" xfId="9" applyNumberFormat="1" applyFont="1" applyFill="1" applyBorder="1" applyAlignment="1" applyProtection="1">
      <alignment horizontal="right" vertical="top"/>
      <protection locked="0"/>
    </xf>
    <xf numFmtId="38" fontId="60" fillId="0" borderId="2" xfId="9" quotePrefix="1" applyNumberFormat="1" applyFont="1" applyFill="1" applyBorder="1" applyAlignment="1" applyProtection="1">
      <alignment horizontal="right"/>
      <protection locked="0"/>
    </xf>
    <xf numFmtId="0" fontId="67" fillId="0" borderId="0" xfId="9" applyFont="1" applyFill="1" applyBorder="1" applyAlignment="1"/>
    <xf numFmtId="38" fontId="60" fillId="6" borderId="2" xfId="9" applyNumberFormat="1" applyFont="1" applyFill="1" applyBorder="1" applyAlignment="1" applyProtection="1">
      <alignment horizontal="right"/>
    </xf>
    <xf numFmtId="0" fontId="86" fillId="0" borderId="0" xfId="9" applyFont="1" applyFill="1" applyAlignment="1"/>
    <xf numFmtId="0" fontId="67" fillId="0" borderId="0" xfId="9" applyFont="1" applyFill="1" applyAlignment="1">
      <alignment vertical="top"/>
    </xf>
    <xf numFmtId="0" fontId="67" fillId="0" borderId="0" xfId="9" applyFont="1" applyFill="1" applyAlignment="1">
      <alignment horizontal="left" indent="1"/>
    </xf>
    <xf numFmtId="49" fontId="67" fillId="0" borderId="0" xfId="9" applyNumberFormat="1" applyFont="1" applyFill="1" applyAlignment="1">
      <alignment horizontal="right" vertical="center"/>
    </xf>
    <xf numFmtId="0" fontId="67" fillId="0" borderId="0" xfId="9" applyFont="1" applyFill="1" applyAlignment="1">
      <alignment horizontal="left" vertical="center" indent="1"/>
    </xf>
    <xf numFmtId="0" fontId="67" fillId="0" borderId="0" xfId="9" applyFont="1" applyFill="1" applyAlignment="1">
      <alignment vertical="center"/>
    </xf>
    <xf numFmtId="0" fontId="67" fillId="0" borderId="0" xfId="9" applyFont="1" applyFill="1" applyAlignment="1">
      <alignment horizontal="left" vertical="top" indent="1"/>
    </xf>
    <xf numFmtId="0" fontId="67" fillId="0" borderId="0" xfId="9" applyFont="1" applyFill="1" applyAlignment="1">
      <alignment horizontal="left"/>
    </xf>
    <xf numFmtId="0" fontId="86" fillId="0" borderId="0" xfId="9" applyFont="1" applyFill="1" applyBorder="1" applyAlignment="1">
      <alignment horizontal="left" vertical="center"/>
    </xf>
    <xf numFmtId="0" fontId="67" fillId="0" borderId="0" xfId="9" applyFont="1" applyFill="1" applyBorder="1" applyAlignment="1">
      <alignment horizontal="left"/>
    </xf>
    <xf numFmtId="49" fontId="67" fillId="0" borderId="0" xfId="9" applyNumberFormat="1" applyFont="1" applyFill="1" applyBorder="1" applyAlignment="1">
      <alignment horizontal="right"/>
    </xf>
    <xf numFmtId="0" fontId="62" fillId="0" borderId="15" xfId="9" applyFont="1" applyFill="1" applyBorder="1" applyAlignment="1" applyProtection="1">
      <protection locked="0"/>
    </xf>
    <xf numFmtId="49" fontId="67" fillId="0" borderId="0" xfId="9" applyNumberFormat="1" applyFont="1" applyFill="1" applyAlignment="1">
      <alignment horizontal="left" vertical="center"/>
    </xf>
    <xf numFmtId="49" fontId="78" fillId="0" borderId="0" xfId="9" applyNumberFormat="1" applyFont="1" applyFill="1" applyAlignment="1">
      <alignment horizontal="left" vertical="center"/>
    </xf>
    <xf numFmtId="0" fontId="69" fillId="0" borderId="9" xfId="0" applyFont="1" applyBorder="1" applyAlignment="1" applyProtection="1">
      <alignment horizontal="center" vertical="center" wrapText="1"/>
    </xf>
    <xf numFmtId="0" fontId="69" fillId="0" borderId="22" xfId="0" applyFont="1" applyFill="1" applyBorder="1" applyAlignment="1" applyProtection="1">
      <alignment horizontal="center" vertical="center"/>
    </xf>
    <xf numFmtId="0" fontId="69" fillId="0" borderId="22" xfId="0" applyFont="1" applyFill="1" applyBorder="1" applyAlignment="1" applyProtection="1">
      <alignment horizontal="center" vertical="center" wrapText="1"/>
    </xf>
    <xf numFmtId="0" fontId="62" fillId="0" borderId="7" xfId="0" applyFont="1" applyBorder="1" applyAlignment="1" applyProtection="1">
      <alignment vertical="center"/>
    </xf>
    <xf numFmtId="38" fontId="60" fillId="0" borderId="22" xfId="0" applyNumberFormat="1" applyFont="1" applyBorder="1" applyAlignment="1" applyProtection="1">
      <alignment vertical="center"/>
      <protection locked="0"/>
    </xf>
    <xf numFmtId="38" fontId="60" fillId="0" borderId="22" xfId="0" applyNumberFormat="1" applyFont="1" applyFill="1" applyBorder="1" applyAlignment="1" applyProtection="1">
      <alignment horizontal="right" vertical="center"/>
      <protection locked="0"/>
    </xf>
    <xf numFmtId="0" fontId="62" fillId="6" borderId="7" xfId="0" applyFont="1" applyFill="1" applyBorder="1" applyAlignment="1" applyProtection="1">
      <alignment vertical="center"/>
    </xf>
    <xf numFmtId="38" fontId="60" fillId="6" borderId="45" xfId="0" applyNumberFormat="1" applyFont="1" applyFill="1" applyBorder="1" applyAlignment="1" applyProtection="1">
      <alignment vertical="center"/>
    </xf>
    <xf numFmtId="38" fontId="60" fillId="6" borderId="22" xfId="0" applyNumberFormat="1" applyFont="1" applyFill="1" applyBorder="1" applyAlignment="1" applyProtection="1">
      <alignment vertical="center"/>
    </xf>
    <xf numFmtId="38" fontId="60" fillId="6" borderId="45" xfId="0" applyNumberFormat="1" applyFont="1" applyFill="1" applyBorder="1" applyAlignment="1" applyProtection="1">
      <alignment horizontal="right" vertical="center"/>
    </xf>
    <xf numFmtId="49" fontId="67" fillId="0" borderId="7" xfId="0" applyNumberFormat="1" applyFont="1" applyBorder="1" applyAlignment="1" applyProtection="1">
      <alignment horizontal="center" vertical="center" wrapText="1"/>
    </xf>
    <xf numFmtId="38" fontId="60" fillId="6" borderId="8" xfId="0" applyNumberFormat="1" applyFont="1" applyFill="1" applyBorder="1" applyAlignment="1" applyProtection="1">
      <alignment vertical="center"/>
    </xf>
    <xf numFmtId="38" fontId="60" fillId="0" borderId="22" xfId="0" applyNumberFormat="1" applyFont="1" applyFill="1" applyBorder="1" applyAlignment="1" applyProtection="1">
      <alignment vertical="center"/>
      <protection locked="0"/>
    </xf>
    <xf numFmtId="38" fontId="60" fillId="6" borderId="8" xfId="0" applyNumberFormat="1" applyFont="1" applyFill="1" applyBorder="1" applyAlignment="1" applyProtection="1">
      <alignment horizontal="right" vertical="center"/>
    </xf>
    <xf numFmtId="0" fontId="67" fillId="0" borderId="46" xfId="0" applyFont="1" applyBorder="1" applyAlignment="1" applyProtection="1">
      <alignment horizontal="left" indent="1"/>
    </xf>
    <xf numFmtId="0" fontId="67" fillId="0" borderId="6" xfId="0" applyFont="1" applyBorder="1" applyAlignment="1" applyProtection="1">
      <alignment horizontal="left" indent="1"/>
    </xf>
    <xf numFmtId="0" fontId="62" fillId="0" borderId="7" xfId="0" applyFont="1" applyBorder="1" applyAlignment="1">
      <alignment horizontal="left" indent="1"/>
    </xf>
    <xf numFmtId="49" fontId="67" fillId="0" borderId="7" xfId="0" applyNumberFormat="1" applyFont="1" applyBorder="1" applyAlignment="1" applyProtection="1">
      <alignment horizontal="center" vertical="center"/>
    </xf>
    <xf numFmtId="0" fontId="67" fillId="0" borderId="46" xfId="0" applyFont="1" applyBorder="1" applyAlignment="1" applyProtection="1">
      <alignment horizontal="left" vertical="center" indent="1"/>
    </xf>
    <xf numFmtId="0" fontId="67" fillId="0" borderId="6" xfId="0" applyFont="1" applyBorder="1" applyAlignment="1" applyProtection="1">
      <alignment horizontal="left" vertical="center" wrapText="1" indent="1"/>
    </xf>
    <xf numFmtId="0" fontId="62" fillId="0" borderId="7" xfId="0" applyFont="1" applyBorder="1" applyAlignment="1">
      <alignment horizontal="left" wrapText="1" indent="1"/>
    </xf>
    <xf numFmtId="38" fontId="60" fillId="6" borderId="22" xfId="0" applyNumberFormat="1" applyFont="1" applyFill="1" applyBorder="1" applyAlignment="1" applyProtection="1">
      <alignment horizontal="right" vertical="center"/>
    </xf>
    <xf numFmtId="38" fontId="60" fillId="6" borderId="44" xfId="0" applyNumberFormat="1" applyFont="1" applyFill="1" applyBorder="1" applyAlignment="1" applyProtection="1">
      <alignment vertical="center"/>
    </xf>
    <xf numFmtId="49" fontId="67" fillId="0" borderId="6" xfId="0" applyNumberFormat="1" applyFont="1" applyBorder="1" applyAlignment="1" applyProtection="1">
      <alignment horizontal="center" vertical="center"/>
    </xf>
    <xf numFmtId="38" fontId="60" fillId="0" borderId="7" xfId="0" applyNumberFormat="1" applyFont="1" applyBorder="1" applyAlignment="1" applyProtection="1">
      <alignment vertical="center"/>
      <protection locked="0"/>
    </xf>
    <xf numFmtId="49" fontId="67" fillId="6" borderId="59" xfId="0" applyNumberFormat="1" applyFont="1" applyFill="1" applyBorder="1" applyAlignment="1" applyProtection="1">
      <alignment horizontal="center" vertical="center"/>
    </xf>
    <xf numFmtId="0" fontId="60" fillId="6" borderId="42" xfId="0" applyFont="1" applyFill="1" applyBorder="1" applyAlignment="1" applyProtection="1">
      <alignment horizontal="right" vertical="center"/>
    </xf>
    <xf numFmtId="0" fontId="60" fillId="6" borderId="43" xfId="0" applyFont="1" applyFill="1" applyBorder="1" applyAlignment="1" applyProtection="1">
      <alignment horizontal="right" vertical="center"/>
    </xf>
    <xf numFmtId="0" fontId="60" fillId="6" borderId="40" xfId="0" applyFont="1" applyFill="1" applyBorder="1" applyAlignment="1" applyProtection="1">
      <alignment horizontal="right" vertical="center"/>
    </xf>
    <xf numFmtId="49" fontId="67" fillId="0" borderId="22" xfId="0" applyNumberFormat="1" applyFont="1" applyBorder="1" applyAlignment="1" applyProtection="1">
      <alignment horizontal="center" vertical="center"/>
    </xf>
    <xf numFmtId="49" fontId="67" fillId="3" borderId="22" xfId="0" applyNumberFormat="1" applyFont="1" applyFill="1" applyBorder="1" applyAlignment="1" applyProtection="1">
      <alignment horizontal="center" vertical="center"/>
    </xf>
    <xf numFmtId="38" fontId="60" fillId="3" borderId="45" xfId="0" applyNumberFormat="1" applyFont="1" applyFill="1" applyBorder="1" applyAlignment="1" applyProtection="1">
      <alignment vertical="center"/>
    </xf>
    <xf numFmtId="38" fontId="60" fillId="3" borderId="44" xfId="0" applyNumberFormat="1" applyFont="1" applyFill="1" applyBorder="1" applyAlignment="1" applyProtection="1">
      <alignment vertical="center"/>
    </xf>
    <xf numFmtId="38" fontId="60" fillId="3" borderId="8" xfId="0" applyNumberFormat="1" applyFont="1" applyFill="1" applyBorder="1" applyAlignment="1" applyProtection="1">
      <alignment horizontal="right" vertical="center"/>
    </xf>
    <xf numFmtId="38" fontId="60" fillId="3" borderId="44" xfId="0" applyNumberFormat="1" applyFont="1" applyFill="1" applyBorder="1" applyAlignment="1" applyProtection="1">
      <alignment horizontal="right" vertical="center"/>
    </xf>
    <xf numFmtId="38" fontId="60" fillId="6" borderId="44" xfId="0" applyNumberFormat="1" applyFont="1" applyFill="1" applyBorder="1" applyAlignment="1" applyProtection="1">
      <alignment horizontal="right" vertical="center"/>
    </xf>
    <xf numFmtId="38" fontId="60" fillId="3" borderId="8" xfId="0" applyNumberFormat="1" applyFont="1" applyFill="1" applyBorder="1" applyAlignment="1" applyProtection="1">
      <alignment vertical="center"/>
    </xf>
    <xf numFmtId="38" fontId="60" fillId="0" borderId="8" xfId="0" applyNumberFormat="1" applyFont="1" applyFill="1" applyBorder="1" applyAlignment="1" applyProtection="1">
      <alignment horizontal="right" vertical="center"/>
      <protection locked="0"/>
    </xf>
    <xf numFmtId="0" fontId="69" fillId="0" borderId="46" xfId="0" applyFont="1" applyFill="1" applyBorder="1" applyAlignment="1">
      <alignment horizontal="left" indent="2"/>
    </xf>
    <xf numFmtId="0" fontId="69" fillId="0" borderId="6" xfId="0" applyFont="1" applyFill="1" applyBorder="1" applyAlignment="1" applyProtection="1">
      <alignment horizontal="left" vertical="center"/>
    </xf>
    <xf numFmtId="0" fontId="62" fillId="0" borderId="7" xfId="0" applyFont="1" applyBorder="1" applyAlignment="1" applyProtection="1"/>
    <xf numFmtId="0" fontId="67" fillId="0" borderId="22" xfId="0" applyFont="1" applyFill="1" applyBorder="1" applyAlignment="1">
      <alignment horizontal="center" wrapText="1"/>
    </xf>
    <xf numFmtId="38" fontId="60" fillId="0" borderId="8" xfId="0" applyNumberFormat="1" applyFont="1" applyFill="1" applyBorder="1" applyAlignment="1" applyProtection="1">
      <alignment vertical="center"/>
      <protection locked="0"/>
    </xf>
    <xf numFmtId="0" fontId="60" fillId="0" borderId="50" xfId="0" applyFont="1" applyBorder="1" applyAlignment="1" applyProtection="1">
      <alignment vertical="center"/>
    </xf>
    <xf numFmtId="0" fontId="62" fillId="0" borderId="9" xfId="0" applyFont="1" applyBorder="1" applyProtection="1"/>
    <xf numFmtId="0" fontId="62" fillId="0" borderId="40" xfId="0" applyFont="1" applyBorder="1" applyProtection="1"/>
    <xf numFmtId="0" fontId="70" fillId="0" borderId="0" xfId="0" applyFont="1" applyBorder="1" applyAlignment="1" applyProtection="1">
      <alignment horizontal="center"/>
    </xf>
    <xf numFmtId="0" fontId="70" fillId="0" borderId="22" xfId="0" applyFont="1" applyBorder="1" applyAlignment="1" applyProtection="1">
      <alignment horizontal="center"/>
      <protection locked="0"/>
    </xf>
    <xf numFmtId="0" fontId="67" fillId="0" borderId="0" xfId="0" applyFont="1" applyAlignment="1" applyProtection="1">
      <alignment horizontal="left" vertical="center" indent="1"/>
    </xf>
    <xf numFmtId="0" fontId="67" fillId="0" borderId="5" xfId="0" applyFont="1" applyBorder="1" applyAlignment="1" applyProtection="1">
      <alignment vertical="center"/>
    </xf>
    <xf numFmtId="0" fontId="67" fillId="0" borderId="0" xfId="0" applyFont="1" applyAlignment="1" applyProtection="1">
      <alignment horizontal="left" indent="1"/>
    </xf>
    <xf numFmtId="0" fontId="67" fillId="0" borderId="22" xfId="0" applyFont="1" applyBorder="1" applyAlignment="1" applyProtection="1">
      <alignment horizontal="left" vertical="center"/>
    </xf>
    <xf numFmtId="0" fontId="78" fillId="0" borderId="5" xfId="0" applyFont="1" applyBorder="1" applyAlignment="1" applyProtection="1"/>
    <xf numFmtId="0" fontId="60" fillId="0" borderId="40" xfId="0" applyFont="1" applyBorder="1" applyAlignment="1" applyProtection="1">
      <alignment vertical="center"/>
    </xf>
    <xf numFmtId="0" fontId="78" fillId="0" borderId="5" xfId="0" applyFont="1" applyBorder="1" applyAlignment="1" applyProtection="1">
      <alignment vertical="top"/>
    </xf>
    <xf numFmtId="0" fontId="62" fillId="6" borderId="6" xfId="0" applyFont="1" applyFill="1" applyBorder="1" applyProtection="1"/>
    <xf numFmtId="0" fontId="60" fillId="6" borderId="22" xfId="0" applyFont="1" applyFill="1" applyBorder="1" applyAlignment="1" applyProtection="1">
      <alignment vertical="center"/>
    </xf>
    <xf numFmtId="0" fontId="99" fillId="0" borderId="0" xfId="0" applyFont="1" applyAlignment="1" applyProtection="1">
      <alignment horizontal="left" indent="2"/>
    </xf>
    <xf numFmtId="0" fontId="67" fillId="0" borderId="6" xfId="0" applyFont="1" applyBorder="1" applyAlignment="1" applyProtection="1">
      <alignment vertical="center"/>
    </xf>
    <xf numFmtId="0" fontId="67" fillId="0" borderId="7" xfId="0" applyFont="1" applyBorder="1" applyAlignment="1" applyProtection="1">
      <alignment vertical="center"/>
    </xf>
    <xf numFmtId="0" fontId="67" fillId="0" borderId="6" xfId="0" applyFont="1" applyBorder="1" applyAlignment="1" applyProtection="1">
      <alignment horizontal="left" vertical="center" indent="1"/>
    </xf>
    <xf numFmtId="0" fontId="99" fillId="0" borderId="0" xfId="0" applyFont="1" applyAlignment="1" applyProtection="1">
      <alignment horizontal="left" vertical="top"/>
    </xf>
    <xf numFmtId="0" fontId="67" fillId="0" borderId="0" xfId="0" applyFont="1" applyAlignment="1" applyProtection="1">
      <alignment vertical="top"/>
    </xf>
    <xf numFmtId="0" fontId="62" fillId="0" borderId="0" xfId="0" applyFont="1" applyAlignment="1" applyProtection="1">
      <alignment vertical="top"/>
    </xf>
    <xf numFmtId="0" fontId="62" fillId="0" borderId="0" xfId="0" applyFont="1" applyBorder="1" applyAlignment="1" applyProtection="1">
      <alignment vertical="top"/>
    </xf>
    <xf numFmtId="0" fontId="69" fillId="6" borderId="46" xfId="0" applyFont="1" applyFill="1" applyBorder="1" applyAlignment="1" applyProtection="1">
      <alignment vertical="center"/>
    </xf>
    <xf numFmtId="0" fontId="84" fillId="0" borderId="50" xfId="0" applyFont="1" applyFill="1" applyBorder="1" applyAlignment="1" applyProtection="1">
      <alignment horizontal="left" indent="2"/>
    </xf>
    <xf numFmtId="0" fontId="62" fillId="0" borderId="9" xfId="0" applyFont="1" applyBorder="1" applyAlignment="1">
      <alignment horizontal="left" vertical="center"/>
    </xf>
    <xf numFmtId="0" fontId="62" fillId="0" borderId="9" xfId="0" applyFont="1" applyFill="1" applyBorder="1" applyAlignment="1" applyProtection="1">
      <alignment vertical="center"/>
    </xf>
    <xf numFmtId="0" fontId="59" fillId="0" borderId="9" xfId="0" applyFont="1" applyFill="1" applyBorder="1" applyAlignment="1" applyProtection="1">
      <alignment horizontal="left" vertical="center"/>
    </xf>
    <xf numFmtId="0" fontId="62" fillId="0" borderId="9" xfId="0" applyFont="1" applyFill="1" applyBorder="1" applyAlignment="1">
      <alignment horizontal="left" vertical="center"/>
    </xf>
    <xf numFmtId="0" fontId="69" fillId="0" borderId="50" xfId="0" applyFont="1" applyBorder="1" applyAlignment="1" applyProtection="1">
      <alignment horizontal="center" vertical="center" wrapText="1"/>
    </xf>
    <xf numFmtId="0" fontId="69" fillId="0" borderId="8" xfId="0" applyFont="1" applyBorder="1" applyAlignment="1" applyProtection="1">
      <alignment horizontal="center" vertical="center" wrapText="1"/>
    </xf>
    <xf numFmtId="0" fontId="59" fillId="0" borderId="8" xfId="0" applyFont="1" applyBorder="1" applyAlignment="1" applyProtection="1">
      <alignment horizontal="center" vertical="center" wrapText="1"/>
    </xf>
    <xf numFmtId="0" fontId="62" fillId="0" borderId="0" xfId="0" applyFont="1" applyAlignment="1" applyProtection="1">
      <alignment horizontal="center" vertical="center" wrapText="1"/>
    </xf>
    <xf numFmtId="38" fontId="60" fillId="0" borderId="44" xfId="0" applyNumberFormat="1" applyFont="1" applyFill="1" applyBorder="1" applyAlignment="1" applyProtection="1">
      <alignment horizontal="right" vertical="center"/>
      <protection locked="0"/>
    </xf>
    <xf numFmtId="0" fontId="69" fillId="6" borderId="44" xfId="0" applyFont="1" applyFill="1" applyBorder="1" applyAlignment="1" applyProtection="1">
      <alignment horizontal="center" vertical="center" wrapText="1"/>
    </xf>
    <xf numFmtId="38" fontId="69" fillId="6" borderId="44" xfId="0" quotePrefix="1" applyNumberFormat="1" applyFont="1" applyFill="1" applyBorder="1" applyAlignment="1" applyProtection="1">
      <alignment horizontal="center" vertical="center"/>
    </xf>
    <xf numFmtId="49" fontId="60" fillId="6" borderId="45" xfId="0" applyNumberFormat="1" applyFont="1" applyFill="1" applyBorder="1" applyAlignment="1" applyProtection="1">
      <alignment horizontal="right" vertical="center"/>
    </xf>
    <xf numFmtId="49" fontId="60" fillId="6" borderId="44" xfId="0" applyNumberFormat="1" applyFont="1" applyFill="1" applyBorder="1" applyAlignment="1" applyProtection="1">
      <alignment horizontal="right" vertical="center"/>
    </xf>
    <xf numFmtId="0" fontId="67" fillId="0" borderId="22" xfId="0" applyFont="1" applyBorder="1" applyAlignment="1" applyProtection="1">
      <alignment horizontal="center" vertical="center"/>
    </xf>
    <xf numFmtId="38" fontId="60" fillId="0" borderId="8" xfId="0" applyNumberFormat="1" applyFont="1" applyBorder="1" applyAlignment="1" applyProtection="1">
      <alignment horizontal="right" vertical="center"/>
      <protection locked="0"/>
    </xf>
    <xf numFmtId="49" fontId="60" fillId="3" borderId="8" xfId="0" applyNumberFormat="1" applyFont="1" applyFill="1" applyBorder="1" applyAlignment="1" applyProtection="1">
      <alignment horizontal="right" vertical="center"/>
    </xf>
    <xf numFmtId="38" fontId="69" fillId="6" borderId="44" xfId="0" applyNumberFormat="1" applyFont="1" applyFill="1" applyBorder="1" applyAlignment="1" applyProtection="1">
      <alignment horizontal="center" vertical="center"/>
    </xf>
    <xf numFmtId="38" fontId="60" fillId="0" borderId="22" xfId="0" applyNumberFormat="1" applyFont="1" applyBorder="1" applyAlignment="1" applyProtection="1">
      <alignment horizontal="right" vertical="center"/>
      <protection locked="0"/>
    </xf>
    <xf numFmtId="0" fontId="67" fillId="0" borderId="46" xfId="0" applyFont="1" applyBorder="1" applyAlignment="1" applyProtection="1">
      <alignment horizontal="left" vertical="center" wrapText="1" indent="1"/>
    </xf>
    <xf numFmtId="38" fontId="60" fillId="0" borderId="22" xfId="0" applyNumberFormat="1" applyFont="1" applyBorder="1" applyAlignment="1" applyProtection="1">
      <alignment horizontal="right"/>
      <protection locked="0"/>
    </xf>
    <xf numFmtId="38" fontId="60" fillId="0" borderId="22" xfId="0" applyNumberFormat="1" applyFont="1" applyFill="1" applyBorder="1" applyAlignment="1" applyProtection="1">
      <alignment horizontal="right"/>
      <protection locked="0"/>
    </xf>
    <xf numFmtId="0" fontId="67" fillId="0" borderId="46" xfId="0" applyFont="1" applyBorder="1" applyAlignment="1" applyProtection="1">
      <alignment horizontal="left" vertical="center" wrapText="1" indent="2"/>
    </xf>
    <xf numFmtId="49" fontId="69" fillId="6" borderId="44" xfId="0" applyNumberFormat="1" applyFont="1" applyFill="1" applyBorder="1" applyAlignment="1" applyProtection="1">
      <alignment horizontal="center" vertical="center"/>
    </xf>
    <xf numFmtId="38" fontId="60" fillId="6" borderId="43" xfId="0" applyNumberFormat="1" applyFont="1" applyFill="1" applyBorder="1" applyAlignment="1" applyProtection="1">
      <alignment horizontal="right" vertical="center"/>
    </xf>
    <xf numFmtId="0" fontId="62" fillId="6" borderId="8" xfId="0" applyFont="1" applyFill="1" applyBorder="1" applyAlignment="1" applyProtection="1">
      <alignment vertical="center"/>
    </xf>
    <xf numFmtId="0" fontId="62" fillId="0" borderId="0" xfId="0" applyFont="1" applyAlignment="1" applyProtection="1">
      <alignment horizontal="right" vertical="center" indent="1"/>
    </xf>
    <xf numFmtId="0" fontId="67" fillId="0" borderId="0" xfId="0" applyFont="1" applyAlignment="1" applyProtection="1">
      <alignment horizontal="right" vertical="center" indent="1"/>
    </xf>
    <xf numFmtId="0" fontId="67" fillId="0" borderId="0" xfId="0" applyFont="1" applyBorder="1" applyAlignment="1" applyProtection="1">
      <alignment horizontal="right" vertical="center" indent="1"/>
    </xf>
    <xf numFmtId="0" fontId="67" fillId="0" borderId="56" xfId="10" applyFont="1" applyFill="1" applyBorder="1" applyAlignment="1">
      <alignment vertical="center"/>
    </xf>
    <xf numFmtId="0" fontId="67" fillId="0" borderId="0" xfId="10" applyFont="1" applyAlignment="1">
      <alignment vertical="center"/>
    </xf>
    <xf numFmtId="0" fontId="67" fillId="0" borderId="56" xfId="10" applyFont="1" applyFill="1" applyBorder="1" applyAlignment="1">
      <alignment horizontal="centerContinuous" vertical="center"/>
    </xf>
    <xf numFmtId="0" fontId="101" fillId="0" borderId="0" xfId="10" applyFont="1" applyBorder="1" applyAlignment="1">
      <alignment vertical="top"/>
    </xf>
    <xf numFmtId="0" fontId="67" fillId="0" borderId="0" xfId="10" applyFont="1" applyBorder="1" applyAlignment="1">
      <alignment vertical="center"/>
    </xf>
    <xf numFmtId="0" fontId="67" fillId="0" borderId="0" xfId="10" applyFont="1" applyBorder="1" applyAlignment="1">
      <alignment horizontal="right" vertical="center"/>
    </xf>
    <xf numFmtId="0" fontId="73" fillId="0" borderId="0" xfId="10" applyFont="1" applyFill="1" applyAlignment="1">
      <alignment horizontal="left" vertical="center" indent="1"/>
    </xf>
    <xf numFmtId="0" fontId="73" fillId="0" borderId="0" xfId="10" applyFont="1" applyAlignment="1">
      <alignment horizontal="center" vertical="center"/>
    </xf>
    <xf numFmtId="0" fontId="67" fillId="0" borderId="0" xfId="10" applyFont="1" applyAlignment="1">
      <alignment horizontal="right" vertical="center"/>
    </xf>
    <xf numFmtId="0" fontId="73" fillId="0" borderId="0" xfId="10" applyFont="1" applyAlignment="1">
      <alignment vertical="center"/>
    </xf>
    <xf numFmtId="0" fontId="67" fillId="0" borderId="0" xfId="10" applyFont="1" applyFill="1" applyAlignment="1">
      <alignment vertical="center"/>
    </xf>
    <xf numFmtId="0" fontId="69" fillId="0" borderId="0" xfId="10" applyFont="1" applyFill="1" applyBorder="1" applyAlignment="1">
      <alignment horizontal="left"/>
    </xf>
    <xf numFmtId="0" fontId="67" fillId="0" borderId="0" xfId="10" applyFont="1" applyFill="1" applyBorder="1" applyAlignment="1">
      <alignment vertical="center"/>
    </xf>
    <xf numFmtId="0" fontId="67" fillId="0" borderId="0" xfId="10" applyFont="1" applyFill="1" applyBorder="1" applyAlignment="1">
      <alignment horizontal="right" vertical="center"/>
    </xf>
    <xf numFmtId="0" fontId="67" fillId="0" borderId="0" xfId="10" applyFont="1" applyFill="1" applyAlignment="1">
      <alignment horizontal="left" vertical="center"/>
    </xf>
    <xf numFmtId="49" fontId="67" fillId="0" borderId="0" xfId="10" applyNumberFormat="1" applyFont="1" applyFill="1" applyAlignment="1">
      <alignment horizontal="left" vertical="center"/>
    </xf>
    <xf numFmtId="0" fontId="67" fillId="0" borderId="0" xfId="10" applyFont="1" applyFill="1" applyAlignment="1">
      <alignment horizontal="right" vertical="center"/>
    </xf>
    <xf numFmtId="3" fontId="67" fillId="0" borderId="0" xfId="10" applyNumberFormat="1" applyFont="1" applyFill="1" applyAlignment="1">
      <alignment vertical="center"/>
    </xf>
    <xf numFmtId="3" fontId="67" fillId="0" borderId="0" xfId="10" applyNumberFormat="1" applyFont="1" applyFill="1" applyBorder="1" applyAlignment="1">
      <alignment vertical="center"/>
    </xf>
    <xf numFmtId="0" fontId="69" fillId="0" borderId="0" xfId="10" applyFont="1" applyFill="1" applyBorder="1" applyAlignment="1">
      <alignment horizontal="left" vertical="center"/>
    </xf>
    <xf numFmtId="0" fontId="67" fillId="0" borderId="0" xfId="10" applyFont="1" applyFill="1" applyAlignment="1">
      <alignment horizontal="center" vertical="center"/>
    </xf>
    <xf numFmtId="0" fontId="67" fillId="0" borderId="0" xfId="10" applyFont="1" applyFill="1" applyAlignment="1">
      <alignment vertical="center" wrapText="1"/>
    </xf>
    <xf numFmtId="0" fontId="67" fillId="0" borderId="0" xfId="10" applyFont="1" applyFill="1" applyAlignment="1">
      <alignment horizontal="center" vertical="top"/>
    </xf>
    <xf numFmtId="0" fontId="67" fillId="0" borderId="0" xfId="10" applyFont="1" applyFill="1" applyAlignment="1">
      <alignment vertical="top" wrapText="1"/>
    </xf>
    <xf numFmtId="0" fontId="67" fillId="0" borderId="0" xfId="10" applyFont="1" applyFill="1" applyBorder="1" applyAlignment="1">
      <alignment horizontal="right" vertical="top"/>
    </xf>
    <xf numFmtId="1" fontId="67" fillId="0" borderId="0" xfId="10" applyNumberFormat="1" applyFont="1" applyFill="1" applyAlignment="1">
      <alignment horizontal="center" vertical="center"/>
    </xf>
    <xf numFmtId="1" fontId="67" fillId="0" borderId="0" xfId="10" applyNumberFormat="1" applyFont="1" applyFill="1" applyAlignment="1">
      <alignment horizontal="left" vertical="center"/>
    </xf>
    <xf numFmtId="38" fontId="67" fillId="0" borderId="0" xfId="10" applyNumberFormat="1" applyFont="1" applyFill="1" applyAlignment="1">
      <alignment horizontal="right"/>
    </xf>
    <xf numFmtId="0" fontId="67" fillId="0" borderId="0" xfId="10" quotePrefix="1" applyFont="1" applyFill="1" applyAlignment="1">
      <alignment horizontal="left" vertical="center" wrapText="1"/>
    </xf>
    <xf numFmtId="167" fontId="67" fillId="0" borderId="0" xfId="10" applyNumberFormat="1" applyFont="1" applyFill="1" applyBorder="1" applyAlignment="1" applyProtection="1">
      <alignment horizontal="right" vertical="center"/>
    </xf>
    <xf numFmtId="0" fontId="67" fillId="0" borderId="0" xfId="10" applyFont="1" applyFill="1" applyAlignment="1">
      <alignment horizontal="left" vertical="center" wrapText="1"/>
    </xf>
    <xf numFmtId="49" fontId="67" fillId="0" borderId="0" xfId="10" applyNumberFormat="1" applyFont="1" applyFill="1" applyAlignment="1">
      <alignment horizontal="center" vertical="center"/>
    </xf>
    <xf numFmtId="3" fontId="67" fillId="0" borderId="0" xfId="10" quotePrefix="1" applyNumberFormat="1" applyFont="1" applyFill="1" applyAlignment="1">
      <alignment horizontal="left" vertical="center" wrapText="1"/>
    </xf>
    <xf numFmtId="3" fontId="67" fillId="0" borderId="0" xfId="10" applyNumberFormat="1" applyFont="1" applyFill="1" applyAlignment="1">
      <alignment vertical="center" wrapText="1"/>
    </xf>
    <xf numFmtId="0" fontId="67" fillId="0" borderId="0" xfId="10" applyNumberFormat="1" applyFont="1" applyFill="1" applyAlignment="1">
      <alignment horizontal="center" vertical="center"/>
    </xf>
    <xf numFmtId="3" fontId="67" fillId="0" borderId="0" xfId="10" applyNumberFormat="1" applyFont="1" applyFill="1" applyAlignment="1">
      <alignment horizontal="center" vertical="center" wrapText="1"/>
    </xf>
    <xf numFmtId="3" fontId="67" fillId="0" borderId="0" xfId="10" applyNumberFormat="1" applyFont="1" applyAlignment="1">
      <alignment vertical="center"/>
    </xf>
    <xf numFmtId="3" fontId="67" fillId="0" borderId="0" xfId="10" applyNumberFormat="1" applyFont="1" applyFill="1" applyAlignment="1">
      <alignment horizontal="left" vertical="center" wrapText="1"/>
    </xf>
    <xf numFmtId="0" fontId="67" fillId="0" borderId="0" xfId="10" applyFont="1" applyAlignment="1">
      <alignment horizontal="left" vertical="center"/>
    </xf>
    <xf numFmtId="0" fontId="67" fillId="0" borderId="0" xfId="10" applyFont="1" applyAlignment="1">
      <alignment horizontal="center" vertical="center"/>
    </xf>
    <xf numFmtId="0" fontId="67" fillId="0" borderId="0" xfId="10" applyFont="1" applyFill="1" applyAlignment="1">
      <alignment horizontal="left" vertical="top"/>
    </xf>
    <xf numFmtId="49" fontId="67" fillId="0" borderId="0" xfId="10" applyNumberFormat="1" applyFont="1" applyFill="1" applyAlignment="1">
      <alignment horizontal="center" vertical="top"/>
    </xf>
    <xf numFmtId="3" fontId="67" fillId="0" borderId="0" xfId="10" applyNumberFormat="1" applyFont="1" applyFill="1" applyAlignment="1">
      <alignment horizontal="left" vertical="top" wrapText="1"/>
    </xf>
    <xf numFmtId="40" fontId="67" fillId="0" borderId="9" xfId="10" applyNumberFormat="1" applyFont="1" applyFill="1" applyBorder="1" applyAlignment="1" applyProtection="1">
      <alignment horizontal="right"/>
      <protection locked="0"/>
    </xf>
    <xf numFmtId="0" fontId="67" fillId="0" borderId="0" xfId="10" applyFont="1" applyFill="1" applyBorder="1" applyAlignment="1">
      <alignment horizontal="left" vertical="center"/>
    </xf>
    <xf numFmtId="0" fontId="69" fillId="0" borderId="0" xfId="10" quotePrefix="1" applyFont="1" applyFill="1" applyAlignment="1">
      <alignment horizontal="left" vertical="center"/>
    </xf>
    <xf numFmtId="0" fontId="69" fillId="0" borderId="0" xfId="10" applyFont="1" applyFill="1" applyAlignment="1">
      <alignment horizontal="right" vertical="center"/>
    </xf>
    <xf numFmtId="4" fontId="69" fillId="0" borderId="0" xfId="10" applyNumberFormat="1" applyFont="1" applyFill="1" applyBorder="1" applyAlignment="1" applyProtection="1">
      <alignment vertical="center"/>
    </xf>
    <xf numFmtId="0" fontId="67" fillId="0" borderId="0" xfId="10" applyFont="1" applyFill="1" applyAlignment="1" applyProtection="1">
      <alignment horizontal="left" vertical="center"/>
    </xf>
    <xf numFmtId="0" fontId="69" fillId="0" borderId="0" xfId="11" applyFont="1" applyFill="1" applyBorder="1" applyAlignment="1">
      <alignment vertical="center"/>
    </xf>
    <xf numFmtId="0" fontId="67" fillId="0" borderId="0" xfId="11" applyFont="1" applyFill="1" applyBorder="1" applyAlignment="1">
      <alignment vertical="center"/>
    </xf>
    <xf numFmtId="0" fontId="67" fillId="0" borderId="0" xfId="11" applyFont="1" applyFill="1" applyBorder="1" applyAlignment="1">
      <alignment horizontal="right" vertical="center"/>
    </xf>
    <xf numFmtId="0" fontId="90" fillId="0" borderId="0" xfId="0" quotePrefix="1" applyFont="1" applyFill="1" applyBorder="1" applyAlignment="1">
      <alignment horizontal="left" vertical="center"/>
    </xf>
    <xf numFmtId="0" fontId="67" fillId="0" borderId="0" xfId="11" applyFont="1" applyFill="1" applyAlignment="1">
      <alignment horizontal="left" vertical="center"/>
    </xf>
    <xf numFmtId="49" fontId="67" fillId="0" borderId="0" xfId="11" applyNumberFormat="1" applyFont="1" applyFill="1" applyAlignment="1">
      <alignment horizontal="left" vertical="center"/>
    </xf>
    <xf numFmtId="0" fontId="67" fillId="0" borderId="0" xfId="11" applyFont="1" applyFill="1" applyAlignment="1">
      <alignment horizontal="center" vertical="center"/>
    </xf>
    <xf numFmtId="0" fontId="67" fillId="0" borderId="0" xfId="11" applyFont="1" applyFill="1" applyAlignment="1">
      <alignment vertical="center" wrapText="1"/>
    </xf>
    <xf numFmtId="0" fontId="67" fillId="0" borderId="0" xfId="11" applyFont="1" applyFill="1" applyAlignment="1">
      <alignment vertical="center"/>
    </xf>
    <xf numFmtId="0" fontId="67" fillId="0" borderId="0" xfId="11" applyNumberFormat="1" applyFont="1" applyFill="1" applyAlignment="1">
      <alignment horizontal="center" vertical="center"/>
    </xf>
    <xf numFmtId="3" fontId="67" fillId="0" borderId="0" xfId="11" applyNumberFormat="1" applyFont="1" applyFill="1" applyAlignment="1">
      <alignment vertical="center"/>
    </xf>
    <xf numFmtId="0" fontId="67" fillId="0" borderId="0" xfId="11" applyFont="1" applyFill="1" applyAlignment="1">
      <alignment horizontal="center" vertical="top"/>
    </xf>
    <xf numFmtId="3" fontId="67" fillId="0" borderId="0" xfId="11" applyNumberFormat="1" applyFont="1" applyFill="1" applyBorder="1" applyAlignment="1">
      <alignment vertical="center"/>
    </xf>
    <xf numFmtId="38" fontId="67" fillId="0" borderId="0" xfId="11" applyNumberFormat="1" applyFont="1" applyFill="1" applyAlignment="1">
      <alignment horizontal="left" vertical="center" wrapText="1"/>
    </xf>
    <xf numFmtId="0" fontId="67" fillId="0" borderId="0" xfId="11" applyFont="1" applyFill="1" applyAlignment="1">
      <alignment horizontal="left" vertical="center" wrapText="1"/>
    </xf>
    <xf numFmtId="0" fontId="67" fillId="0" borderId="0" xfId="11" quotePrefix="1" applyFont="1" applyFill="1" applyAlignment="1">
      <alignment horizontal="left" vertical="center" wrapText="1"/>
    </xf>
    <xf numFmtId="1" fontId="67" fillId="0" borderId="0" xfId="11" applyNumberFormat="1" applyFont="1" applyFill="1" applyAlignment="1">
      <alignment horizontal="center" vertical="center"/>
    </xf>
    <xf numFmtId="0" fontId="67" fillId="0" borderId="0" xfId="11" quotePrefix="1" applyFont="1" applyFill="1" applyAlignment="1">
      <alignment horizontal="left" vertical="center"/>
    </xf>
    <xf numFmtId="1" fontId="67" fillId="0" borderId="0" xfId="11" quotePrefix="1" applyNumberFormat="1" applyFont="1" applyFill="1" applyAlignment="1">
      <alignment horizontal="center" vertical="center"/>
    </xf>
    <xf numFmtId="0" fontId="67" fillId="0" borderId="0" xfId="11" applyFont="1" applyFill="1" applyAlignment="1">
      <alignment horizontal="left" vertical="top"/>
    </xf>
    <xf numFmtId="1" fontId="67" fillId="0" borderId="0" xfId="11" applyNumberFormat="1" applyFont="1" applyFill="1" applyAlignment="1">
      <alignment horizontal="center" vertical="top"/>
    </xf>
    <xf numFmtId="0" fontId="67" fillId="0" borderId="0" xfId="11" applyFont="1" applyFill="1" applyAlignment="1">
      <alignment vertical="top" wrapText="1"/>
    </xf>
    <xf numFmtId="0" fontId="67" fillId="0" borderId="0" xfId="11" applyFont="1" applyFill="1" applyBorder="1" applyAlignment="1">
      <alignment horizontal="right" vertical="top"/>
    </xf>
    <xf numFmtId="0" fontId="67" fillId="0" borderId="0" xfId="11" applyFont="1" applyAlignment="1">
      <alignment horizontal="left" vertical="center"/>
    </xf>
    <xf numFmtId="1" fontId="67" fillId="0" borderId="0" xfId="11" applyNumberFormat="1" applyFont="1" applyAlignment="1">
      <alignment horizontal="center" vertical="center"/>
    </xf>
    <xf numFmtId="0" fontId="67" fillId="0" borderId="0" xfId="11" applyFont="1" applyAlignment="1">
      <alignment vertical="center" wrapText="1"/>
    </xf>
    <xf numFmtId="0" fontId="67" fillId="0" borderId="0" xfId="11" applyFont="1" applyAlignment="1">
      <alignment vertical="center"/>
    </xf>
    <xf numFmtId="167" fontId="67" fillId="0" borderId="0" xfId="11" applyNumberFormat="1" applyFont="1" applyFill="1" applyBorder="1" applyAlignment="1" applyProtection="1">
      <alignment horizontal="right" vertical="center"/>
    </xf>
    <xf numFmtId="0" fontId="67" fillId="0" borderId="0" xfId="11" applyFont="1" applyAlignment="1">
      <alignment horizontal="center" vertical="center"/>
    </xf>
    <xf numFmtId="0" fontId="67" fillId="0" borderId="0" xfId="11" applyFont="1" applyAlignment="1">
      <alignment horizontal="left" vertical="center" wrapText="1"/>
    </xf>
    <xf numFmtId="49" fontId="67" fillId="4" borderId="0" xfId="11" applyNumberFormat="1" applyFont="1" applyFill="1" applyBorder="1" applyAlignment="1">
      <alignment horizontal="left" vertical="center"/>
    </xf>
    <xf numFmtId="49" fontId="67" fillId="4" borderId="0" xfId="11" applyNumberFormat="1" applyFont="1" applyFill="1" applyBorder="1" applyAlignment="1">
      <alignment horizontal="center" vertical="center"/>
    </xf>
    <xf numFmtId="0" fontId="67" fillId="4" borderId="0" xfId="11" applyNumberFormat="1" applyFont="1" applyFill="1" applyBorder="1" applyAlignment="1">
      <alignment vertical="center" wrapText="1"/>
    </xf>
    <xf numFmtId="49" fontId="67" fillId="4" borderId="0" xfId="11" applyNumberFormat="1" applyFont="1" applyFill="1" applyBorder="1" applyAlignment="1">
      <alignment horizontal="right" vertical="center"/>
    </xf>
    <xf numFmtId="49" fontId="67" fillId="0" borderId="0" xfId="11" applyNumberFormat="1" applyFont="1" applyFill="1" applyBorder="1" applyAlignment="1">
      <alignment horizontal="left" vertical="center"/>
    </xf>
    <xf numFmtId="49" fontId="67" fillId="0" borderId="0" xfId="11" applyNumberFormat="1" applyFont="1" applyFill="1" applyBorder="1" applyAlignment="1">
      <alignment horizontal="left" vertical="center" wrapText="1"/>
    </xf>
    <xf numFmtId="49" fontId="67" fillId="0" borderId="0" xfId="11" applyNumberFormat="1" applyFont="1" applyFill="1" applyBorder="1" applyAlignment="1">
      <alignment horizontal="center" vertical="center"/>
    </xf>
    <xf numFmtId="0" fontId="67" fillId="0" borderId="0" xfId="11" applyNumberFormat="1" applyFont="1" applyFill="1" applyBorder="1" applyAlignment="1">
      <alignment vertical="center" wrapText="1"/>
    </xf>
    <xf numFmtId="49" fontId="67" fillId="0" borderId="0" xfId="11" applyNumberFormat="1" applyFont="1" applyFill="1" applyBorder="1" applyAlignment="1">
      <alignment horizontal="right" vertical="center"/>
    </xf>
    <xf numFmtId="0" fontId="67" fillId="0" borderId="0" xfId="11" applyFont="1" applyBorder="1" applyAlignment="1">
      <alignment vertical="center"/>
    </xf>
    <xf numFmtId="0" fontId="67" fillId="0" borderId="0" xfId="11" applyFont="1" applyAlignment="1">
      <alignment horizontal="left" vertical="top"/>
    </xf>
    <xf numFmtId="0" fontId="67" fillId="0" borderId="0" xfId="11" applyFont="1" applyAlignment="1">
      <alignment horizontal="center" vertical="top"/>
    </xf>
    <xf numFmtId="0" fontId="67" fillId="0" borderId="0" xfId="11" applyFont="1" applyAlignment="1">
      <alignment horizontal="left" vertical="top" wrapText="1"/>
    </xf>
    <xf numFmtId="0" fontId="67" fillId="0" borderId="0" xfId="11" applyFont="1" applyBorder="1" applyAlignment="1">
      <alignment horizontal="left" vertical="center"/>
    </xf>
    <xf numFmtId="0" fontId="67" fillId="0" borderId="0" xfId="11" quotePrefix="1" applyFont="1" applyAlignment="1">
      <alignment horizontal="left" vertical="top"/>
    </xf>
    <xf numFmtId="0" fontId="67" fillId="0" borderId="0" xfId="11" applyFont="1" applyAlignment="1">
      <alignment horizontal="right" vertical="center"/>
    </xf>
    <xf numFmtId="38" fontId="67" fillId="0" borderId="0" xfId="11" applyNumberFormat="1" applyFont="1" applyFill="1" applyAlignment="1">
      <alignment horizontal="right"/>
    </xf>
    <xf numFmtId="0" fontId="67" fillId="0" borderId="0" xfId="11" applyFont="1" applyAlignment="1" applyProtection="1">
      <alignment vertical="center"/>
    </xf>
    <xf numFmtId="0" fontId="59" fillId="6" borderId="12" xfId="0" applyFont="1" applyFill="1" applyBorder="1" applyAlignment="1">
      <alignment horizontal="left"/>
    </xf>
    <xf numFmtId="0" fontId="59" fillId="6" borderId="16" xfId="0" applyFont="1" applyFill="1" applyBorder="1"/>
    <xf numFmtId="0" fontId="62" fillId="6" borderId="16" xfId="0" applyFont="1" applyFill="1" applyBorder="1"/>
    <xf numFmtId="0" fontId="62" fillId="6" borderId="10" xfId="0" applyFont="1" applyFill="1" applyBorder="1"/>
    <xf numFmtId="0" fontId="59" fillId="6" borderId="0" xfId="0" applyFont="1" applyFill="1" applyBorder="1" applyAlignment="1"/>
    <xf numFmtId="0" fontId="59" fillId="6" borderId="0" xfId="0" applyFont="1" applyFill="1" applyBorder="1"/>
    <xf numFmtId="0" fontId="62" fillId="6" borderId="0" xfId="0" applyFont="1" applyFill="1" applyBorder="1"/>
    <xf numFmtId="0" fontId="62" fillId="6" borderId="18" xfId="0" applyFont="1" applyFill="1" applyBorder="1"/>
    <xf numFmtId="0" fontId="92" fillId="6" borderId="0" xfId="0" applyFont="1" applyFill="1" applyAlignment="1">
      <alignment horizontal="left"/>
    </xf>
    <xf numFmtId="0" fontId="62" fillId="6" borderId="0" xfId="0" applyFont="1" applyFill="1" applyAlignment="1"/>
    <xf numFmtId="0" fontId="62" fillId="6" borderId="0" xfId="0" applyFont="1" applyFill="1" applyBorder="1" applyAlignment="1">
      <alignment vertical="center"/>
    </xf>
    <xf numFmtId="0" fontId="62" fillId="6" borderId="0" xfId="0" applyFont="1" applyFill="1" applyBorder="1" applyAlignment="1">
      <alignment horizontal="left" vertical="center"/>
    </xf>
    <xf numFmtId="0" fontId="62" fillId="6" borderId="18" xfId="0" applyFont="1" applyFill="1" applyBorder="1" applyAlignment="1">
      <alignment horizontal="left" vertical="center"/>
    </xf>
    <xf numFmtId="0" fontId="59" fillId="6" borderId="12" xfId="0" applyFont="1" applyFill="1" applyBorder="1" applyAlignment="1" applyProtection="1">
      <alignment vertical="center"/>
    </xf>
    <xf numFmtId="0" fontId="69" fillId="6" borderId="16" xfId="0" applyFont="1" applyFill="1" applyBorder="1" applyAlignment="1" applyProtection="1">
      <alignment vertical="center"/>
    </xf>
    <xf numFmtId="0" fontId="62" fillId="6" borderId="16" xfId="0" applyFont="1" applyFill="1" applyBorder="1" applyAlignment="1" applyProtection="1">
      <alignment vertical="center"/>
    </xf>
    <xf numFmtId="0" fontId="62" fillId="0" borderId="17" xfId="0" applyFont="1" applyFill="1" applyBorder="1" applyAlignment="1" applyProtection="1">
      <alignment vertical="center"/>
    </xf>
    <xf numFmtId="0" fontId="62" fillId="0" borderId="18" xfId="0" applyFont="1" applyFill="1" applyBorder="1" applyAlignment="1" applyProtection="1">
      <alignment vertical="center"/>
    </xf>
    <xf numFmtId="0" fontId="67" fillId="0" borderId="13" xfId="0" applyFont="1" applyBorder="1" applyAlignment="1" applyProtection="1">
      <alignment horizontal="left" vertical="center" indent="1"/>
    </xf>
    <xf numFmtId="0" fontId="62" fillId="0" borderId="21" xfId="0" applyFont="1" applyBorder="1" applyAlignment="1" applyProtection="1">
      <alignment vertical="center"/>
    </xf>
    <xf numFmtId="0" fontId="67" fillId="0" borderId="14" xfId="0" applyFont="1" applyBorder="1" applyAlignment="1" applyProtection="1">
      <alignment horizontal="right" vertical="center"/>
    </xf>
    <xf numFmtId="38" fontId="60" fillId="0" borderId="13" xfId="0" applyNumberFormat="1" applyFont="1" applyBorder="1" applyAlignment="1" applyProtection="1">
      <alignment vertical="center"/>
      <protection locked="0"/>
    </xf>
    <xf numFmtId="0" fontId="67" fillId="0" borderId="17" xfId="0" applyFont="1" applyFill="1" applyBorder="1" applyAlignment="1" applyProtection="1">
      <alignment horizontal="center" vertical="center"/>
    </xf>
    <xf numFmtId="38" fontId="60" fillId="0" borderId="18" xfId="0" applyNumberFormat="1" applyFont="1" applyFill="1" applyBorder="1" applyAlignment="1" applyProtection="1">
      <alignment vertical="center"/>
    </xf>
    <xf numFmtId="0" fontId="78" fillId="0" borderId="21" xfId="0" applyFont="1" applyBorder="1" applyAlignment="1" applyProtection="1">
      <alignment vertical="center"/>
    </xf>
    <xf numFmtId="38" fontId="60" fillId="19" borderId="13" xfId="0" applyNumberFormat="1" applyFont="1" applyFill="1" applyBorder="1" applyAlignment="1" applyProtection="1">
      <protection locked="0"/>
    </xf>
    <xf numFmtId="38" fontId="60" fillId="0" borderId="18" xfId="0" applyNumberFormat="1" applyFont="1" applyFill="1" applyBorder="1" applyAlignment="1" applyProtection="1"/>
    <xf numFmtId="0" fontId="67" fillId="0" borderId="19" xfId="0" applyFont="1" applyFill="1" applyBorder="1" applyAlignment="1" applyProtection="1">
      <alignment horizontal="center" vertical="center"/>
    </xf>
    <xf numFmtId="38" fontId="60" fillId="0" borderId="11" xfId="0" applyNumberFormat="1" applyFont="1" applyFill="1" applyBorder="1" applyAlignment="1" applyProtection="1">
      <alignment vertical="center"/>
    </xf>
    <xf numFmtId="0" fontId="62" fillId="6" borderId="10" xfId="0" applyFont="1" applyFill="1" applyBorder="1" applyAlignment="1" applyProtection="1">
      <alignment vertical="center"/>
    </xf>
    <xf numFmtId="0" fontId="59" fillId="6" borderId="19" xfId="0" applyFont="1" applyFill="1" applyBorder="1" applyAlignment="1">
      <alignment vertical="center"/>
    </xf>
    <xf numFmtId="0" fontId="70" fillId="6" borderId="20" xfId="0" applyFont="1" applyFill="1" applyBorder="1" applyAlignment="1">
      <alignment horizontal="left" vertical="center" indent="1"/>
    </xf>
    <xf numFmtId="0" fontId="62" fillId="6" borderId="20" xfId="0" applyFont="1" applyFill="1" applyBorder="1" applyAlignment="1">
      <alignment horizontal="left" vertical="center"/>
    </xf>
    <xf numFmtId="0" fontId="62" fillId="0" borderId="17" xfId="0" applyFont="1" applyBorder="1"/>
    <xf numFmtId="0" fontId="60" fillId="0" borderId="0" xfId="0" applyNumberFormat="1" applyFont="1" applyFill="1" applyBorder="1" applyAlignment="1">
      <alignment horizontal="left" vertical="center"/>
    </xf>
    <xf numFmtId="0" fontId="60" fillId="0" borderId="17" xfId="0" applyFont="1" applyBorder="1"/>
    <xf numFmtId="0" fontId="67" fillId="0" borderId="17" xfId="0" applyFont="1" applyBorder="1"/>
    <xf numFmtId="0" fontId="69" fillId="0" borderId="0" xfId="0" applyFont="1" applyBorder="1" applyAlignment="1">
      <alignment horizontal="center"/>
    </xf>
    <xf numFmtId="0" fontId="69" fillId="0" borderId="13" xfId="0" applyFont="1" applyBorder="1" applyAlignment="1">
      <alignment horizontal="left"/>
    </xf>
    <xf numFmtId="0" fontId="69" fillId="0" borderId="14" xfId="0" applyFont="1" applyBorder="1" applyAlignment="1">
      <alignment horizontal="left" indent="1"/>
    </xf>
    <xf numFmtId="49" fontId="67" fillId="0" borderId="2" xfId="0" applyNumberFormat="1" applyFont="1" applyBorder="1" applyAlignment="1">
      <alignment horizontal="center"/>
    </xf>
    <xf numFmtId="0" fontId="67" fillId="0" borderId="2" xfId="0" applyFont="1" applyBorder="1" applyAlignment="1">
      <alignment horizontal="center"/>
    </xf>
    <xf numFmtId="0" fontId="67" fillId="0" borderId="13" xfId="0" applyFont="1" applyBorder="1" applyAlignment="1">
      <alignment horizontal="left" indent="1"/>
    </xf>
    <xf numFmtId="0" fontId="67" fillId="0" borderId="14" xfId="0" applyFont="1" applyBorder="1" applyAlignment="1">
      <alignment horizontal="left" indent="2"/>
    </xf>
    <xf numFmtId="0" fontId="69" fillId="0" borderId="14" xfId="0" applyFont="1" applyBorder="1" applyAlignment="1">
      <alignment horizontal="left" indent="2"/>
    </xf>
    <xf numFmtId="0" fontId="67" fillId="0" borderId="14" xfId="0" applyFont="1" applyBorder="1" applyAlignment="1">
      <alignment horizontal="left" indent="4"/>
    </xf>
    <xf numFmtId="0" fontId="69" fillId="7" borderId="13" xfId="0" applyFont="1" applyFill="1" applyBorder="1" applyAlignment="1">
      <alignment horizontal="left" indent="2"/>
    </xf>
    <xf numFmtId="0" fontId="69" fillId="7" borderId="14" xfId="0" applyFont="1" applyFill="1" applyBorder="1" applyAlignment="1">
      <alignment horizontal="left" indent="2"/>
    </xf>
    <xf numFmtId="0" fontId="67" fillId="7" borderId="2" xfId="0" applyFont="1" applyFill="1" applyBorder="1"/>
    <xf numFmtId="0" fontId="60" fillId="0" borderId="18" xfId="0" applyFont="1" applyBorder="1"/>
    <xf numFmtId="0" fontId="69" fillId="0" borderId="20" xfId="0" applyFont="1" applyBorder="1" applyAlignment="1">
      <alignment horizontal="centerContinuous"/>
    </xf>
    <xf numFmtId="0" fontId="60" fillId="0" borderId="11" xfId="0" applyFont="1" applyBorder="1" applyAlignment="1">
      <alignment horizontal="centerContinuous"/>
    </xf>
    <xf numFmtId="0" fontId="62" fillId="0" borderId="19" xfId="0" applyFont="1" applyBorder="1"/>
    <xf numFmtId="0" fontId="62" fillId="0" borderId="20" xfId="0" applyFont="1" applyBorder="1"/>
    <xf numFmtId="0" fontId="60" fillId="0" borderId="19" xfId="0" applyFont="1" applyBorder="1"/>
    <xf numFmtId="0" fontId="60" fillId="0" borderId="11" xfId="0" applyFont="1" applyBorder="1"/>
    <xf numFmtId="0" fontId="67" fillId="0" borderId="0" xfId="3" applyNumberFormat="1" applyFont="1" applyBorder="1" applyAlignment="1">
      <alignment vertical="center"/>
    </xf>
    <xf numFmtId="0" fontId="62" fillId="0" borderId="0" xfId="3" applyNumberFormat="1" applyFont="1" applyBorder="1" applyAlignment="1">
      <alignment vertical="center"/>
    </xf>
    <xf numFmtId="0" fontId="62" fillId="0" borderId="0" xfId="3" applyNumberFormat="1" applyFont="1" applyAlignment="1">
      <alignment vertical="center"/>
    </xf>
    <xf numFmtId="0" fontId="67" fillId="0" borderId="0" xfId="3" applyNumberFormat="1" applyFont="1" applyAlignment="1">
      <alignment vertical="center"/>
    </xf>
    <xf numFmtId="0" fontId="69" fillId="0" borderId="0" xfId="3" applyNumberFormat="1" applyFont="1" applyAlignment="1">
      <alignment horizontal="center" vertical="center"/>
    </xf>
    <xf numFmtId="0" fontId="69" fillId="0" borderId="0" xfId="3" applyNumberFormat="1" applyFont="1" applyBorder="1" applyAlignment="1">
      <alignment horizontal="left" vertical="center"/>
    </xf>
    <xf numFmtId="0" fontId="67" fillId="0" borderId="0" xfId="3" applyNumberFormat="1" applyFont="1" applyAlignment="1">
      <alignment horizontal="center" vertical="center"/>
    </xf>
    <xf numFmtId="0" fontId="67" fillId="0" borderId="17" xfId="3" applyNumberFormat="1" applyFont="1" applyBorder="1" applyAlignment="1">
      <alignment horizontal="center" vertical="center"/>
    </xf>
    <xf numFmtId="0" fontId="67" fillId="0" borderId="0" xfId="3" applyNumberFormat="1" applyFont="1" applyBorder="1" applyAlignment="1">
      <alignment horizontal="right" vertical="center" indent="1"/>
    </xf>
    <xf numFmtId="0" fontId="62" fillId="0" borderId="17" xfId="3" applyNumberFormat="1" applyFont="1" applyBorder="1" applyAlignment="1">
      <alignment vertical="center"/>
    </xf>
    <xf numFmtId="0" fontId="62" fillId="0" borderId="19" xfId="3" applyNumberFormat="1" applyFont="1" applyBorder="1" applyAlignment="1">
      <alignment vertical="center"/>
    </xf>
    <xf numFmtId="0" fontId="62" fillId="0" borderId="20" xfId="3" applyNumberFormat="1" applyFont="1" applyBorder="1" applyAlignment="1">
      <alignment vertical="center"/>
    </xf>
    <xf numFmtId="0" fontId="62" fillId="0" borderId="12" xfId="3" applyNumberFormat="1" applyFont="1" applyBorder="1" applyAlignment="1">
      <alignment vertical="center"/>
    </xf>
    <xf numFmtId="0" fontId="62" fillId="0" borderId="16" xfId="3" applyNumberFormat="1" applyFont="1" applyBorder="1" applyAlignment="1">
      <alignment vertical="center"/>
    </xf>
    <xf numFmtId="0" fontId="62" fillId="0" borderId="3" xfId="3" applyNumberFormat="1" applyFont="1" applyBorder="1" applyAlignment="1">
      <alignment vertical="center"/>
    </xf>
    <xf numFmtId="0" fontId="62" fillId="0" borderId="16" xfId="3" applyNumberFormat="1" applyFont="1" applyFill="1" applyBorder="1" applyAlignment="1">
      <alignment horizontal="centerContinuous" vertical="center"/>
    </xf>
    <xf numFmtId="0" fontId="62" fillId="0" borderId="10" xfId="3" applyNumberFormat="1" applyFont="1" applyFill="1" applyBorder="1" applyAlignment="1">
      <alignment horizontal="centerContinuous" vertical="center"/>
    </xf>
    <xf numFmtId="0" fontId="60" fillId="0" borderId="17" xfId="3" applyNumberFormat="1" applyFont="1" applyFill="1" applyBorder="1" applyAlignment="1">
      <alignment vertical="center"/>
    </xf>
    <xf numFmtId="0" fontId="60" fillId="0" borderId="0" xfId="3" applyNumberFormat="1" applyFont="1" applyFill="1" applyBorder="1" applyAlignment="1">
      <alignment vertical="center"/>
    </xf>
    <xf numFmtId="0" fontId="60" fillId="0" borderId="0" xfId="3" applyNumberFormat="1" applyFont="1" applyFill="1" applyBorder="1" applyAlignment="1">
      <alignment horizontal="center" vertical="center"/>
    </xf>
    <xf numFmtId="0" fontId="60" fillId="0" borderId="26" xfId="3" applyNumberFormat="1" applyFont="1" applyFill="1" applyBorder="1" applyAlignment="1">
      <alignment vertical="center"/>
    </xf>
    <xf numFmtId="0" fontId="69" fillId="0" borderId="10" xfId="3" applyNumberFormat="1" applyFont="1" applyBorder="1" applyAlignment="1">
      <alignment horizontal="center" vertical="center"/>
    </xf>
    <xf numFmtId="0" fontId="69" fillId="0" borderId="3" xfId="3" applyNumberFormat="1" applyFont="1" applyBorder="1" applyAlignment="1">
      <alignment horizontal="center" vertical="center"/>
    </xf>
    <xf numFmtId="0" fontId="67" fillId="0" borderId="3" xfId="3" applyNumberFormat="1" applyFont="1" applyBorder="1" applyAlignment="1">
      <alignment horizontal="center" vertical="center"/>
    </xf>
    <xf numFmtId="0" fontId="60" fillId="0" borderId="0" xfId="3" applyNumberFormat="1" applyFont="1" applyAlignment="1">
      <alignment vertical="center"/>
    </xf>
    <xf numFmtId="0" fontId="69" fillId="0" borderId="4" xfId="3" applyNumberFormat="1" applyFont="1" applyBorder="1" applyAlignment="1">
      <alignment horizontal="center" vertical="center" wrapText="1"/>
    </xf>
    <xf numFmtId="0" fontId="69" fillId="0" borderId="4" xfId="3" applyNumberFormat="1" applyFont="1" applyBorder="1" applyAlignment="1">
      <alignment horizontal="center" vertical="center"/>
    </xf>
    <xf numFmtId="164" fontId="69" fillId="0" borderId="13" xfId="3" applyNumberFormat="1" applyFont="1" applyBorder="1" applyAlignment="1">
      <alignment horizontal="right" vertical="center"/>
    </xf>
    <xf numFmtId="0" fontId="67" fillId="0" borderId="21" xfId="3" applyNumberFormat="1" applyFont="1" applyBorder="1" applyAlignment="1">
      <alignment horizontal="left" vertical="center"/>
    </xf>
    <xf numFmtId="0" fontId="62" fillId="0" borderId="14" xfId="3" applyNumberFormat="1" applyFont="1" applyBorder="1" applyAlignment="1">
      <alignment horizontal="left" vertical="center"/>
    </xf>
    <xf numFmtId="0" fontId="67" fillId="0" borderId="2" xfId="3" applyNumberFormat="1" applyFont="1" applyBorder="1" applyAlignment="1">
      <alignment horizontal="left" vertical="center" indent="1"/>
    </xf>
    <xf numFmtId="0" fontId="60" fillId="15" borderId="2" xfId="3" applyNumberFormat="1" applyFont="1" applyFill="1" applyBorder="1" applyAlignment="1">
      <alignment vertical="center"/>
    </xf>
    <xf numFmtId="38" fontId="60" fillId="0" borderId="2" xfId="3" applyNumberFormat="1" applyFont="1" applyBorder="1" applyAlignment="1" applyProtection="1">
      <alignment vertical="center"/>
      <protection locked="0"/>
    </xf>
    <xf numFmtId="0" fontId="67" fillId="0" borderId="2" xfId="3" applyNumberFormat="1" applyFont="1" applyBorder="1" applyAlignment="1">
      <alignment horizontal="left" vertical="top" indent="1"/>
    </xf>
    <xf numFmtId="164" fontId="69" fillId="0" borderId="13" xfId="3" applyNumberFormat="1" applyFont="1" applyBorder="1" applyAlignment="1">
      <alignment vertical="top"/>
    </xf>
    <xf numFmtId="38" fontId="60" fillId="0" borderId="2" xfId="3" applyNumberFormat="1" applyFont="1" applyFill="1" applyBorder="1" applyAlignment="1" applyProtection="1">
      <alignment vertical="center"/>
      <protection locked="0"/>
    </xf>
    <xf numFmtId="0" fontId="69" fillId="0" borderId="21" xfId="3" applyNumberFormat="1" applyFont="1" applyBorder="1" applyAlignment="1">
      <alignment horizontal="left" vertical="center"/>
    </xf>
    <xf numFmtId="0" fontId="67" fillId="0" borderId="14" xfId="3" applyNumberFormat="1" applyFont="1" applyBorder="1" applyAlignment="1">
      <alignment horizontal="center" vertical="center"/>
    </xf>
    <xf numFmtId="0" fontId="60" fillId="15" borderId="4" xfId="3" applyNumberFormat="1" applyFont="1" applyFill="1" applyBorder="1" applyAlignment="1">
      <alignment vertical="center"/>
    </xf>
    <xf numFmtId="0" fontId="62" fillId="0" borderId="0" xfId="3" applyNumberFormat="1" applyFont="1" applyAlignment="1">
      <alignment horizontal="right" vertical="center"/>
    </xf>
    <xf numFmtId="0" fontId="70" fillId="0" borderId="0" xfId="3" applyNumberFormat="1" applyFont="1" applyAlignment="1">
      <alignment vertical="center"/>
    </xf>
    <xf numFmtId="0" fontId="78" fillId="0" borderId="0" xfId="3" applyNumberFormat="1" applyFont="1" applyAlignment="1">
      <alignment vertical="center"/>
    </xf>
    <xf numFmtId="171" fontId="62" fillId="0" borderId="0" xfId="3" applyNumberFormat="1" applyFont="1" applyBorder="1" applyAlignment="1" applyProtection="1">
      <alignment horizontal="center"/>
    </xf>
    <xf numFmtId="0" fontId="78" fillId="0" borderId="130" xfId="3" applyNumberFormat="1" applyFont="1" applyBorder="1" applyAlignment="1">
      <alignment horizontal="center" vertical="center"/>
    </xf>
    <xf numFmtId="0" fontId="62" fillId="0" borderId="130" xfId="3" applyNumberFormat="1" applyFont="1" applyBorder="1" applyAlignment="1">
      <alignment vertical="center"/>
    </xf>
    <xf numFmtId="0" fontId="78" fillId="0" borderId="0" xfId="3" applyNumberFormat="1" applyFont="1" applyBorder="1" applyAlignment="1">
      <alignment vertical="center" wrapText="1"/>
    </xf>
    <xf numFmtId="0" fontId="62" fillId="0" borderId="0" xfId="3" applyNumberFormat="1" applyFont="1" applyBorder="1" applyAlignment="1">
      <alignment wrapText="1"/>
    </xf>
    <xf numFmtId="0" fontId="78" fillId="0" borderId="130" xfId="3" applyNumberFormat="1" applyFont="1" applyBorder="1" applyAlignment="1">
      <alignment horizontal="center"/>
    </xf>
    <xf numFmtId="0" fontId="78" fillId="0" borderId="0" xfId="3" applyNumberFormat="1" applyFont="1" applyBorder="1" applyAlignment="1"/>
    <xf numFmtId="0" fontId="69" fillId="0" borderId="0" xfId="3" applyNumberFormat="1" applyFont="1" applyAlignment="1">
      <alignment horizontal="right"/>
    </xf>
    <xf numFmtId="0" fontId="60" fillId="0" borderId="0" xfId="3" applyNumberFormat="1" applyFont="1" applyBorder="1" applyAlignment="1">
      <alignment horizontal="center" wrapText="1"/>
    </xf>
    <xf numFmtId="0" fontId="78" fillId="0" borderId="0" xfId="3" applyFont="1" applyBorder="1" applyAlignment="1">
      <alignment horizontal="center" vertical="center" wrapText="1"/>
    </xf>
    <xf numFmtId="0" fontId="84" fillId="0" borderId="0" xfId="3" applyNumberFormat="1" applyFont="1" applyAlignment="1">
      <alignment vertical="center"/>
    </xf>
    <xf numFmtId="0" fontId="70" fillId="0" borderId="22" xfId="3" applyNumberFormat="1" applyFont="1" applyBorder="1" applyAlignment="1" applyProtection="1">
      <alignment horizontal="center" vertical="center"/>
      <protection locked="0"/>
    </xf>
    <xf numFmtId="0" fontId="67" fillId="0" borderId="0" xfId="3" applyNumberFormat="1" applyFont="1" applyAlignment="1">
      <alignment horizontal="left" vertical="center" indent="2"/>
    </xf>
    <xf numFmtId="0" fontId="62" fillId="0" borderId="0" xfId="3" applyFont="1" applyAlignment="1">
      <alignment horizontal="left" wrapText="1" indent="2"/>
    </xf>
    <xf numFmtId="0" fontId="60" fillId="0" borderId="0" xfId="3" applyNumberFormat="1" applyFont="1" applyBorder="1" applyAlignment="1">
      <alignment vertical="center"/>
    </xf>
    <xf numFmtId="0" fontId="88" fillId="0" borderId="0" xfId="3" applyNumberFormat="1" applyFont="1" applyBorder="1" applyAlignment="1">
      <alignment horizontal="centerContinuous" vertical="center"/>
    </xf>
    <xf numFmtId="0" fontId="61" fillId="0" borderId="0" xfId="2" applyNumberFormat="1" applyFont="1" applyBorder="1" applyAlignment="1" applyProtection="1">
      <alignment horizontal="centerContinuous" vertical="center"/>
    </xf>
    <xf numFmtId="0" fontId="62" fillId="0" borderId="0" xfId="3" applyFont="1" applyAlignment="1">
      <alignment vertical="top" wrapText="1"/>
    </xf>
    <xf numFmtId="164" fontId="67" fillId="0" borderId="0" xfId="0" applyNumberFormat="1" applyFont="1"/>
    <xf numFmtId="164" fontId="62" fillId="0" borderId="0" xfId="0" applyNumberFormat="1" applyFont="1"/>
    <xf numFmtId="166" fontId="67" fillId="0" borderId="0" xfId="0" applyNumberFormat="1" applyFont="1" applyAlignment="1">
      <alignment horizontal="left"/>
    </xf>
    <xf numFmtId="0" fontId="62" fillId="0" borderId="0" xfId="0" applyFont="1" applyAlignment="1">
      <alignment vertical="top"/>
    </xf>
    <xf numFmtId="0" fontId="113" fillId="0" borderId="0" xfId="0" applyFont="1"/>
    <xf numFmtId="0" fontId="60" fillId="0" borderId="0" xfId="0" applyFont="1" applyAlignment="1">
      <alignment vertical="top" wrapText="1"/>
    </xf>
    <xf numFmtId="0" fontId="62" fillId="0" borderId="0" xfId="3" applyFont="1" applyAlignment="1">
      <alignment wrapText="1"/>
    </xf>
    <xf numFmtId="0" fontId="62" fillId="0" borderId="0" xfId="3" applyFont="1" applyAlignment="1">
      <alignment vertical="center"/>
    </xf>
    <xf numFmtId="0" fontId="69" fillId="0" borderId="46" xfId="3" applyFont="1" applyFill="1" applyBorder="1" applyAlignment="1">
      <alignment horizontal="center" vertical="center"/>
    </xf>
    <xf numFmtId="0" fontId="69" fillId="0" borderId="22" xfId="3" applyFont="1" applyBorder="1" applyAlignment="1">
      <alignment horizontal="center" vertical="center" wrapText="1"/>
    </xf>
    <xf numFmtId="0" fontId="59" fillId="0" borderId="22" xfId="3" applyFont="1" applyBorder="1" applyAlignment="1">
      <alignment horizontal="left" vertical="center" wrapText="1" indent="1"/>
    </xf>
    <xf numFmtId="0" fontId="62" fillId="0" borderId="0" xfId="3" applyFont="1" applyAlignment="1">
      <alignment horizontal="left" vertical="center"/>
    </xf>
    <xf numFmtId="0" fontId="69" fillId="0" borderId="45" xfId="3" applyFont="1" applyBorder="1" applyAlignment="1">
      <alignment horizontal="left" vertical="center" wrapText="1" indent="2"/>
    </xf>
    <xf numFmtId="0" fontId="69" fillId="0" borderId="22" xfId="3" applyFont="1" applyBorder="1" applyAlignment="1">
      <alignment horizontal="left" vertical="center" wrapText="1" indent="1"/>
    </xf>
    <xf numFmtId="0" fontId="59" fillId="0" borderId="0" xfId="3" applyFont="1" applyFill="1" applyBorder="1" applyAlignment="1">
      <alignment wrapText="1"/>
    </xf>
    <xf numFmtId="38" fontId="70" fillId="0" borderId="0" xfId="3" applyNumberFormat="1" applyFont="1" applyFill="1" applyBorder="1"/>
    <xf numFmtId="0" fontId="67" fillId="0" borderId="0" xfId="3" applyNumberFormat="1" applyFont="1" applyBorder="1" applyAlignment="1">
      <alignment horizontal="left" vertical="center" wrapText="1"/>
    </xf>
    <xf numFmtId="0" fontId="62" fillId="0" borderId="0" xfId="3" applyFont="1" applyBorder="1" applyAlignment="1">
      <alignment horizontal="left" vertical="center" wrapText="1"/>
    </xf>
    <xf numFmtId="0" fontId="62" fillId="0" borderId="0" xfId="3" applyFont="1" applyAlignment="1">
      <alignment horizontal="left"/>
    </xf>
    <xf numFmtId="0" fontId="62" fillId="0" borderId="0" xfId="3" applyFont="1" applyAlignment="1"/>
    <xf numFmtId="49" fontId="116" fillId="0" borderId="0" xfId="0" applyNumberFormat="1" applyFont="1" applyFill="1" applyBorder="1" applyAlignment="1">
      <alignment horizontal="centerContinuous" vertical="top"/>
    </xf>
    <xf numFmtId="0" fontId="60" fillId="0" borderId="0" xfId="0" applyFont="1" applyAlignment="1">
      <alignment horizontal="centerContinuous" vertical="top"/>
    </xf>
    <xf numFmtId="0" fontId="60" fillId="0" borderId="0" xfId="0" applyFont="1" applyAlignment="1">
      <alignment horizontal="centerContinuous" vertical="top" wrapText="1"/>
    </xf>
    <xf numFmtId="0" fontId="69" fillId="0" borderId="0" xfId="0" applyFont="1" applyBorder="1" applyAlignment="1">
      <alignment horizontal="centerContinuous" vertical="top"/>
    </xf>
    <xf numFmtId="0" fontId="60" fillId="0" borderId="0" xfId="0" applyFont="1" applyAlignment="1"/>
    <xf numFmtId="164" fontId="118" fillId="0" borderId="21" xfId="0" applyNumberFormat="1" applyFont="1" applyBorder="1" applyAlignment="1">
      <alignment vertical="top"/>
    </xf>
    <xf numFmtId="0" fontId="60" fillId="0" borderId="21" xfId="0" applyFont="1" applyBorder="1" applyAlignment="1">
      <alignment vertical="top"/>
    </xf>
    <xf numFmtId="0" fontId="67" fillId="0" borderId="14" xfId="0" applyFont="1" applyBorder="1"/>
    <xf numFmtId="0" fontId="60" fillId="0" borderId="21" xfId="0" applyFont="1" applyBorder="1" applyAlignment="1">
      <alignment vertical="top" wrapText="1"/>
    </xf>
    <xf numFmtId="0" fontId="62" fillId="0" borderId="14" xfId="0" applyFont="1" applyBorder="1" applyAlignment="1">
      <alignment wrapText="1"/>
    </xf>
    <xf numFmtId="0" fontId="60" fillId="0" borderId="17" xfId="0" applyFont="1" applyBorder="1" applyAlignment="1">
      <alignment horizontal="left" vertical="top"/>
    </xf>
    <xf numFmtId="164" fontId="118" fillId="0" borderId="0" xfId="0" applyNumberFormat="1" applyFont="1" applyBorder="1" applyAlignment="1">
      <alignment horizontal="right" vertical="top"/>
    </xf>
    <xf numFmtId="0" fontId="120" fillId="0" borderId="13" xfId="0" applyFont="1" applyBorder="1" applyAlignment="1">
      <alignment horizontal="right" vertical="top"/>
    </xf>
    <xf numFmtId="0" fontId="60" fillId="0" borderId="21" xfId="0" applyFont="1" applyBorder="1" applyAlignment="1">
      <alignment horizontal="left" vertical="top"/>
    </xf>
    <xf numFmtId="0" fontId="60" fillId="0" borderId="21" xfId="0" applyFont="1" applyBorder="1" applyAlignment="1">
      <alignment horizontal="left" vertical="top" indent="1"/>
    </xf>
    <xf numFmtId="0" fontId="90" fillId="0" borderId="2" xfId="0" applyFont="1" applyBorder="1" applyAlignment="1">
      <alignment vertical="top" wrapText="1"/>
    </xf>
    <xf numFmtId="0" fontId="60" fillId="0" borderId="14" xfId="0" applyFont="1" applyBorder="1" applyAlignment="1">
      <alignment horizontal="left" vertical="top" indent="1"/>
    </xf>
    <xf numFmtId="0" fontId="90" fillId="0" borderId="65" xfId="12" applyNumberFormat="1" applyFont="1" applyBorder="1" applyAlignment="1" applyProtection="1">
      <alignment vertical="center"/>
    </xf>
    <xf numFmtId="0" fontId="120" fillId="0" borderId="17" xfId="0" applyFont="1" applyBorder="1" applyAlignment="1">
      <alignment horizontal="right" vertical="top"/>
    </xf>
    <xf numFmtId="0" fontId="90" fillId="0" borderId="10" xfId="12" applyNumberFormat="1" applyFont="1" applyBorder="1" applyAlignment="1" applyProtection="1">
      <alignment vertical="center" wrapText="1"/>
    </xf>
    <xf numFmtId="0" fontId="118" fillId="0" borderId="21" xfId="0" applyNumberFormat="1" applyFont="1" applyBorder="1" applyAlignment="1">
      <alignment horizontal="left" vertical="center"/>
    </xf>
    <xf numFmtId="0" fontId="67" fillId="0" borderId="14" xfId="0" applyFont="1" applyBorder="1" applyAlignment="1">
      <alignment vertical="top" wrapText="1"/>
    </xf>
    <xf numFmtId="0" fontId="120" fillId="0" borderId="21" xfId="0" applyNumberFormat="1" applyFont="1" applyBorder="1" applyAlignment="1">
      <alignment horizontal="left" vertical="center"/>
    </xf>
    <xf numFmtId="0" fontId="90" fillId="0" borderId="2" xfId="0" applyNumberFormat="1" applyFont="1" applyBorder="1" applyAlignment="1" applyProtection="1">
      <alignment horizontal="left" vertical="center" wrapText="1"/>
    </xf>
    <xf numFmtId="0" fontId="60" fillId="0" borderId="14" xfId="0" applyFont="1" applyBorder="1" applyAlignment="1">
      <alignment horizontal="left" vertical="top" wrapText="1"/>
    </xf>
    <xf numFmtId="0" fontId="74" fillId="0" borderId="17" xfId="0" applyFont="1" applyBorder="1" applyAlignment="1"/>
    <xf numFmtId="0" fontId="118" fillId="0" borderId="21" xfId="0" applyFont="1" applyBorder="1" applyAlignment="1">
      <alignment vertical="top"/>
    </xf>
    <xf numFmtId="0" fontId="90" fillId="0" borderId="14" xfId="0" applyFont="1" applyBorder="1" applyAlignment="1">
      <alignment vertical="top" wrapText="1"/>
    </xf>
    <xf numFmtId="0" fontId="74" fillId="0" borderId="0" xfId="0" applyFont="1" applyAlignment="1"/>
    <xf numFmtId="0" fontId="74" fillId="0" borderId="13" xfId="0" applyFont="1" applyBorder="1" applyAlignment="1"/>
    <xf numFmtId="0" fontId="60" fillId="0" borderId="21" xfId="0" applyFont="1" applyBorder="1" applyAlignment="1">
      <alignment horizontal="left" vertical="top" wrapText="1" indent="1"/>
    </xf>
    <xf numFmtId="0" fontId="60" fillId="0" borderId="13" xfId="0" applyFont="1" applyBorder="1" applyAlignment="1">
      <alignment horizontal="left" vertical="top"/>
    </xf>
    <xf numFmtId="164" fontId="118" fillId="0" borderId="21" xfId="0" applyNumberFormat="1" applyFont="1" applyBorder="1" applyAlignment="1">
      <alignment horizontal="right" vertical="top"/>
    </xf>
    <xf numFmtId="164" fontId="120" fillId="0" borderId="21" xfId="0" applyNumberFormat="1" applyFont="1" applyBorder="1" applyAlignment="1">
      <alignment horizontal="right" vertical="center"/>
    </xf>
    <xf numFmtId="0" fontId="60" fillId="0" borderId="21" xfId="0" applyNumberFormat="1" applyFont="1" applyBorder="1" applyAlignment="1">
      <alignment horizontal="left" vertical="center" wrapText="1" indent="1"/>
    </xf>
    <xf numFmtId="0" fontId="90" fillId="0" borderId="2" xfId="0" applyFont="1" applyBorder="1" applyAlignment="1"/>
    <xf numFmtId="0" fontId="90" fillId="0" borderId="2" xfId="0" applyFont="1" applyBorder="1" applyAlignment="1">
      <alignment horizontal="left" vertical="top"/>
    </xf>
    <xf numFmtId="0" fontId="67" fillId="0" borderId="2" xfId="0" applyFont="1" applyBorder="1" applyAlignment="1">
      <alignment horizontal="left" vertical="top" wrapText="1"/>
    </xf>
    <xf numFmtId="0" fontId="90" fillId="0" borderId="2" xfId="0" applyFont="1" applyBorder="1" applyAlignment="1">
      <alignment horizontal="left" vertical="top" wrapText="1"/>
    </xf>
    <xf numFmtId="164" fontId="120" fillId="0" borderId="13" xfId="0" applyNumberFormat="1" applyFont="1" applyBorder="1" applyAlignment="1">
      <alignment horizontal="right" vertical="top"/>
    </xf>
    <xf numFmtId="0" fontId="67" fillId="0" borderId="14" xfId="0" applyFont="1" applyBorder="1" applyAlignment="1">
      <alignment horizontal="left" vertical="top" wrapText="1"/>
    </xf>
    <xf numFmtId="164" fontId="121" fillId="0" borderId="21" xfId="0" applyNumberFormat="1" applyFont="1" applyBorder="1" applyAlignment="1">
      <alignment horizontal="left" vertical="center"/>
    </xf>
    <xf numFmtId="0" fontId="118" fillId="0" borderId="21" xfId="0" applyFont="1" applyBorder="1" applyAlignment="1">
      <alignment horizontal="left" vertical="top"/>
    </xf>
    <xf numFmtId="0" fontId="90" fillId="0" borderId="2" xfId="0" applyFont="1" applyBorder="1" applyAlignment="1">
      <alignment horizontal="left"/>
    </xf>
    <xf numFmtId="0" fontId="90" fillId="0" borderId="2" xfId="0" applyFont="1" applyBorder="1"/>
    <xf numFmtId="0" fontId="60" fillId="0" borderId="0" xfId="0" applyFont="1" applyAlignment="1">
      <alignment horizontal="left" vertical="top"/>
    </xf>
    <xf numFmtId="0" fontId="60" fillId="0" borderId="21" xfId="0" applyFont="1" applyBorder="1" applyAlignment="1"/>
    <xf numFmtId="164" fontId="118" fillId="0" borderId="21" xfId="0" applyNumberFormat="1" applyFont="1" applyBorder="1" applyAlignment="1">
      <alignment vertical="center"/>
    </xf>
    <xf numFmtId="0" fontId="60" fillId="0" borderId="21" xfId="0" applyFont="1" applyBorder="1" applyAlignment="1">
      <alignment vertical="center"/>
    </xf>
    <xf numFmtId="0" fontId="67" fillId="0" borderId="149" xfId="0" applyFont="1" applyBorder="1"/>
    <xf numFmtId="0" fontId="60" fillId="0" borderId="13" xfId="0" applyFont="1" applyBorder="1"/>
    <xf numFmtId="0" fontId="60" fillId="0" borderId="122" xfId="0" applyFont="1" applyBorder="1" applyAlignment="1">
      <alignment horizontal="left" vertical="top"/>
    </xf>
    <xf numFmtId="164" fontId="118" fillId="0" borderId="125" xfId="0" applyNumberFormat="1" applyFont="1" applyBorder="1" applyAlignment="1">
      <alignment horizontal="right" vertical="top"/>
    </xf>
    <xf numFmtId="0" fontId="60" fillId="0" borderId="125" xfId="0" applyNumberFormat="1" applyFont="1" applyBorder="1" applyAlignment="1">
      <alignment horizontal="left" vertical="center" wrapText="1" indent="1"/>
    </xf>
    <xf numFmtId="0" fontId="90" fillId="0" borderId="124" xfId="0" applyFont="1" applyBorder="1" applyAlignment="1">
      <alignment horizontal="left" vertical="center" wrapText="1"/>
    </xf>
    <xf numFmtId="0" fontId="60" fillId="0" borderId="125" xfId="0" applyFont="1" applyBorder="1" applyAlignment="1">
      <alignment horizontal="left" vertical="top"/>
    </xf>
    <xf numFmtId="0" fontId="60" fillId="0" borderId="0" xfId="0" applyFont="1" applyBorder="1" applyAlignment="1">
      <alignment vertical="top"/>
    </xf>
    <xf numFmtId="0" fontId="120" fillId="0" borderId="125" xfId="0" applyNumberFormat="1" applyFont="1" applyBorder="1" applyAlignment="1">
      <alignment horizontal="left" vertical="center"/>
    </xf>
    <xf numFmtId="0" fontId="118" fillId="0" borderId="125" xfId="0" applyFont="1" applyBorder="1" applyAlignment="1">
      <alignment vertical="top"/>
    </xf>
    <xf numFmtId="0" fontId="118" fillId="0" borderId="125" xfId="0" applyFont="1" applyBorder="1" applyAlignment="1">
      <alignment horizontal="left" vertical="top"/>
    </xf>
    <xf numFmtId="0" fontId="60" fillId="0" borderId="122" xfId="0" applyFont="1" applyBorder="1" applyAlignment="1"/>
    <xf numFmtId="164" fontId="118" fillId="0" borderId="125" xfId="0" applyNumberFormat="1" applyFont="1" applyBorder="1" applyAlignment="1"/>
    <xf numFmtId="0" fontId="60" fillId="0" borderId="125" xfId="0" applyFont="1" applyBorder="1" applyAlignment="1"/>
    <xf numFmtId="0" fontId="67" fillId="0" borderId="123" xfId="0" applyFont="1" applyBorder="1" applyAlignment="1"/>
    <xf numFmtId="0" fontId="88" fillId="0" borderId="12" xfId="0" applyFont="1" applyBorder="1" applyAlignment="1">
      <alignment horizontal="left"/>
    </xf>
    <xf numFmtId="0" fontId="65" fillId="0" borderId="16" xfId="0" applyFont="1" applyBorder="1" applyAlignment="1">
      <alignment horizontal="left" vertical="center" indent="1"/>
    </xf>
    <xf numFmtId="0" fontId="64" fillId="0" borderId="16" xfId="0" applyFont="1" applyBorder="1" applyAlignment="1">
      <alignment horizontal="left" vertical="center"/>
    </xf>
    <xf numFmtId="0" fontId="73" fillId="0" borderId="10" xfId="0" applyFont="1" applyBorder="1" applyAlignment="1">
      <alignment horizontal="left" vertical="center"/>
    </xf>
    <xf numFmtId="49" fontId="88" fillId="0" borderId="12" xfId="0" applyNumberFormat="1" applyFont="1" applyFill="1" applyBorder="1" applyAlignment="1">
      <alignment horizontal="left" vertical="center"/>
    </xf>
    <xf numFmtId="49" fontId="60" fillId="0" borderId="16" xfId="0" applyNumberFormat="1" applyFont="1" applyFill="1" applyBorder="1" applyAlignment="1">
      <alignment horizontal="left" vertical="center"/>
    </xf>
    <xf numFmtId="0" fontId="60" fillId="0" borderId="16" xfId="0" applyFont="1" applyFill="1" applyBorder="1" applyAlignment="1" applyProtection="1">
      <alignment horizontal="left" vertical="center"/>
    </xf>
    <xf numFmtId="0" fontId="67" fillId="0" borderId="151" xfId="0" applyFont="1" applyFill="1" applyBorder="1" applyAlignment="1" applyProtection="1">
      <alignment horizontal="left" vertical="center"/>
      <protection locked="0"/>
    </xf>
    <xf numFmtId="49" fontId="88" fillId="0" borderId="17" xfId="0" applyNumberFormat="1" applyFont="1" applyFill="1" applyBorder="1" applyAlignment="1">
      <alignment horizontal="left" vertical="center"/>
    </xf>
    <xf numFmtId="49" fontId="60" fillId="0" borderId="0" xfId="0" applyNumberFormat="1" applyFont="1" applyFill="1" applyBorder="1" applyAlignment="1">
      <alignment horizontal="left" vertical="center"/>
    </xf>
    <xf numFmtId="0" fontId="60" fillId="0" borderId="0" xfId="0" applyFont="1" applyFill="1" applyBorder="1" applyAlignment="1">
      <alignment horizontal="left" vertical="center"/>
    </xf>
    <xf numFmtId="0" fontId="67" fillId="0" borderId="63" xfId="0" applyFont="1" applyFill="1" applyBorder="1" applyAlignment="1">
      <alignment horizontal="left" vertical="center"/>
    </xf>
    <xf numFmtId="0" fontId="60" fillId="0" borderId="55" xfId="0" applyFont="1" applyFill="1" applyBorder="1" applyAlignment="1">
      <alignment horizontal="left" vertical="center"/>
    </xf>
    <xf numFmtId="0" fontId="60" fillId="0" borderId="24" xfId="0" applyFont="1" applyFill="1" applyBorder="1" applyAlignment="1">
      <alignment horizontal="left" vertical="center"/>
    </xf>
    <xf numFmtId="0" fontId="60" fillId="0" borderId="24" xfId="0" applyFont="1" applyFill="1" applyBorder="1" applyAlignment="1">
      <alignment horizontal="left" vertical="center" indent="2"/>
    </xf>
    <xf numFmtId="0" fontId="69" fillId="0" borderId="64" xfId="0" applyFont="1" applyFill="1" applyBorder="1" applyAlignment="1">
      <alignment horizontal="left" vertical="center"/>
    </xf>
    <xf numFmtId="0" fontId="59" fillId="0" borderId="122" xfId="0" applyFont="1" applyFill="1" applyBorder="1" applyAlignment="1"/>
    <xf numFmtId="0" fontId="59" fillId="0" borderId="125" xfId="0" applyFont="1" applyFill="1" applyBorder="1" applyAlignment="1">
      <alignment horizontal="left" vertical="top"/>
    </xf>
    <xf numFmtId="0" fontId="59" fillId="0" borderId="123" xfId="0" applyFont="1" applyFill="1" applyBorder="1" applyAlignment="1">
      <alignment horizontal="left"/>
    </xf>
    <xf numFmtId="0" fontId="59" fillId="0" borderId="0" xfId="0" applyFont="1" applyAlignment="1"/>
    <xf numFmtId="0" fontId="60" fillId="0" borderId="0" xfId="0" applyFont="1" applyAlignment="1">
      <alignment horizontal="left"/>
    </xf>
    <xf numFmtId="0" fontId="59" fillId="0" borderId="123" xfId="0" applyFont="1" applyFill="1" applyBorder="1" applyAlignment="1">
      <alignment horizontal="center" vertical="center"/>
    </xf>
    <xf numFmtId="0" fontId="121" fillId="0" borderId="21" xfId="0" applyFont="1" applyBorder="1" applyAlignment="1">
      <alignment horizontal="left" vertical="top" wrapText="1"/>
    </xf>
    <xf numFmtId="0" fontId="62" fillId="0" borderId="0" xfId="3" applyNumberFormat="1" applyFont="1" applyAlignment="1" applyProtection="1">
      <alignment horizontal="centerContinuous"/>
    </xf>
    <xf numFmtId="0" fontId="62" fillId="0" borderId="0" xfId="3" applyNumberFormat="1" applyFont="1" applyBorder="1" applyAlignment="1" applyProtection="1">
      <alignment horizontal="center"/>
    </xf>
    <xf numFmtId="0" fontId="70" fillId="0" borderId="0" xfId="3" applyNumberFormat="1" applyFont="1" applyAlignment="1" applyProtection="1">
      <alignment horizontal="centerContinuous"/>
    </xf>
    <xf numFmtId="0" fontId="69" fillId="0" borderId="0" xfId="3" applyNumberFormat="1" applyFont="1" applyAlignment="1" applyProtection="1">
      <alignment horizontal="right" vertical="center" textRotation="180"/>
    </xf>
    <xf numFmtId="0" fontId="69" fillId="0" borderId="0" xfId="3" applyNumberFormat="1" applyFont="1" applyAlignment="1" applyProtection="1">
      <alignment vertical="center" textRotation="180"/>
    </xf>
    <xf numFmtId="0" fontId="62" fillId="0" borderId="0" xfId="3" applyNumberFormat="1" applyFont="1" applyProtection="1"/>
    <xf numFmtId="0" fontId="62" fillId="0" borderId="9" xfId="3" applyNumberFormat="1" applyFont="1" applyBorder="1" applyProtection="1"/>
    <xf numFmtId="0" fontId="62" fillId="0" borderId="9" xfId="3" applyNumberFormat="1" applyFont="1" applyBorder="1" applyAlignment="1" applyProtection="1">
      <alignment horizontal="center"/>
    </xf>
    <xf numFmtId="0" fontId="67" fillId="0" borderId="0" xfId="3" applyNumberFormat="1" applyFont="1" applyProtection="1"/>
    <xf numFmtId="0" fontId="60" fillId="0" borderId="140" xfId="3" quotePrefix="1" applyNumberFormat="1" applyFont="1" applyBorder="1" applyAlignment="1" applyProtection="1">
      <alignment horizontal="left"/>
    </xf>
    <xf numFmtId="0" fontId="67" fillId="0" borderId="141" xfId="3" applyNumberFormat="1" applyFont="1" applyBorder="1" applyAlignment="1" applyProtection="1">
      <alignment horizontal="center"/>
    </xf>
    <xf numFmtId="0" fontId="67" fillId="0" borderId="141" xfId="3" applyNumberFormat="1" applyFont="1" applyBorder="1" applyProtection="1"/>
    <xf numFmtId="0" fontId="60" fillId="0" borderId="140" xfId="3" applyNumberFormat="1" applyFont="1" applyBorder="1" applyAlignment="1" applyProtection="1"/>
    <xf numFmtId="0" fontId="67" fillId="0" borderId="142" xfId="3" applyNumberFormat="1" applyFont="1" applyBorder="1" applyAlignment="1" applyProtection="1">
      <alignment horizontal="centerContinuous"/>
    </xf>
    <xf numFmtId="0" fontId="60" fillId="0" borderId="140" xfId="3" applyNumberFormat="1" applyFont="1" applyBorder="1" applyAlignment="1" applyProtection="1">
      <alignment horizontal="left"/>
    </xf>
    <xf numFmtId="0" fontId="67" fillId="0" borderId="142" xfId="3" applyNumberFormat="1" applyFont="1" applyBorder="1" applyProtection="1"/>
    <xf numFmtId="0" fontId="67" fillId="0" borderId="141" xfId="3" quotePrefix="1" applyNumberFormat="1" applyFont="1" applyBorder="1" applyAlignment="1" applyProtection="1">
      <alignment horizontal="left"/>
    </xf>
    <xf numFmtId="0" fontId="60" fillId="0" borderId="5" xfId="3" quotePrefix="1" applyNumberFormat="1" applyFont="1" applyBorder="1" applyAlignment="1" applyProtection="1">
      <alignment horizontal="left"/>
    </xf>
    <xf numFmtId="0" fontId="67" fillId="0" borderId="0" xfId="3" applyNumberFormat="1" applyFont="1" applyBorder="1" applyProtection="1"/>
    <xf numFmtId="0" fontId="67" fillId="0" borderId="40" xfId="3" applyNumberFormat="1" applyFont="1" applyBorder="1" applyProtection="1"/>
    <xf numFmtId="0" fontId="60" fillId="0" borderId="5" xfId="3" applyNumberFormat="1" applyFont="1" applyBorder="1" applyProtection="1"/>
    <xf numFmtId="0" fontId="70" fillId="0" borderId="0" xfId="3" applyNumberFormat="1" applyFont="1" applyBorder="1" applyProtection="1"/>
    <xf numFmtId="0" fontId="60" fillId="0" borderId="140" xfId="3" applyNumberFormat="1" applyFont="1" applyBorder="1" applyProtection="1"/>
    <xf numFmtId="0" fontId="62" fillId="0" borderId="0" xfId="3" applyNumberFormat="1" applyFont="1" applyBorder="1" applyProtection="1"/>
    <xf numFmtId="0" fontId="59" fillId="0" borderId="0" xfId="3" applyNumberFormat="1" applyFont="1" applyAlignment="1" applyProtection="1">
      <alignment horizontal="left"/>
    </xf>
    <xf numFmtId="0" fontId="70" fillId="0" borderId="0" xfId="3" applyNumberFormat="1" applyFont="1" applyAlignment="1" applyProtection="1">
      <alignment horizontal="left"/>
    </xf>
    <xf numFmtId="0" fontId="62" fillId="0" borderId="1" xfId="3" applyNumberFormat="1" applyFont="1" applyBorder="1" applyAlignment="1" applyProtection="1">
      <alignment horizontal="center" vertical="center"/>
      <protection locked="0"/>
    </xf>
    <xf numFmtId="0" fontId="60" fillId="0" borderId="0" xfId="3" applyNumberFormat="1" applyFont="1" applyBorder="1" applyAlignment="1" applyProtection="1">
      <alignment vertical="center"/>
    </xf>
    <xf numFmtId="0" fontId="67" fillId="0" borderId="0" xfId="3" applyNumberFormat="1" applyFont="1" applyBorder="1" applyAlignment="1" applyProtection="1">
      <alignment horizontal="center"/>
    </xf>
    <xf numFmtId="0" fontId="76" fillId="0" borderId="0" xfId="3" applyNumberFormat="1" applyFont="1" applyAlignment="1" applyProtection="1">
      <alignment vertical="center"/>
    </xf>
    <xf numFmtId="0" fontId="69" fillId="0" borderId="0" xfId="3" applyNumberFormat="1" applyFont="1" applyBorder="1" applyProtection="1"/>
    <xf numFmtId="0" fontId="60" fillId="0" borderId="0" xfId="3" applyNumberFormat="1" applyFont="1" applyAlignment="1" applyProtection="1">
      <alignment vertical="center"/>
    </xf>
    <xf numFmtId="0" fontId="69" fillId="0" borderId="0" xfId="3" applyNumberFormat="1" applyFont="1" applyProtection="1"/>
    <xf numFmtId="0" fontId="70" fillId="0" borderId="0" xfId="3" applyNumberFormat="1" applyFont="1" applyProtection="1"/>
    <xf numFmtId="0" fontId="60" fillId="0" borderId="0" xfId="3" applyNumberFormat="1" applyFont="1" applyBorder="1" applyProtection="1"/>
    <xf numFmtId="0" fontId="60" fillId="0" borderId="0" xfId="3" applyNumberFormat="1" applyFont="1" applyProtection="1"/>
    <xf numFmtId="0" fontId="67" fillId="0" borderId="0" xfId="3" quotePrefix="1" applyNumberFormat="1" applyFont="1" applyAlignment="1" applyProtection="1">
      <alignment horizontal="left"/>
    </xf>
    <xf numFmtId="0" fontId="60" fillId="0" borderId="0" xfId="3" applyFont="1"/>
    <xf numFmtId="0" fontId="59" fillId="0" borderId="0" xfId="3" applyFont="1" applyAlignment="1">
      <alignment horizontal="center" vertical="center"/>
    </xf>
    <xf numFmtId="0" fontId="62" fillId="0" borderId="0" xfId="3" applyFont="1" applyAlignment="1">
      <alignment horizontal="center" vertical="center"/>
    </xf>
    <xf numFmtId="164" fontId="67" fillId="0" borderId="0" xfId="3" applyNumberFormat="1" applyFont="1"/>
    <xf numFmtId="0" fontId="69" fillId="0" borderId="0" xfId="3" applyFont="1"/>
    <xf numFmtId="164" fontId="69" fillId="0" borderId="0" xfId="3" applyNumberFormat="1" applyFont="1" applyAlignment="1">
      <alignment horizontal="right"/>
    </xf>
    <xf numFmtId="49" fontId="67" fillId="0" borderId="0" xfId="3" applyNumberFormat="1" applyFont="1"/>
    <xf numFmtId="0" fontId="67" fillId="0" borderId="0" xfId="3" applyFont="1"/>
    <xf numFmtId="0" fontId="73" fillId="0" borderId="0" xfId="3" applyFont="1"/>
    <xf numFmtId="164" fontId="73" fillId="0" borderId="0" xfId="3" applyNumberFormat="1" applyFont="1" applyAlignment="1">
      <alignment horizontal="right"/>
    </xf>
    <xf numFmtId="0" fontId="69" fillId="0" borderId="22" xfId="3" applyFont="1" applyBorder="1" applyAlignment="1" applyProtection="1">
      <alignment horizontal="center"/>
      <protection locked="0"/>
    </xf>
    <xf numFmtId="164" fontId="67" fillId="0" borderId="0" xfId="3" applyNumberFormat="1" applyFont="1" applyBorder="1" applyAlignment="1">
      <alignment horizontal="right"/>
    </xf>
    <xf numFmtId="49" fontId="73" fillId="0" borderId="0" xfId="3" applyNumberFormat="1" applyFont="1" applyAlignment="1"/>
    <xf numFmtId="0" fontId="67" fillId="0" borderId="0" xfId="3" applyFont="1" applyAlignment="1"/>
    <xf numFmtId="0" fontId="69" fillId="0" borderId="144" xfId="3" applyFont="1" applyBorder="1" applyAlignment="1" applyProtection="1">
      <alignment horizontal="center"/>
      <protection locked="0"/>
    </xf>
    <xf numFmtId="49" fontId="67" fillId="0" borderId="0" xfId="3" applyNumberFormat="1" applyFont="1" applyAlignment="1"/>
    <xf numFmtId="0" fontId="67" fillId="0" borderId="0" xfId="3" applyFont="1" applyAlignment="1">
      <alignment horizontal="center"/>
    </xf>
    <xf numFmtId="164" fontId="67" fillId="0" borderId="0" xfId="3" applyNumberFormat="1" applyFont="1" applyAlignment="1">
      <alignment horizontal="right"/>
    </xf>
    <xf numFmtId="49" fontId="69" fillId="0" borderId="0" xfId="3" applyNumberFormat="1" applyFont="1" applyAlignment="1"/>
    <xf numFmtId="49" fontId="67" fillId="0" borderId="0" xfId="3" applyNumberFormat="1" applyFont="1" applyFill="1" applyAlignment="1"/>
    <xf numFmtId="49" fontId="67" fillId="0" borderId="0" xfId="3" applyNumberFormat="1" applyFont="1" applyFill="1" applyBorder="1" applyAlignment="1"/>
    <xf numFmtId="49" fontId="122" fillId="0" borderId="0" xfId="15" applyNumberFormat="1" applyFont="1"/>
    <xf numFmtId="49" fontId="67" fillId="0" borderId="0" xfId="3" applyNumberFormat="1" applyFont="1" applyFill="1" applyBorder="1"/>
    <xf numFmtId="0" fontId="67" fillId="0" borderId="0" xfId="3" applyFont="1" applyBorder="1" applyAlignment="1">
      <alignment horizontal="center"/>
    </xf>
    <xf numFmtId="0" fontId="103" fillId="0" borderId="0" xfId="3" applyFont="1" applyAlignment="1">
      <alignment horizontal="center"/>
    </xf>
    <xf numFmtId="164" fontId="103" fillId="0" borderId="0" xfId="3" applyNumberFormat="1" applyFont="1" applyAlignment="1">
      <alignment horizontal="right"/>
    </xf>
    <xf numFmtId="0" fontId="73" fillId="0" borderId="22" xfId="3" applyFont="1" applyBorder="1" applyAlignment="1" applyProtection="1">
      <alignment horizontal="center"/>
      <protection locked="0"/>
    </xf>
    <xf numFmtId="0" fontId="103" fillId="0" borderId="0" xfId="3" applyFont="1" applyBorder="1" applyAlignment="1">
      <alignment horizontal="center"/>
    </xf>
    <xf numFmtId="0" fontId="67" fillId="0" borderId="0" xfId="16" applyFont="1" applyFill="1" applyBorder="1" applyAlignment="1">
      <alignment horizontal="left"/>
    </xf>
    <xf numFmtId="164" fontId="69" fillId="0" borderId="22" xfId="3" applyNumberFormat="1" applyFont="1" applyBorder="1" applyAlignment="1" applyProtection="1">
      <alignment horizontal="center" vertical="center"/>
      <protection locked="0"/>
    </xf>
    <xf numFmtId="49" fontId="61" fillId="0" borderId="0" xfId="2" applyNumberFormat="1" applyFont="1" applyAlignment="1" applyProtection="1">
      <alignment horizontal="left" indent="2"/>
    </xf>
    <xf numFmtId="49" fontId="67" fillId="0" borderId="0" xfId="3" applyNumberFormat="1" applyFont="1" applyFill="1"/>
    <xf numFmtId="49" fontId="69" fillId="0" borderId="0" xfId="3" applyNumberFormat="1" applyFont="1" applyFill="1" applyBorder="1"/>
    <xf numFmtId="49" fontId="69" fillId="0" borderId="0" xfId="3" applyNumberFormat="1" applyFont="1"/>
    <xf numFmtId="49" fontId="73" fillId="0" borderId="0" xfId="3" applyNumberFormat="1" applyFont="1"/>
    <xf numFmtId="0" fontId="67" fillId="0" borderId="0" xfId="3" applyFont="1" applyBorder="1" applyAlignment="1" applyProtection="1">
      <alignment horizontal="center"/>
    </xf>
    <xf numFmtId="49" fontId="73" fillId="0" borderId="0" xfId="3" applyNumberFormat="1" applyFont="1" applyFill="1" applyBorder="1"/>
    <xf numFmtId="49" fontId="123" fillId="0" borderId="0" xfId="3" applyNumberFormat="1" applyFont="1" applyFill="1" applyBorder="1"/>
    <xf numFmtId="49" fontId="73" fillId="0" borderId="0" xfId="3" applyNumberFormat="1" applyFont="1" applyAlignment="1">
      <alignment vertical="top"/>
    </xf>
    <xf numFmtId="0" fontId="67" fillId="0" borderId="141" xfId="3" applyFont="1" applyBorder="1" applyAlignment="1" applyProtection="1">
      <alignment horizontal="center"/>
    </xf>
    <xf numFmtId="49" fontId="67" fillId="0" borderId="0" xfId="3" applyNumberFormat="1" applyFont="1" applyAlignment="1">
      <alignment vertical="top"/>
    </xf>
    <xf numFmtId="0" fontId="69" fillId="0" borderId="9" xfId="3" applyFont="1" applyBorder="1" applyAlignment="1" applyProtection="1">
      <alignment horizontal="center"/>
      <protection locked="0"/>
    </xf>
    <xf numFmtId="0" fontId="67" fillId="0" borderId="0" xfId="3" applyFont="1" applyBorder="1" applyProtection="1"/>
    <xf numFmtId="0" fontId="62" fillId="0" borderId="0" xfId="3" applyFont="1" applyAlignment="1" applyProtection="1">
      <alignment horizontal="center"/>
    </xf>
    <xf numFmtId="42" fontId="62" fillId="0" borderId="0" xfId="3" applyNumberFormat="1" applyFont="1" applyProtection="1"/>
    <xf numFmtId="0" fontId="70" fillId="0" borderId="0" xfId="3" applyFont="1" applyProtection="1"/>
    <xf numFmtId="0" fontId="62" fillId="0" borderId="0" xfId="13" applyFont="1" applyBorder="1" applyProtection="1"/>
    <xf numFmtId="0" fontId="62" fillId="0" borderId="0" xfId="13" applyFont="1" applyBorder="1" applyAlignment="1" applyProtection="1">
      <alignment horizontal="center"/>
    </xf>
    <xf numFmtId="42" fontId="62" fillId="2" borderId="9" xfId="3" applyNumberFormat="1" applyFont="1" applyFill="1" applyBorder="1" applyProtection="1"/>
    <xf numFmtId="41" fontId="62" fillId="2" borderId="9" xfId="3" applyNumberFormat="1" applyFont="1" applyFill="1" applyBorder="1" applyProtection="1"/>
    <xf numFmtId="0" fontId="70" fillId="0" borderId="0" xfId="3" applyFont="1" applyAlignment="1" applyProtection="1">
      <alignment horizontal="left" indent="2"/>
    </xf>
    <xf numFmtId="42" fontId="62" fillId="2" borderId="47" xfId="3" applyNumberFormat="1" applyFont="1" applyFill="1" applyBorder="1" applyProtection="1"/>
    <xf numFmtId="0" fontId="80" fillId="0" borderId="0" xfId="3" applyFont="1" applyProtection="1"/>
    <xf numFmtId="42" fontId="62" fillId="0" borderId="69" xfId="3" applyNumberFormat="1" applyFont="1" applyBorder="1" applyProtection="1">
      <protection locked="0"/>
    </xf>
    <xf numFmtId="42" fontId="62" fillId="0" borderId="0" xfId="3" applyNumberFormat="1" applyFont="1" applyFill="1" applyProtection="1"/>
    <xf numFmtId="42" fontId="62" fillId="0" borderId="9" xfId="3" applyNumberFormat="1" applyFont="1" applyBorder="1" applyProtection="1">
      <protection locked="0"/>
    </xf>
    <xf numFmtId="42" fontId="62" fillId="0" borderId="68" xfId="3" applyNumberFormat="1" applyFont="1" applyBorder="1" applyProtection="1">
      <protection locked="0"/>
    </xf>
    <xf numFmtId="0" fontId="62" fillId="0" borderId="0" xfId="3" applyFont="1" applyAlignment="1" applyProtection="1">
      <alignment horizontal="right"/>
    </xf>
    <xf numFmtId="42" fontId="62" fillId="2" borderId="125" xfId="3" applyNumberFormat="1" applyFont="1" applyFill="1" applyBorder="1" applyProtection="1"/>
    <xf numFmtId="0" fontId="70" fillId="0" borderId="0" xfId="3" applyFont="1" applyAlignment="1" applyProtection="1">
      <alignment horizontal="center" vertical="center"/>
    </xf>
    <xf numFmtId="165" fontId="70" fillId="0" borderId="0" xfId="3" applyNumberFormat="1" applyFont="1" applyAlignment="1" applyProtection="1">
      <alignment vertical="center"/>
    </xf>
    <xf numFmtId="0" fontId="59" fillId="0" borderId="0" xfId="3" applyFont="1" applyProtection="1"/>
    <xf numFmtId="0" fontId="59" fillId="0" borderId="0" xfId="3" applyFont="1" applyFill="1" applyProtection="1"/>
    <xf numFmtId="0" fontId="62" fillId="0" borderId="0" xfId="3" applyFont="1" applyFill="1" applyProtection="1"/>
    <xf numFmtId="169" fontId="60" fillId="0" borderId="0" xfId="3" applyNumberFormat="1" applyFont="1" applyFill="1" applyProtection="1"/>
    <xf numFmtId="0" fontId="60" fillId="0" borderId="0" xfId="3" applyFont="1" applyFill="1" applyProtection="1"/>
    <xf numFmtId="0" fontId="62" fillId="0" borderId="9" xfId="3" applyFont="1" applyFill="1" applyBorder="1" applyAlignment="1" applyProtection="1">
      <alignment horizontal="center" vertical="center"/>
      <protection locked="0"/>
    </xf>
    <xf numFmtId="0" fontId="60" fillId="0" borderId="0" xfId="3" applyFont="1" applyProtection="1"/>
    <xf numFmtId="0" fontId="60" fillId="0" borderId="143" xfId="3" applyFont="1" applyBorder="1" applyProtection="1"/>
    <xf numFmtId="0" fontId="60" fillId="0" borderId="144" xfId="3" applyFont="1" applyBorder="1" applyProtection="1">
      <protection locked="0"/>
    </xf>
    <xf numFmtId="0" fontId="60" fillId="0" borderId="143" xfId="3" applyFont="1" applyBorder="1" applyAlignment="1" applyProtection="1">
      <alignment horizontal="center"/>
      <protection locked="0"/>
    </xf>
    <xf numFmtId="0" fontId="70" fillId="0" borderId="0" xfId="3" applyFont="1" applyAlignment="1" applyProtection="1">
      <alignment horizontal="center"/>
    </xf>
    <xf numFmtId="0" fontId="59" fillId="0" borderId="0" xfId="3" applyFont="1" applyBorder="1" applyProtection="1"/>
    <xf numFmtId="5" fontId="60" fillId="0" borderId="78" xfId="3" applyNumberFormat="1" applyFont="1" applyBorder="1" applyAlignment="1" applyProtection="1">
      <protection locked="0"/>
    </xf>
    <xf numFmtId="5" fontId="60" fillId="0" borderId="76" xfId="3" applyNumberFormat="1" applyFont="1" applyBorder="1" applyAlignment="1" applyProtection="1">
      <protection locked="0"/>
    </xf>
    <xf numFmtId="5" fontId="70" fillId="0" borderId="0" xfId="3" applyNumberFormat="1" applyFont="1" applyAlignment="1" applyProtection="1"/>
    <xf numFmtId="0" fontId="70" fillId="0" borderId="0" xfId="3" applyFont="1" applyAlignment="1" applyProtection="1"/>
    <xf numFmtId="5" fontId="60" fillId="0" borderId="78" xfId="3" applyNumberFormat="1" applyFont="1" applyBorder="1" applyAlignment="1" applyProtection="1">
      <alignment horizontal="center"/>
      <protection locked="0"/>
    </xf>
    <xf numFmtId="5" fontId="60" fillId="0" borderId="76" xfId="3" applyNumberFormat="1" applyFont="1" applyBorder="1" applyAlignment="1" applyProtection="1">
      <alignment horizontal="center"/>
      <protection locked="0"/>
    </xf>
    <xf numFmtId="0" fontId="70" fillId="0" borderId="0" xfId="3" applyFont="1" applyBorder="1" applyProtection="1"/>
    <xf numFmtId="0" fontId="67" fillId="0" borderId="0" xfId="3" applyFont="1" applyAlignment="1" applyProtection="1">
      <alignment vertical="top"/>
    </xf>
    <xf numFmtId="0" fontId="67" fillId="0" borderId="78" xfId="3" applyFont="1" applyBorder="1" applyAlignment="1" applyProtection="1">
      <alignment vertical="top"/>
    </xf>
    <xf numFmtId="0" fontId="62" fillId="0" borderId="78" xfId="3" applyFont="1" applyBorder="1" applyProtection="1"/>
    <xf numFmtId="0" fontId="67" fillId="0" borderId="0" xfId="3" applyFont="1" applyBorder="1" applyAlignment="1" applyProtection="1">
      <alignment vertical="top"/>
    </xf>
    <xf numFmtId="0" fontId="124" fillId="0" borderId="0" xfId="3" applyFont="1" applyAlignment="1" applyProtection="1">
      <alignment vertical="top"/>
    </xf>
    <xf numFmtId="0" fontId="67" fillId="0" borderId="0" xfId="3" applyFont="1" applyProtection="1"/>
    <xf numFmtId="0" fontId="124" fillId="0" borderId="0" xfId="3" applyFont="1" applyAlignment="1" applyProtection="1">
      <alignment horizontal="right" vertical="top"/>
    </xf>
    <xf numFmtId="0" fontId="77" fillId="0" borderId="0" xfId="3" applyFont="1" applyAlignment="1" applyProtection="1">
      <alignment horizontal="center" vertical="center"/>
    </xf>
    <xf numFmtId="0" fontId="62" fillId="0" borderId="45" xfId="3" applyFont="1" applyBorder="1" applyProtection="1"/>
    <xf numFmtId="169" fontId="69" fillId="0" borderId="45" xfId="3" applyNumberFormat="1" applyFont="1" applyBorder="1" applyAlignment="1" applyProtection="1">
      <alignment horizontal="center"/>
    </xf>
    <xf numFmtId="1" fontId="69" fillId="0" borderId="142" xfId="3" applyNumberFormat="1" applyFont="1" applyBorder="1" applyAlignment="1" applyProtection="1">
      <alignment horizontal="center"/>
    </xf>
    <xf numFmtId="0" fontId="69" fillId="0" borderId="141" xfId="3" applyFont="1" applyBorder="1" applyAlignment="1" applyProtection="1">
      <alignment horizontal="centerContinuous"/>
    </xf>
    <xf numFmtId="0" fontId="69" fillId="0" borderId="142" xfId="3" applyFont="1" applyBorder="1" applyAlignment="1" applyProtection="1">
      <alignment horizontal="centerContinuous"/>
    </xf>
    <xf numFmtId="0" fontId="69" fillId="0" borderId="73" xfId="3" applyFont="1" applyBorder="1" applyAlignment="1" applyProtection="1">
      <alignment horizontal="centerContinuous"/>
    </xf>
    <xf numFmtId="0" fontId="69" fillId="0" borderId="45" xfId="3" applyFont="1" applyBorder="1" applyAlignment="1" applyProtection="1">
      <alignment horizontal="center"/>
    </xf>
    <xf numFmtId="0" fontId="69" fillId="5" borderId="45" xfId="3" applyFont="1" applyFill="1" applyBorder="1" applyAlignment="1" applyProtection="1">
      <alignment horizontal="center"/>
    </xf>
    <xf numFmtId="0" fontId="69" fillId="5" borderId="142" xfId="3" applyFont="1" applyFill="1" applyBorder="1" applyAlignment="1" applyProtection="1">
      <alignment horizontal="center"/>
    </xf>
    <xf numFmtId="0" fontId="69" fillId="0" borderId="5" xfId="3" applyFont="1" applyBorder="1" applyAlignment="1" applyProtection="1">
      <alignment horizontal="left"/>
    </xf>
    <xf numFmtId="169" fontId="69" fillId="0" borderId="44" xfId="3" applyNumberFormat="1" applyFont="1" applyBorder="1" applyAlignment="1" applyProtection="1">
      <alignment horizontal="center"/>
    </xf>
    <xf numFmtId="1" fontId="69" fillId="0" borderId="40" xfId="3" applyNumberFormat="1" applyFont="1" applyBorder="1" applyAlignment="1" applyProtection="1">
      <alignment horizontal="center"/>
    </xf>
    <xf numFmtId="0" fontId="69" fillId="0" borderId="0" xfId="3" applyFont="1" applyBorder="1" applyAlignment="1" applyProtection="1">
      <alignment horizontal="centerContinuous"/>
    </xf>
    <xf numFmtId="0" fontId="69" fillId="0" borderId="40" xfId="3" applyFont="1" applyBorder="1" applyAlignment="1" applyProtection="1">
      <alignment horizontal="centerContinuous"/>
    </xf>
    <xf numFmtId="0" fontId="69" fillId="20" borderId="72" xfId="3" applyFont="1" applyFill="1" applyBorder="1" applyAlignment="1" applyProtection="1">
      <alignment horizontal="center"/>
    </xf>
    <xf numFmtId="0" fontId="69" fillId="21" borderId="72" xfId="3" applyFont="1" applyFill="1" applyBorder="1" applyAlignment="1" applyProtection="1">
      <alignment horizontal="center"/>
    </xf>
    <xf numFmtId="0" fontId="69" fillId="0" borderId="72" xfId="3" applyFont="1" applyBorder="1" applyAlignment="1" applyProtection="1">
      <alignment horizontal="center"/>
    </xf>
    <xf numFmtId="0" fontId="69" fillId="5" borderId="72" xfId="3" applyFont="1" applyFill="1" applyBorder="1" applyAlignment="1" applyProtection="1">
      <alignment horizontal="center"/>
    </xf>
    <xf numFmtId="0" fontId="69" fillId="5" borderId="40" xfId="3" applyFont="1" applyFill="1" applyBorder="1" applyAlignment="1" applyProtection="1">
      <alignment horizontal="center"/>
    </xf>
    <xf numFmtId="0" fontId="69" fillId="0" borderId="44" xfId="3" applyFont="1" applyBorder="1" applyAlignment="1" applyProtection="1">
      <alignment horizontal="center"/>
    </xf>
    <xf numFmtId="0" fontId="69" fillId="0" borderId="40" xfId="3" applyFont="1" applyBorder="1" applyAlignment="1" applyProtection="1">
      <alignment horizontal="center"/>
    </xf>
    <xf numFmtId="0" fontId="69" fillId="0" borderId="5" xfId="3" applyFont="1" applyBorder="1" applyAlignment="1" applyProtection="1">
      <alignment horizontal="center"/>
    </xf>
    <xf numFmtId="0" fontId="69" fillId="0" borderId="71" xfId="3" applyFont="1" applyBorder="1" applyAlignment="1" applyProtection="1"/>
    <xf numFmtId="0" fontId="69" fillId="5" borderId="72" xfId="3" quotePrefix="1" applyFont="1" applyFill="1" applyBorder="1" applyAlignment="1" applyProtection="1">
      <alignment horizontal="center"/>
    </xf>
    <xf numFmtId="169" fontId="69" fillId="0" borderId="8" xfId="3" applyNumberFormat="1" applyFont="1" applyBorder="1" applyAlignment="1" applyProtection="1">
      <alignment horizontal="center"/>
    </xf>
    <xf numFmtId="1" fontId="69" fillId="0" borderId="59" xfId="3" applyNumberFormat="1" applyFont="1" applyBorder="1" applyAlignment="1" applyProtection="1">
      <alignment horizontal="center"/>
    </xf>
    <xf numFmtId="0" fontId="69" fillId="0" borderId="8" xfId="3" applyFont="1" applyBorder="1" applyAlignment="1" applyProtection="1">
      <alignment horizontal="center"/>
    </xf>
    <xf numFmtId="0" fontId="69" fillId="0" borderId="59" xfId="3" applyFont="1" applyBorder="1" applyAlignment="1" applyProtection="1">
      <alignment horizontal="center"/>
    </xf>
    <xf numFmtId="0" fontId="69" fillId="0" borderId="50" xfId="3" applyFont="1" applyBorder="1" applyAlignment="1" applyProtection="1">
      <alignment horizontal="center"/>
    </xf>
    <xf numFmtId="0" fontId="69" fillId="20" borderId="70" xfId="3" applyFont="1" applyFill="1" applyBorder="1" applyAlignment="1" applyProtection="1">
      <alignment horizontal="center"/>
    </xf>
    <xf numFmtId="0" fontId="69" fillId="5" borderId="70" xfId="3" applyFont="1" applyFill="1" applyBorder="1" applyAlignment="1" applyProtection="1">
      <alignment horizontal="center"/>
    </xf>
    <xf numFmtId="0" fontId="69" fillId="21" borderId="70" xfId="3" applyFont="1" applyFill="1" applyBorder="1" applyAlignment="1" applyProtection="1">
      <alignment horizontal="center"/>
    </xf>
    <xf numFmtId="0" fontId="69" fillId="0" borderId="70" xfId="3" applyFont="1" applyBorder="1" applyAlignment="1" applyProtection="1">
      <alignment horizontal="center"/>
    </xf>
    <xf numFmtId="0" fontId="69" fillId="5" borderId="59" xfId="3" applyFont="1" applyFill="1" applyBorder="1" applyAlignment="1" applyProtection="1">
      <alignment horizontal="center"/>
    </xf>
    <xf numFmtId="3" fontId="67" fillId="0" borderId="22" xfId="3" applyNumberFormat="1" applyFont="1" applyBorder="1" applyAlignment="1" applyProtection="1">
      <alignment horizontal="left" vertical="center" wrapText="1"/>
      <protection locked="0"/>
    </xf>
    <xf numFmtId="169" fontId="67" fillId="0" borderId="8" xfId="3" applyNumberFormat="1" applyFont="1" applyBorder="1" applyAlignment="1" applyProtection="1">
      <alignment horizontal="center"/>
      <protection locked="0"/>
    </xf>
    <xf numFmtId="1" fontId="67" fillId="0" borderId="8" xfId="3" applyNumberFormat="1" applyFont="1" applyBorder="1" applyAlignment="1" applyProtection="1">
      <alignment horizontal="center"/>
      <protection locked="0"/>
    </xf>
    <xf numFmtId="3" fontId="67" fillId="0" borderId="8" xfId="3" applyNumberFormat="1" applyFont="1" applyBorder="1" applyAlignment="1" applyProtection="1">
      <alignment horizontal="center"/>
      <protection locked="0"/>
    </xf>
    <xf numFmtId="169" fontId="67" fillId="0" borderId="22" xfId="3" applyNumberFormat="1" applyFont="1" applyBorder="1" applyAlignment="1" applyProtection="1">
      <alignment horizontal="center"/>
      <protection locked="0"/>
    </xf>
    <xf numFmtId="1" fontId="67" fillId="0" borderId="22" xfId="3" applyNumberFormat="1" applyFont="1" applyBorder="1" applyAlignment="1" applyProtection="1">
      <alignment horizontal="center"/>
      <protection locked="0"/>
    </xf>
    <xf numFmtId="3" fontId="67" fillId="0" borderId="22" xfId="3" applyNumberFormat="1" applyFont="1" applyBorder="1" applyAlignment="1" applyProtection="1">
      <alignment horizontal="center"/>
      <protection locked="0"/>
    </xf>
    <xf numFmtId="0" fontId="62" fillId="0" borderId="0" xfId="3" applyFont="1" applyAlignment="1" applyProtection="1">
      <alignment textRotation="180" wrapText="1"/>
    </xf>
    <xf numFmtId="3" fontId="67" fillId="0" borderId="0" xfId="3" applyNumberFormat="1" applyFont="1" applyBorder="1" applyAlignment="1" applyProtection="1">
      <alignment horizontal="left" vertical="center" wrapText="1"/>
      <protection locked="0"/>
    </xf>
    <xf numFmtId="169" fontId="67" fillId="0" borderId="0" xfId="3" applyNumberFormat="1" applyFont="1" applyBorder="1" applyAlignment="1" applyProtection="1">
      <alignment horizontal="center"/>
      <protection locked="0"/>
    </xf>
    <xf numFmtId="1" fontId="67" fillId="0" borderId="0" xfId="3" applyNumberFormat="1" applyFont="1" applyBorder="1" applyAlignment="1" applyProtection="1">
      <alignment horizontal="center"/>
      <protection locked="0"/>
    </xf>
    <xf numFmtId="3" fontId="67" fillId="0" borderId="0" xfId="3" applyNumberFormat="1" applyFont="1" applyBorder="1" applyAlignment="1" applyProtection="1">
      <alignment horizontal="center"/>
      <protection locked="0"/>
    </xf>
    <xf numFmtId="169" fontId="67" fillId="0" borderId="0" xfId="3" applyNumberFormat="1" applyFont="1" applyBorder="1" applyProtection="1"/>
    <xf numFmtId="1" fontId="67" fillId="0" borderId="0" xfId="3" applyNumberFormat="1" applyFont="1" applyBorder="1" applyProtection="1"/>
    <xf numFmtId="0" fontId="59" fillId="20" borderId="0" xfId="3" applyFont="1" applyFill="1" applyProtection="1"/>
    <xf numFmtId="169" fontId="62" fillId="20" borderId="0" xfId="3" applyNumberFormat="1" applyFont="1" applyFill="1" applyProtection="1"/>
    <xf numFmtId="1" fontId="62" fillId="20" borderId="0" xfId="3" applyNumberFormat="1" applyFont="1" applyFill="1" applyProtection="1"/>
    <xf numFmtId="0" fontId="62" fillId="20" borderId="0" xfId="3" applyFont="1" applyFill="1" applyProtection="1"/>
    <xf numFmtId="169" fontId="62" fillId="0" borderId="0" xfId="3" applyNumberFormat="1" applyFont="1" applyFill="1" applyProtection="1"/>
    <xf numFmtId="1" fontId="62" fillId="0" borderId="0" xfId="3" applyNumberFormat="1" applyFont="1" applyFill="1" applyProtection="1"/>
    <xf numFmtId="169" fontId="62" fillId="0" borderId="0" xfId="3" applyNumberFormat="1" applyFont="1" applyProtection="1"/>
    <xf numFmtId="1" fontId="62" fillId="0" borderId="0" xfId="3" applyNumberFormat="1" applyFont="1" applyProtection="1"/>
    <xf numFmtId="0" fontId="59" fillId="0" borderId="78" xfId="3" applyFont="1" applyBorder="1" applyProtection="1"/>
    <xf numFmtId="169" fontId="62" fillId="0" borderId="78" xfId="3" applyNumberFormat="1" applyFont="1" applyBorder="1" applyProtection="1"/>
    <xf numFmtId="1" fontId="62" fillId="0" borderId="78" xfId="3" applyNumberFormat="1" applyFont="1" applyBorder="1" applyProtection="1"/>
    <xf numFmtId="0" fontId="62" fillId="0" borderId="78" xfId="3" applyFont="1" applyBorder="1" applyAlignment="1" applyProtection="1">
      <alignment horizontal="center"/>
    </xf>
    <xf numFmtId="0" fontId="124" fillId="0" borderId="0" xfId="3" applyFont="1" applyAlignment="1" applyProtection="1">
      <alignment horizontal="left" wrapText="1"/>
    </xf>
    <xf numFmtId="0" fontId="124" fillId="0" borderId="0" xfId="3" applyFont="1" applyAlignment="1" applyProtection="1"/>
    <xf numFmtId="0" fontId="124" fillId="0" borderId="0" xfId="3" applyFont="1" applyAlignment="1" applyProtection="1">
      <alignment wrapText="1"/>
    </xf>
    <xf numFmtId="0" fontId="67" fillId="0" borderId="0" xfId="3" applyFont="1" applyAlignment="1" applyProtection="1">
      <alignment horizontal="left" wrapText="1"/>
    </xf>
    <xf numFmtId="0" fontId="67" fillId="0" borderId="0" xfId="3" applyFont="1" applyAlignment="1" applyProtection="1">
      <alignment horizontal="left"/>
    </xf>
    <xf numFmtId="169" fontId="67" fillId="0" borderId="0" xfId="3" applyNumberFormat="1" applyFont="1" applyProtection="1"/>
    <xf numFmtId="1" fontId="67" fillId="0" borderId="0" xfId="3" applyNumberFormat="1" applyFont="1" applyProtection="1"/>
    <xf numFmtId="0" fontId="67" fillId="0" borderId="0" xfId="3" applyFont="1" applyAlignment="1" applyProtection="1">
      <alignment horizontal="center"/>
    </xf>
    <xf numFmtId="0" fontId="124" fillId="0" borderId="0" xfId="3" applyFont="1" applyAlignment="1" applyProtection="1">
      <alignment vertical="center"/>
    </xf>
    <xf numFmtId="0" fontId="125" fillId="0" borderId="0" xfId="3" applyFont="1" applyFill="1" applyProtection="1"/>
    <xf numFmtId="0" fontId="70" fillId="0" borderId="0" xfId="3" applyFont="1" applyAlignment="1" applyProtection="1">
      <alignment vertical="center"/>
    </xf>
    <xf numFmtId="49" fontId="70" fillId="0" borderId="0" xfId="3" applyNumberFormat="1" applyFont="1" applyBorder="1" applyAlignment="1" applyProtection="1">
      <alignment horizontal="center" vertical="top"/>
    </xf>
    <xf numFmtId="165" fontId="59" fillId="0" borderId="0" xfId="3" applyNumberFormat="1" applyFont="1" applyBorder="1" applyAlignment="1" applyProtection="1">
      <alignment horizontal="center" vertical="center"/>
    </xf>
    <xf numFmtId="166" fontId="70" fillId="0" borderId="0" xfId="3" applyNumberFormat="1" applyFont="1" applyBorder="1" applyAlignment="1" applyProtection="1">
      <alignment horizontal="center" vertical="top"/>
    </xf>
    <xf numFmtId="0" fontId="59" fillId="0" borderId="0" xfId="3" applyFont="1" applyAlignment="1" applyProtection="1">
      <alignment horizontal="center" vertical="center"/>
    </xf>
    <xf numFmtId="0" fontId="70" fillId="0" borderId="141" xfId="3" applyFont="1" applyBorder="1" applyProtection="1"/>
    <xf numFmtId="0" fontId="62" fillId="0" borderId="141" xfId="3" applyFont="1" applyBorder="1" applyProtection="1"/>
    <xf numFmtId="0" fontId="62" fillId="0" borderId="141" xfId="3" applyFont="1" applyBorder="1" applyAlignment="1" applyProtection="1">
      <alignment horizontal="center"/>
    </xf>
    <xf numFmtId="0" fontId="62" fillId="0" borderId="0" xfId="3" applyFont="1" applyFill="1" applyBorder="1" applyProtection="1"/>
    <xf numFmtId="0" fontId="70" fillId="0" borderId="0" xfId="3" applyFont="1" applyFill="1" applyBorder="1" applyAlignment="1" applyProtection="1">
      <alignment horizontal="centerContinuous"/>
    </xf>
    <xf numFmtId="0" fontId="62" fillId="0" borderId="0" xfId="3" applyFont="1" applyBorder="1" applyAlignment="1" applyProtection="1">
      <alignment horizontal="center"/>
    </xf>
    <xf numFmtId="0" fontId="69" fillId="0" borderId="0" xfId="3" applyFont="1" applyBorder="1" applyProtection="1"/>
    <xf numFmtId="0" fontId="70" fillId="0" borderId="0" xfId="3" applyFont="1" applyBorder="1" applyAlignment="1" applyProtection="1">
      <alignment horizontal="right"/>
    </xf>
    <xf numFmtId="178" fontId="70" fillId="0" borderId="9" xfId="3" applyNumberFormat="1" applyFont="1" applyBorder="1" applyAlignment="1" applyProtection="1">
      <alignment horizontal="left"/>
      <protection locked="0"/>
    </xf>
    <xf numFmtId="0" fontId="69" fillId="0" borderId="0" xfId="3" applyFont="1" applyProtection="1"/>
    <xf numFmtId="0" fontId="62" fillId="0" borderId="22" xfId="3" applyFont="1" applyBorder="1" applyAlignment="1" applyProtection="1">
      <alignment horizontal="center" vertical="center"/>
      <protection locked="0"/>
    </xf>
    <xf numFmtId="0" fontId="62" fillId="0" borderId="0" xfId="3" applyFont="1" applyBorder="1" applyAlignment="1" applyProtection="1">
      <alignment horizontal="left" indent="1"/>
    </xf>
    <xf numFmtId="0" fontId="69" fillId="0" borderId="0" xfId="3" applyFont="1" applyBorder="1" applyAlignment="1" applyProtection="1">
      <alignment horizontal="left" indent="1"/>
    </xf>
    <xf numFmtId="0" fontId="69" fillId="0" borderId="0" xfId="3" applyFont="1" applyBorder="1" applyAlignment="1" applyProtection="1">
      <alignment horizontal="left"/>
    </xf>
    <xf numFmtId="0" fontId="62" fillId="0" borderId="9" xfId="3" applyFont="1" applyBorder="1" applyProtection="1">
      <protection locked="0"/>
    </xf>
    <xf numFmtId="0" fontId="69" fillId="0" borderId="141" xfId="3" quotePrefix="1" applyFont="1" applyBorder="1" applyAlignment="1" applyProtection="1">
      <alignment horizontal="left"/>
    </xf>
    <xf numFmtId="0" fontId="60" fillId="0" borderId="141" xfId="3" applyFont="1" applyBorder="1" applyProtection="1"/>
    <xf numFmtId="0" fontId="60" fillId="0" borderId="141" xfId="3" applyFont="1" applyBorder="1" applyAlignment="1" applyProtection="1">
      <alignment horizontal="center"/>
    </xf>
    <xf numFmtId="0" fontId="60" fillId="0" borderId="0" xfId="3" applyFont="1" applyFill="1" applyBorder="1" applyProtection="1"/>
    <xf numFmtId="0" fontId="62" fillId="0" borderId="0" xfId="3" applyFont="1" applyFill="1" applyBorder="1" applyAlignment="1" applyProtection="1"/>
    <xf numFmtId="0" fontId="62" fillId="0" borderId="0" xfId="3" applyFont="1" applyAlignment="1" applyProtection="1">
      <alignment horizontal="left"/>
    </xf>
    <xf numFmtId="0" fontId="62" fillId="0" borderId="0" xfId="3" applyFont="1" applyAlignment="1" applyProtection="1"/>
    <xf numFmtId="0" fontId="69" fillId="0" borderId="141" xfId="3" applyFont="1" applyBorder="1" applyProtection="1"/>
    <xf numFmtId="0" fontId="62" fillId="0" borderId="0" xfId="3" applyFont="1" applyBorder="1" applyAlignment="1" applyProtection="1">
      <alignment horizontal="left"/>
    </xf>
    <xf numFmtId="0" fontId="69" fillId="0" borderId="141" xfId="3" applyFont="1" applyBorder="1" applyAlignment="1" applyProtection="1">
      <alignment horizontal="left"/>
    </xf>
    <xf numFmtId="0" fontId="62" fillId="0" borderId="78" xfId="3" applyFont="1" applyFill="1" applyBorder="1" applyProtection="1"/>
    <xf numFmtId="0" fontId="62" fillId="0" borderId="78" xfId="3" applyFont="1" applyFill="1" applyBorder="1" applyAlignment="1" applyProtection="1">
      <alignment horizontal="center"/>
    </xf>
    <xf numFmtId="0" fontId="124" fillId="0" borderId="0" xfId="3" applyFont="1" applyBorder="1" applyProtection="1"/>
    <xf numFmtId="0" fontId="124" fillId="0" borderId="0" xfId="3" applyFont="1" applyProtection="1"/>
    <xf numFmtId="0" fontId="69" fillId="0" borderId="0" xfId="3" applyFont="1" applyAlignment="1" applyProtection="1">
      <alignment horizontal="center" vertical="top" textRotation="180"/>
    </xf>
    <xf numFmtId="0" fontId="69" fillId="0" borderId="0" xfId="3" applyFont="1" applyAlignment="1" applyProtection="1">
      <alignment horizontal="right" vertical="center" textRotation="180"/>
    </xf>
    <xf numFmtId="0" fontId="70" fillId="0" borderId="0" xfId="3" applyFont="1" applyAlignment="1" applyProtection="1">
      <alignment vertical="center" textRotation="180"/>
    </xf>
    <xf numFmtId="169" fontId="70" fillId="0" borderId="0" xfId="3" applyNumberFormat="1" applyFont="1" applyBorder="1" applyProtection="1"/>
    <xf numFmtId="169" fontId="62" fillId="0" borderId="141" xfId="3" applyNumberFormat="1" applyFont="1" applyBorder="1" applyProtection="1"/>
    <xf numFmtId="169" fontId="62" fillId="0" borderId="9" xfId="3" applyNumberFormat="1" applyFont="1" applyBorder="1" applyProtection="1"/>
    <xf numFmtId="0" fontId="62" fillId="0" borderId="9" xfId="3" applyFont="1" applyBorder="1" applyProtection="1"/>
    <xf numFmtId="0" fontId="62" fillId="0" borderId="9" xfId="3" applyFont="1" applyBorder="1" applyAlignment="1" applyProtection="1">
      <alignment horizontal="center"/>
    </xf>
    <xf numFmtId="169" fontId="62" fillId="0" borderId="0" xfId="3" applyNumberFormat="1" applyFont="1" applyBorder="1" applyProtection="1"/>
    <xf numFmtId="169" fontId="92" fillId="0" borderId="0" xfId="3" applyNumberFormat="1" applyFont="1" applyBorder="1" applyAlignment="1" applyProtection="1">
      <alignment horizontal="left"/>
    </xf>
    <xf numFmtId="0" fontId="84" fillId="0" borderId="0" xfId="3" applyFont="1" applyBorder="1" applyAlignment="1" applyProtection="1">
      <alignment horizontal="left"/>
    </xf>
    <xf numFmtId="0" fontId="62" fillId="0" borderId="0" xfId="3" applyFont="1" applyBorder="1" applyAlignment="1" applyProtection="1"/>
    <xf numFmtId="0" fontId="67" fillId="0" borderId="0" xfId="3" applyFont="1" applyBorder="1" applyAlignment="1" applyProtection="1">
      <alignment horizontal="centerContinuous"/>
    </xf>
    <xf numFmtId="0" fontId="62" fillId="0" borderId="0" xfId="3" applyFont="1" applyBorder="1" applyAlignment="1" applyProtection="1">
      <alignment horizontal="centerContinuous"/>
    </xf>
    <xf numFmtId="169" fontId="69" fillId="0" borderId="0" xfId="3" applyNumberFormat="1" applyFont="1" applyProtection="1"/>
    <xf numFmtId="169" fontId="67" fillId="0" borderId="0" xfId="3" applyNumberFormat="1" applyFont="1" applyAlignment="1" applyProtection="1">
      <alignment horizontal="left"/>
    </xf>
    <xf numFmtId="0" fontId="60" fillId="0" borderId="0" xfId="3" applyFont="1" applyAlignment="1" applyProtection="1">
      <alignment horizontal="left"/>
    </xf>
    <xf numFmtId="0" fontId="62" fillId="0" borderId="9" xfId="3" applyFont="1" applyBorder="1" applyAlignment="1" applyProtection="1">
      <alignment horizontal="center" vertical="center"/>
      <protection locked="0"/>
    </xf>
    <xf numFmtId="0" fontId="62" fillId="0" borderId="0" xfId="3" applyFont="1" applyBorder="1" applyAlignment="1" applyProtection="1">
      <alignment horizontal="center" vertical="center"/>
      <protection locked="0"/>
    </xf>
    <xf numFmtId="0" fontId="115" fillId="0" borderId="0" xfId="3" applyFont="1" applyBorder="1" applyAlignment="1" applyProtection="1">
      <alignment horizontal="left"/>
    </xf>
    <xf numFmtId="169" fontId="73" fillId="0" borderId="0" xfId="3" applyNumberFormat="1" applyFont="1" applyProtection="1"/>
    <xf numFmtId="0" fontId="64" fillId="0" borderId="0" xfId="3" applyFont="1" applyProtection="1"/>
    <xf numFmtId="169" fontId="67" fillId="0" borderId="146" xfId="3" applyNumberFormat="1" applyFont="1" applyBorder="1" applyAlignment="1" applyProtection="1">
      <alignment horizontal="center"/>
    </xf>
    <xf numFmtId="169" fontId="67" fillId="0" borderId="77" xfId="3" applyNumberFormat="1" applyFont="1" applyBorder="1" applyAlignment="1" applyProtection="1">
      <alignment horizontal="center"/>
      <protection locked="0"/>
    </xf>
    <xf numFmtId="169" fontId="127" fillId="0" borderId="0" xfId="3" applyNumberFormat="1" applyFont="1" applyProtection="1"/>
    <xf numFmtId="6" fontId="123" fillId="0" borderId="76" xfId="3" applyNumberFormat="1" applyFont="1" applyBorder="1" applyProtection="1"/>
    <xf numFmtId="6" fontId="123" fillId="0" borderId="0" xfId="3" applyNumberFormat="1" applyFont="1" applyBorder="1" applyProtection="1"/>
    <xf numFmtId="10" fontId="69" fillId="0" borderId="77" xfId="3" applyNumberFormat="1" applyFont="1" applyBorder="1" applyProtection="1"/>
    <xf numFmtId="6" fontId="67" fillId="0" borderId="0" xfId="3" applyNumberFormat="1" applyFont="1" applyProtection="1"/>
    <xf numFmtId="0" fontId="123" fillId="0" borderId="0" xfId="3" applyFont="1" applyProtection="1"/>
    <xf numFmtId="10" fontId="127" fillId="0" borderId="0" xfId="3" applyNumberFormat="1" applyFont="1" applyBorder="1" applyProtection="1"/>
    <xf numFmtId="2" fontId="80" fillId="0" borderId="78" xfId="3" applyNumberFormat="1" applyFont="1" applyBorder="1" applyProtection="1"/>
    <xf numFmtId="0" fontId="80" fillId="0" borderId="78" xfId="3" applyFont="1" applyBorder="1" applyAlignment="1" applyProtection="1">
      <alignment horizontal="center"/>
    </xf>
    <xf numFmtId="0" fontId="80" fillId="0" borderId="78" xfId="3" applyFont="1" applyBorder="1" applyProtection="1"/>
    <xf numFmtId="2" fontId="80" fillId="0" borderId="0" xfId="3" applyNumberFormat="1" applyFont="1" applyBorder="1" applyProtection="1"/>
    <xf numFmtId="0" fontId="80" fillId="0" borderId="0" xfId="3" applyFont="1" applyBorder="1" applyAlignment="1" applyProtection="1">
      <alignment horizontal="center"/>
    </xf>
    <xf numFmtId="0" fontId="80" fillId="0" borderId="0" xfId="3" applyFont="1" applyBorder="1" applyProtection="1"/>
    <xf numFmtId="0" fontId="67" fillId="0" borderId="0" xfId="3" applyFont="1" applyAlignment="1" applyProtection="1">
      <alignment horizontal="left" vertical="center"/>
    </xf>
    <xf numFmtId="169" fontId="124" fillId="0" borderId="0" xfId="3" applyNumberFormat="1" applyFont="1" applyBorder="1" applyAlignment="1" applyProtection="1">
      <alignment horizontal="left" vertical="center"/>
    </xf>
    <xf numFmtId="0" fontId="124" fillId="0" borderId="0" xfId="3" applyFont="1" applyBorder="1" applyAlignment="1" applyProtection="1">
      <alignment horizontal="left" vertical="center"/>
    </xf>
    <xf numFmtId="0" fontId="62" fillId="0" borderId="0" xfId="3" applyFont="1" applyAlignment="1" applyProtection="1">
      <alignment horizontal="left" vertical="center"/>
    </xf>
    <xf numFmtId="169" fontId="67" fillId="0" borderId="0" xfId="3" applyNumberFormat="1" applyFont="1" applyAlignment="1" applyProtection="1">
      <alignment horizontal="left" vertical="center"/>
    </xf>
    <xf numFmtId="169" fontId="124" fillId="0" borderId="0" xfId="3" applyNumberFormat="1" applyFont="1" applyAlignment="1" applyProtection="1">
      <alignment horizontal="left" vertical="center"/>
    </xf>
    <xf numFmtId="0" fontId="124" fillId="0" borderId="0" xfId="3" applyFont="1" applyAlignment="1" applyProtection="1">
      <alignment horizontal="left" vertical="center"/>
    </xf>
    <xf numFmtId="49" fontId="70" fillId="0" borderId="0" xfId="3" applyNumberFormat="1" applyFont="1" applyBorder="1" applyAlignment="1" applyProtection="1">
      <alignment horizontal="center" vertical="center"/>
    </xf>
    <xf numFmtId="166" fontId="70" fillId="0" borderId="0" xfId="3" applyNumberFormat="1" applyFont="1" applyBorder="1" applyAlignment="1" applyProtection="1">
      <alignment horizontal="center" vertical="center"/>
    </xf>
    <xf numFmtId="0" fontId="70" fillId="0" borderId="0" xfId="3" applyFont="1" applyAlignment="1" applyProtection="1">
      <alignment horizontal="right"/>
    </xf>
    <xf numFmtId="178" fontId="70" fillId="0" borderId="74" xfId="3" applyNumberFormat="1" applyFont="1" applyBorder="1" applyAlignment="1" applyProtection="1">
      <alignment horizontal="center"/>
      <protection locked="0"/>
    </xf>
    <xf numFmtId="0" fontId="62" fillId="0" borderId="22" xfId="3" applyFont="1" applyBorder="1" applyAlignment="1" applyProtection="1">
      <alignment horizontal="center"/>
      <protection locked="0"/>
    </xf>
    <xf numFmtId="0" fontId="67" fillId="0" borderId="0" xfId="3" applyFont="1" applyAlignment="1" applyProtection="1">
      <alignment horizontal="left" vertical="center" indent="1"/>
    </xf>
    <xf numFmtId="0" fontId="67" fillId="0" borderId="0" xfId="3" applyFont="1" applyAlignment="1" applyProtection="1">
      <alignment horizontal="left" indent="1"/>
    </xf>
    <xf numFmtId="0" fontId="67" fillId="0" borderId="0" xfId="3" applyFont="1" applyBorder="1" applyAlignment="1" applyProtection="1">
      <alignment horizontal="left"/>
    </xf>
    <xf numFmtId="0" fontId="62" fillId="0" borderId="74" xfId="3" applyFont="1" applyBorder="1" applyProtection="1">
      <protection locked="0"/>
    </xf>
    <xf numFmtId="0" fontId="70" fillId="0" borderId="9" xfId="3" applyFont="1" applyBorder="1" applyProtection="1"/>
    <xf numFmtId="0" fontId="69" fillId="0" borderId="0" xfId="3" applyFont="1" applyAlignment="1" applyProtection="1">
      <alignment horizontal="center"/>
    </xf>
    <xf numFmtId="0" fontId="70" fillId="0" borderId="0" xfId="3" applyFont="1" applyBorder="1" applyAlignment="1" applyProtection="1">
      <alignment horizontal="center"/>
    </xf>
    <xf numFmtId="0" fontId="69" fillId="0" borderId="0" xfId="3" quotePrefix="1" applyFont="1" applyBorder="1" applyAlignment="1" applyProtection="1">
      <alignment horizontal="left"/>
    </xf>
    <xf numFmtId="0" fontId="60" fillId="0" borderId="0" xfId="3" applyFont="1" applyBorder="1" applyAlignment="1" applyProtection="1">
      <alignment horizontal="center"/>
    </xf>
    <xf numFmtId="0" fontId="62" fillId="0" borderId="9" xfId="3" applyFont="1" applyBorder="1" applyAlignment="1" applyProtection="1">
      <alignment horizontal="left"/>
    </xf>
    <xf numFmtId="0" fontId="62" fillId="0" borderId="9" xfId="3" applyFont="1" applyBorder="1" applyAlignment="1" applyProtection="1"/>
    <xf numFmtId="170" fontId="62" fillId="0" borderId="9" xfId="3" applyNumberFormat="1" applyFont="1" applyBorder="1" applyAlignment="1" applyProtection="1">
      <alignment horizontal="centerContinuous"/>
    </xf>
    <xf numFmtId="0" fontId="77" fillId="0" borderId="148" xfId="3" applyFont="1" applyBorder="1" applyAlignment="1" applyProtection="1">
      <alignment horizontal="left"/>
    </xf>
    <xf numFmtId="0" fontId="62" fillId="0" borderId="148" xfId="3" applyFont="1" applyBorder="1" applyProtection="1"/>
    <xf numFmtId="0" fontId="62" fillId="0" borderId="148" xfId="3" applyFont="1" applyBorder="1" applyAlignment="1" applyProtection="1">
      <alignment horizontal="center"/>
    </xf>
    <xf numFmtId="49" fontId="59" fillId="0" borderId="0" xfId="3" applyNumberFormat="1" applyFont="1" applyBorder="1" applyAlignment="1" applyProtection="1">
      <alignment horizontal="center" vertical="center"/>
    </xf>
    <xf numFmtId="166" fontId="59" fillId="0" borderId="0" xfId="3" applyNumberFormat="1" applyFont="1" applyBorder="1" applyAlignment="1" applyProtection="1">
      <alignment horizontal="center" vertical="center"/>
    </xf>
    <xf numFmtId="49" fontId="59" fillId="0" borderId="0" xfId="3" applyNumberFormat="1" applyFont="1" applyAlignment="1" applyProtection="1">
      <alignment horizontal="center" vertical="center"/>
    </xf>
    <xf numFmtId="0" fontId="60" fillId="0" borderId="0" xfId="3" applyFont="1" applyBorder="1" applyAlignment="1" applyProtection="1">
      <alignment vertical="center"/>
    </xf>
    <xf numFmtId="0" fontId="73" fillId="0" borderId="0" xfId="3" applyFont="1" applyBorder="1" applyAlignment="1" applyProtection="1">
      <alignment horizontal="center"/>
    </xf>
    <xf numFmtId="179" fontId="62" fillId="0" borderId="0" xfId="3" applyNumberFormat="1" applyFont="1" applyBorder="1" applyProtection="1">
      <protection locked="0"/>
    </xf>
    <xf numFmtId="179" fontId="62" fillId="0" borderId="0" xfId="3" applyNumberFormat="1" applyFont="1" applyBorder="1" applyAlignment="1" applyProtection="1">
      <alignment horizontal="left"/>
      <protection locked="0"/>
    </xf>
    <xf numFmtId="179" fontId="69" fillId="0" borderId="0" xfId="3" applyNumberFormat="1" applyFont="1" applyProtection="1">
      <protection locked="0"/>
    </xf>
    <xf numFmtId="179" fontId="62" fillId="0" borderId="0" xfId="3" applyNumberFormat="1" applyFont="1" applyProtection="1">
      <protection locked="0"/>
    </xf>
    <xf numFmtId="179" fontId="62" fillId="0" borderId="0" xfId="3" applyNumberFormat="1" applyFont="1" applyAlignment="1" applyProtection="1">
      <alignment horizontal="left"/>
      <protection locked="0"/>
    </xf>
    <xf numFmtId="49" fontId="84" fillId="0" borderId="0" xfId="3" applyNumberFormat="1" applyFont="1" applyBorder="1" applyAlignment="1" applyProtection="1">
      <alignment horizontal="left"/>
      <protection locked="0"/>
    </xf>
    <xf numFmtId="49" fontId="62" fillId="0" borderId="0" xfId="3" applyNumberFormat="1" applyFont="1" applyProtection="1">
      <protection locked="0"/>
    </xf>
    <xf numFmtId="49" fontId="62" fillId="0" borderId="78" xfId="3" applyNumberFormat="1" applyFont="1" applyBorder="1" applyAlignment="1" applyProtection="1">
      <protection locked="0"/>
    </xf>
    <xf numFmtId="0" fontId="62" fillId="0" borderId="78" xfId="3" applyFont="1" applyBorder="1" applyProtection="1">
      <protection locked="0"/>
    </xf>
    <xf numFmtId="0" fontId="124" fillId="0" borderId="0" xfId="3" applyFont="1" applyAlignment="1" applyProtection="1">
      <alignment horizontal="left"/>
    </xf>
    <xf numFmtId="0" fontId="67" fillId="0" borderId="0" xfId="3" applyFont="1" applyAlignment="1" applyProtection="1">
      <alignment horizontal="left" vertical="center" indent="2"/>
    </xf>
    <xf numFmtId="49" fontId="75" fillId="0" borderId="0" xfId="0" applyNumberFormat="1" applyFont="1" applyBorder="1" applyAlignment="1">
      <alignment horizontal="left"/>
    </xf>
    <xf numFmtId="49" fontId="63" fillId="0" borderId="0" xfId="2" applyNumberFormat="1" applyFont="1" applyBorder="1" applyAlignment="1" applyProtection="1">
      <alignment horizontal="left" indent="4"/>
    </xf>
    <xf numFmtId="49" fontId="68" fillId="0" borderId="0" xfId="0" applyNumberFormat="1" applyFont="1" applyBorder="1" applyAlignment="1">
      <alignment horizontal="left" indent="1"/>
    </xf>
    <xf numFmtId="0" fontId="75" fillId="0" borderId="0" xfId="0" applyFont="1" applyBorder="1" applyProtection="1"/>
    <xf numFmtId="164" fontId="67" fillId="0" borderId="19" xfId="0" applyNumberFormat="1" applyFont="1" applyFill="1" applyBorder="1" applyAlignment="1" applyProtection="1">
      <alignment horizontal="left" vertical="center" wrapText="1" indent="1"/>
    </xf>
    <xf numFmtId="164" fontId="67" fillId="0" borderId="2" xfId="0" applyNumberFormat="1" applyFont="1" applyFill="1" applyBorder="1" applyAlignment="1" applyProtection="1">
      <alignment horizontal="left" vertical="center" wrapText="1" indent="1"/>
    </xf>
    <xf numFmtId="164" fontId="67" fillId="0" borderId="2" xfId="0" applyNumberFormat="1" applyFont="1" applyFill="1" applyBorder="1" applyAlignment="1" applyProtection="1">
      <alignment horizontal="left" vertical="center" indent="1"/>
    </xf>
    <xf numFmtId="0" fontId="67" fillId="0" borderId="0" xfId="0" applyFont="1" applyFill="1" applyAlignment="1" applyProtection="1">
      <alignment horizontal="left" vertical="center" indent="1"/>
    </xf>
    <xf numFmtId="164" fontId="67" fillId="0" borderId="0" xfId="0" applyNumberFormat="1" applyFont="1" applyFill="1" applyBorder="1" applyAlignment="1" applyProtection="1">
      <alignment horizontal="left" vertical="center" wrapText="1" indent="1"/>
    </xf>
    <xf numFmtId="0" fontId="69" fillId="0" borderId="20" xfId="0" applyFont="1" applyFill="1" applyBorder="1" applyAlignment="1" applyProtection="1">
      <alignment horizontal="left" vertical="center" indent="2"/>
    </xf>
    <xf numFmtId="0" fontId="67" fillId="0" borderId="0" xfId="0" applyFont="1" applyFill="1" applyBorder="1" applyAlignment="1" applyProtection="1">
      <alignment horizontal="left" vertical="center" indent="1"/>
    </xf>
    <xf numFmtId="0" fontId="67" fillId="0" borderId="21" xfId="0" applyFont="1" applyBorder="1" applyAlignment="1" applyProtection="1">
      <alignment horizontal="left" vertical="top" indent="1"/>
    </xf>
    <xf numFmtId="0" fontId="67" fillId="0" borderId="0" xfId="0" applyFont="1" applyFill="1" applyBorder="1" applyAlignment="1" applyProtection="1">
      <alignment horizontal="left" vertical="top" indent="1"/>
    </xf>
    <xf numFmtId="0" fontId="67" fillId="0" borderId="125" xfId="0" applyFont="1" applyBorder="1" applyAlignment="1" applyProtection="1">
      <alignment horizontal="left" vertical="center" indent="1"/>
    </xf>
    <xf numFmtId="0" fontId="67" fillId="0" borderId="24" xfId="0" applyFont="1" applyBorder="1" applyAlignment="1" applyProtection="1">
      <alignment horizontal="left" vertical="center" indent="1"/>
    </xf>
    <xf numFmtId="0" fontId="67" fillId="0" borderId="52" xfId="0" applyFont="1" applyBorder="1" applyAlignment="1" applyProtection="1">
      <alignment horizontal="left" vertical="center" indent="1"/>
    </xf>
    <xf numFmtId="0" fontId="67" fillId="0" borderId="21" xfId="0" applyFont="1" applyBorder="1" applyAlignment="1" applyProtection="1">
      <alignment horizontal="left" vertical="center" wrapText="1" indent="1"/>
    </xf>
    <xf numFmtId="0" fontId="67" fillId="0" borderId="126" xfId="0" applyFont="1" applyFill="1" applyBorder="1" applyAlignment="1" applyProtection="1">
      <alignment horizontal="left" vertical="center" indent="1"/>
    </xf>
    <xf numFmtId="0" fontId="67" fillId="0" borderId="100" xfId="0" applyFont="1" applyFill="1" applyBorder="1" applyAlignment="1" applyProtection="1">
      <alignment horizontal="left" vertical="center" indent="1"/>
    </xf>
    <xf numFmtId="3" fontId="67" fillId="0" borderId="2" xfId="0" applyNumberFormat="1" applyFont="1" applyBorder="1" applyAlignment="1">
      <alignment horizontal="left" vertical="center" wrapText="1" indent="1"/>
    </xf>
    <xf numFmtId="3" fontId="67" fillId="0" borderId="12" xfId="0" applyNumberFormat="1" applyFont="1" applyBorder="1" applyAlignment="1">
      <alignment horizontal="left" vertical="center" wrapText="1" indent="1"/>
    </xf>
    <xf numFmtId="3" fontId="67" fillId="0" borderId="12" xfId="0" applyNumberFormat="1" applyFont="1" applyBorder="1" applyAlignment="1">
      <alignment horizontal="left" vertical="center" indent="1"/>
    </xf>
    <xf numFmtId="3" fontId="69" fillId="2" borderId="36" xfId="0" applyNumberFormat="1" applyFont="1" applyFill="1" applyBorder="1" applyAlignment="1">
      <alignment horizontal="left" vertical="center" wrapText="1" indent="1"/>
    </xf>
    <xf numFmtId="3" fontId="67" fillId="0" borderId="2" xfId="0" applyNumberFormat="1" applyFont="1" applyBorder="1" applyAlignment="1">
      <alignment horizontal="left" vertical="top" wrapText="1" indent="1"/>
    </xf>
    <xf numFmtId="3" fontId="67" fillId="0" borderId="124" xfId="0" applyNumberFormat="1" applyFont="1" applyBorder="1" applyAlignment="1">
      <alignment horizontal="left" vertical="center" wrapText="1" indent="1"/>
    </xf>
    <xf numFmtId="3" fontId="67" fillId="0" borderId="122" xfId="0" applyNumberFormat="1" applyFont="1" applyFill="1" applyBorder="1" applyAlignment="1">
      <alignment horizontal="left" vertical="center" wrapText="1" indent="1"/>
    </xf>
    <xf numFmtId="3" fontId="67" fillId="0" borderId="29" xfId="0" applyNumberFormat="1" applyFont="1" applyFill="1" applyBorder="1" applyAlignment="1">
      <alignment horizontal="left" vertical="center" wrapText="1" indent="1"/>
    </xf>
    <xf numFmtId="3" fontId="67" fillId="0" borderId="124" xfId="0" applyNumberFormat="1" applyFont="1" applyFill="1" applyBorder="1" applyAlignment="1">
      <alignment horizontal="left" vertical="center" wrapText="1" indent="1"/>
    </xf>
    <xf numFmtId="3" fontId="67" fillId="0" borderId="2" xfId="0" applyNumberFormat="1" applyFont="1" applyFill="1" applyBorder="1" applyAlignment="1">
      <alignment horizontal="left" vertical="center" wrapText="1" indent="1"/>
    </xf>
    <xf numFmtId="3" fontId="69" fillId="0" borderId="49" xfId="0" applyNumberFormat="1" applyFont="1" applyFill="1" applyBorder="1" applyAlignment="1">
      <alignment horizontal="left" vertical="center" wrapText="1" indent="1"/>
    </xf>
    <xf numFmtId="3" fontId="69" fillId="7" borderId="27" xfId="0" applyNumberFormat="1" applyFont="1" applyFill="1" applyBorder="1" applyAlignment="1">
      <alignment horizontal="left" vertical="center" wrapText="1" indent="1"/>
    </xf>
    <xf numFmtId="3" fontId="67" fillId="0" borderId="2" xfId="0" applyNumberFormat="1" applyFont="1" applyBorder="1" applyAlignment="1">
      <alignment horizontal="left" vertical="center" indent="1"/>
    </xf>
    <xf numFmtId="3" fontId="67" fillId="0" borderId="13" xfId="0" applyNumberFormat="1" applyFont="1" applyBorder="1" applyAlignment="1">
      <alignment horizontal="left" vertical="center" wrapText="1" indent="1"/>
    </xf>
    <xf numFmtId="164" fontId="67" fillId="0" borderId="13" xfId="0" applyNumberFormat="1" applyFont="1" applyFill="1" applyBorder="1" applyAlignment="1">
      <alignment horizontal="left" vertical="center" wrapText="1" indent="1"/>
    </xf>
    <xf numFmtId="0" fontId="67" fillId="0" borderId="2" xfId="0" applyFont="1" applyFill="1" applyBorder="1" applyAlignment="1">
      <alignment horizontal="left" vertical="center" wrapText="1" indent="1"/>
    </xf>
    <xf numFmtId="0" fontId="67" fillId="0" borderId="12" xfId="0" applyFont="1" applyFill="1" applyBorder="1" applyAlignment="1">
      <alignment horizontal="left" vertical="center" wrapText="1" indent="1"/>
    </xf>
    <xf numFmtId="3" fontId="69" fillId="7" borderId="55" xfId="0" applyNumberFormat="1" applyFont="1" applyFill="1" applyBorder="1" applyAlignment="1">
      <alignment horizontal="left" vertical="center" wrapText="1" indent="1"/>
    </xf>
    <xf numFmtId="3" fontId="67" fillId="0" borderId="2" xfId="0" applyNumberFormat="1" applyFont="1" applyBorder="1" applyAlignment="1">
      <alignment horizontal="left" vertical="top" indent="1"/>
    </xf>
    <xf numFmtId="0" fontId="67" fillId="0" borderId="2" xfId="0" applyFont="1" applyFill="1" applyBorder="1" applyAlignment="1">
      <alignment horizontal="left" vertical="center" indent="1"/>
    </xf>
    <xf numFmtId="38" fontId="60" fillId="0" borderId="124" xfId="0" applyNumberFormat="1" applyFont="1" applyFill="1" applyBorder="1" applyAlignment="1" applyProtection="1">
      <alignment horizontal="right" vertical="center"/>
      <protection locked="0"/>
    </xf>
    <xf numFmtId="38" fontId="59" fillId="6" borderId="152" xfId="0" applyNumberFormat="1" applyFont="1" applyFill="1" applyBorder="1" applyAlignment="1">
      <alignment horizontal="center" vertical="center" wrapText="1"/>
    </xf>
    <xf numFmtId="38" fontId="59" fillId="6" borderId="152" xfId="0" applyNumberFormat="1" applyFont="1" applyFill="1" applyBorder="1" applyAlignment="1">
      <alignment horizontal="center" vertical="top" wrapText="1"/>
    </xf>
    <xf numFmtId="38" fontId="69" fillId="6" borderId="152" xfId="0" applyNumberFormat="1" applyFont="1" applyFill="1" applyBorder="1" applyAlignment="1">
      <alignment horizontal="center" vertical="center" wrapText="1"/>
    </xf>
    <xf numFmtId="38" fontId="69" fillId="6" borderId="10" xfId="0" applyNumberFormat="1" applyFont="1" applyFill="1" applyBorder="1" applyAlignment="1">
      <alignment horizontal="center" vertical="center" wrapText="1"/>
    </xf>
    <xf numFmtId="0" fontId="59" fillId="0" borderId="2" xfId="9" applyFont="1" applyFill="1" applyBorder="1" applyAlignment="1">
      <alignment horizontal="center" vertical="center"/>
    </xf>
    <xf numFmtId="0" fontId="62" fillId="0" borderId="50" xfId="0" applyFont="1" applyBorder="1" applyAlignment="1">
      <alignment horizontal="left" wrapText="1"/>
    </xf>
    <xf numFmtId="0" fontId="99" fillId="0" borderId="0" xfId="0" applyFont="1" applyAlignment="1" applyProtection="1">
      <alignment horizontal="right"/>
    </xf>
    <xf numFmtId="0" fontId="99" fillId="0" borderId="0" xfId="0" applyFont="1" applyAlignment="1" applyProtection="1">
      <alignment horizontal="right" vertical="top"/>
    </xf>
    <xf numFmtId="0" fontId="12" fillId="0" borderId="0" xfId="17"/>
    <xf numFmtId="0" fontId="104" fillId="0" borderId="137" xfId="17" applyFont="1" applyBorder="1" applyAlignment="1">
      <alignment horizontal="left" vertical="top"/>
    </xf>
    <xf numFmtId="0" fontId="131" fillId="0" borderId="138" xfId="17" applyFont="1" applyBorder="1" applyAlignment="1">
      <alignment horizontal="center" vertical="top"/>
    </xf>
    <xf numFmtId="0" fontId="131" fillId="0" borderId="139" xfId="17" applyFont="1" applyBorder="1" applyAlignment="1">
      <alignment horizontal="center" vertical="top"/>
    </xf>
    <xf numFmtId="0" fontId="132" fillId="0" borderId="96" xfId="17" applyFont="1" applyBorder="1" applyAlignment="1">
      <alignment vertical="top"/>
    </xf>
    <xf numFmtId="0" fontId="132" fillId="0" borderId="0" xfId="17" applyFont="1" applyBorder="1" applyAlignment="1">
      <alignment vertical="top"/>
    </xf>
    <xf numFmtId="0" fontId="132" fillId="0" borderId="97" xfId="17" applyFont="1" applyBorder="1" applyAlignment="1">
      <alignment vertical="top"/>
    </xf>
    <xf numFmtId="38" fontId="12" fillId="22" borderId="154" xfId="17" applyNumberFormat="1" applyFill="1" applyBorder="1" applyAlignment="1">
      <alignment horizontal="right" vertical="top"/>
    </xf>
    <xf numFmtId="38" fontId="12" fillId="22" borderId="155" xfId="17" applyNumberFormat="1" applyFill="1" applyBorder="1" applyAlignment="1">
      <alignment horizontal="right" vertical="top"/>
    </xf>
    <xf numFmtId="0" fontId="12" fillId="0" borderId="0" xfId="17" applyAlignment="1">
      <alignment horizontal="left" vertical="top" wrapText="1"/>
    </xf>
    <xf numFmtId="0" fontId="12" fillId="0" borderId="0" xfId="17" applyAlignment="1">
      <alignment vertical="top"/>
    </xf>
    <xf numFmtId="38" fontId="12" fillId="0" borderId="0" xfId="17" applyNumberFormat="1" applyAlignment="1">
      <alignment horizontal="right" vertical="top"/>
    </xf>
    <xf numFmtId="0" fontId="12" fillId="0" borderId="0" xfId="17" applyAlignment="1">
      <alignment horizontal="center" vertical="top" wrapText="1"/>
    </xf>
    <xf numFmtId="0" fontId="130" fillId="23" borderId="153" xfId="17" applyFont="1" applyFill="1" applyBorder="1" applyAlignment="1">
      <alignment horizontal="center" vertical="center" wrapText="1"/>
    </xf>
    <xf numFmtId="38" fontId="130" fillId="23" borderId="153" xfId="17" applyNumberFormat="1" applyFont="1" applyFill="1" applyBorder="1" applyAlignment="1">
      <alignment horizontal="center" vertical="center" wrapText="1"/>
    </xf>
    <xf numFmtId="3" fontId="60" fillId="23" borderId="128" xfId="0" applyNumberFormat="1" applyFont="1" applyFill="1" applyBorder="1" applyAlignment="1">
      <alignment horizontal="center"/>
    </xf>
    <xf numFmtId="3" fontId="60" fillId="23" borderId="128" xfId="0" applyNumberFormat="1" applyFont="1" applyFill="1" applyBorder="1" applyAlignment="1">
      <alignment horizontal="right"/>
    </xf>
    <xf numFmtId="3" fontId="60" fillId="23" borderId="129" xfId="0" applyNumberFormat="1" applyFont="1" applyFill="1" applyBorder="1" applyAlignment="1">
      <alignment horizontal="center"/>
    </xf>
    <xf numFmtId="38" fontId="60" fillId="23" borderId="19" xfId="0" applyNumberFormat="1" applyFont="1" applyFill="1" applyBorder="1" applyAlignment="1">
      <alignment horizontal="right"/>
    </xf>
    <xf numFmtId="38" fontId="60" fillId="23" borderId="20" xfId="0" applyNumberFormat="1" applyFont="1" applyFill="1" applyBorder="1" applyAlignment="1">
      <alignment horizontal="right"/>
    </xf>
    <xf numFmtId="38" fontId="60" fillId="23" borderId="11" xfId="0" applyNumberFormat="1" applyFont="1" applyFill="1" applyBorder="1" applyAlignment="1">
      <alignment horizontal="right"/>
    </xf>
    <xf numFmtId="3" fontId="70" fillId="23" borderId="122" xfId="0" applyNumberFormat="1" applyFont="1" applyFill="1" applyBorder="1" applyAlignment="1">
      <alignment horizontal="center" vertical="center" wrapText="1"/>
    </xf>
    <xf numFmtId="49" fontId="67" fillId="23" borderId="11" xfId="0" applyNumberFormat="1" applyFont="1" applyFill="1" applyBorder="1" applyAlignment="1">
      <alignment horizontal="center" vertical="center"/>
    </xf>
    <xf numFmtId="38" fontId="60" fillId="23" borderId="13" xfId="0" applyNumberFormat="1" applyFont="1" applyFill="1" applyBorder="1" applyAlignment="1">
      <alignment horizontal="right"/>
    </xf>
    <xf numFmtId="38" fontId="60" fillId="23" borderId="21" xfId="0" applyNumberFormat="1" applyFont="1" applyFill="1" applyBorder="1" applyAlignment="1">
      <alignment horizontal="right"/>
    </xf>
    <xf numFmtId="38" fontId="60" fillId="23" borderId="14" xfId="0" applyNumberFormat="1" applyFont="1" applyFill="1" applyBorder="1" applyAlignment="1">
      <alignment horizontal="right"/>
    </xf>
    <xf numFmtId="38" fontId="59" fillId="23" borderId="13" xfId="0" applyNumberFormat="1" applyFont="1" applyFill="1" applyBorder="1" applyAlignment="1" applyProtection="1">
      <alignment horizontal="right"/>
    </xf>
    <xf numFmtId="38" fontId="59" fillId="23" borderId="21" xfId="0" applyNumberFormat="1" applyFont="1" applyFill="1" applyBorder="1" applyAlignment="1" applyProtection="1">
      <alignment horizontal="right"/>
    </xf>
    <xf numFmtId="38" fontId="59" fillId="23" borderId="21" xfId="1" applyNumberFormat="1" applyFont="1" applyFill="1" applyBorder="1" applyAlignment="1" applyProtection="1">
      <alignment horizontal="right"/>
    </xf>
    <xf numFmtId="38" fontId="59" fillId="23" borderId="14" xfId="0" applyNumberFormat="1" applyFont="1" applyFill="1" applyBorder="1" applyAlignment="1" applyProtection="1">
      <alignment horizontal="right"/>
    </xf>
    <xf numFmtId="38" fontId="60" fillId="23" borderId="19" xfId="0" applyNumberFormat="1" applyFont="1" applyFill="1" applyBorder="1" applyAlignment="1" applyProtection="1">
      <alignment horizontal="right"/>
    </xf>
    <xf numFmtId="38" fontId="60" fillId="23" borderId="20" xfId="0" applyNumberFormat="1" applyFont="1" applyFill="1" applyBorder="1" applyAlignment="1" applyProtection="1">
      <alignment horizontal="right"/>
    </xf>
    <xf numFmtId="38" fontId="60" fillId="23" borderId="21" xfId="0" applyNumberFormat="1" applyFont="1" applyFill="1" applyBorder="1" applyAlignment="1" applyProtection="1">
      <alignment horizontal="right"/>
    </xf>
    <xf numFmtId="38" fontId="60" fillId="23" borderId="14" xfId="0" applyNumberFormat="1" applyFont="1" applyFill="1" applyBorder="1" applyAlignment="1" applyProtection="1">
      <alignment horizontal="right"/>
    </xf>
    <xf numFmtId="0" fontId="62" fillId="23" borderId="31" xfId="0" applyFont="1" applyFill="1" applyBorder="1" applyAlignment="1">
      <alignment horizontal="center" vertical="center"/>
    </xf>
    <xf numFmtId="38" fontId="60" fillId="23" borderId="13" xfId="0" applyNumberFormat="1" applyFont="1" applyFill="1" applyBorder="1" applyAlignment="1" applyProtection="1">
      <alignment horizontal="right"/>
    </xf>
    <xf numFmtId="38" fontId="60" fillId="23" borderId="11" xfId="0" applyNumberFormat="1" applyFont="1" applyFill="1" applyBorder="1" applyAlignment="1" applyProtection="1">
      <alignment horizontal="right"/>
    </xf>
    <xf numFmtId="38" fontId="60" fillId="23" borderId="49" xfId="0" applyNumberFormat="1" applyFont="1" applyFill="1" applyBorder="1" applyAlignment="1" applyProtection="1">
      <alignment horizontal="right"/>
    </xf>
    <xf numFmtId="38" fontId="60" fillId="23" borderId="34" xfId="0" applyNumberFormat="1" applyFont="1" applyFill="1" applyBorder="1" applyAlignment="1" applyProtection="1">
      <alignment horizontal="right"/>
    </xf>
    <xf numFmtId="38" fontId="60" fillId="23" borderId="31" xfId="0" applyNumberFormat="1" applyFont="1" applyFill="1" applyBorder="1" applyAlignment="1" applyProtection="1">
      <alignment horizontal="right"/>
    </xf>
    <xf numFmtId="3" fontId="59" fillId="23" borderId="13" xfId="0" applyNumberFormat="1" applyFont="1" applyFill="1" applyBorder="1" applyAlignment="1" applyProtection="1">
      <alignment horizontal="right" vertical="center"/>
    </xf>
    <xf numFmtId="3" fontId="59" fillId="23" borderId="21" xfId="0" applyNumberFormat="1" applyFont="1" applyFill="1" applyBorder="1" applyAlignment="1" applyProtection="1">
      <alignment horizontal="right" vertical="center"/>
    </xf>
    <xf numFmtId="3" fontId="59" fillId="23" borderId="14" xfId="0" applyNumberFormat="1" applyFont="1" applyFill="1" applyBorder="1" applyAlignment="1" applyProtection="1">
      <alignment horizontal="right" vertical="center"/>
    </xf>
    <xf numFmtId="0" fontId="69" fillId="17" borderId="14" xfId="0" applyFont="1" applyFill="1" applyBorder="1" applyAlignment="1" applyProtection="1">
      <alignment horizontal="left" vertical="center"/>
    </xf>
    <xf numFmtId="0" fontId="69" fillId="17" borderId="2" xfId="0" applyFont="1" applyFill="1" applyBorder="1" applyAlignment="1" applyProtection="1">
      <alignment horizontal="center" vertical="top"/>
    </xf>
    <xf numFmtId="0" fontId="69" fillId="17" borderId="2" xfId="0" applyFont="1" applyFill="1" applyBorder="1" applyAlignment="1" applyProtection="1">
      <alignment horizontal="center" vertical="center"/>
    </xf>
    <xf numFmtId="3" fontId="59" fillId="23" borderId="13" xfId="0" applyNumberFormat="1" applyFont="1" applyFill="1" applyBorder="1" applyAlignment="1" applyProtection="1">
      <alignment horizontal="center" vertical="center"/>
    </xf>
    <xf numFmtId="49" fontId="69" fillId="23" borderId="21" xfId="0" applyNumberFormat="1" applyFont="1" applyFill="1" applyBorder="1" applyAlignment="1" applyProtection="1">
      <alignment horizontal="center" vertical="center"/>
    </xf>
    <xf numFmtId="3" fontId="60" fillId="23" borderId="21" xfId="0" applyNumberFormat="1" applyFont="1" applyFill="1" applyBorder="1" applyAlignment="1" applyProtection="1">
      <alignment horizontal="center"/>
    </xf>
    <xf numFmtId="3" fontId="62" fillId="23" borderId="21" xfId="0" applyNumberFormat="1" applyFont="1" applyFill="1" applyBorder="1" applyAlignment="1" applyProtection="1">
      <alignment horizontal="center"/>
    </xf>
    <xf numFmtId="38" fontId="62" fillId="23" borderId="21" xfId="0" applyNumberFormat="1" applyFont="1" applyFill="1" applyBorder="1" applyAlignment="1" applyProtection="1">
      <alignment horizontal="center"/>
    </xf>
    <xf numFmtId="3" fontId="62" fillId="23" borderId="14" xfId="0" applyNumberFormat="1" applyFont="1" applyFill="1" applyBorder="1" applyAlignment="1" applyProtection="1">
      <alignment horizontal="center"/>
    </xf>
    <xf numFmtId="0" fontId="59" fillId="23" borderId="49" xfId="0" applyFont="1" applyFill="1" applyBorder="1" applyAlignment="1" applyProtection="1">
      <alignment horizontal="center" vertical="center" wrapText="1"/>
    </xf>
    <xf numFmtId="0" fontId="60" fillId="23" borderId="34" xfId="0" applyFont="1" applyFill="1" applyBorder="1" applyAlignment="1">
      <alignment horizontal="center" vertical="center" wrapText="1"/>
    </xf>
    <xf numFmtId="164" fontId="59" fillId="23" borderId="49" xfId="0" applyNumberFormat="1" applyFont="1" applyFill="1" applyBorder="1" applyAlignment="1" applyProtection="1">
      <alignment horizontal="center" vertical="center" wrapText="1"/>
    </xf>
    <xf numFmtId="0" fontId="62" fillId="23" borderId="31" xfId="0" applyFont="1" applyFill="1" applyBorder="1" applyAlignment="1">
      <alignment horizontal="center" vertical="center" wrapText="1"/>
    </xf>
    <xf numFmtId="164" fontId="59" fillId="23" borderId="49" xfId="0" applyNumberFormat="1" applyFont="1" applyFill="1" applyBorder="1" applyAlignment="1" applyProtection="1">
      <alignment horizontal="center" vertical="center"/>
    </xf>
    <xf numFmtId="3" fontId="69" fillId="17" borderId="20" xfId="0" applyNumberFormat="1" applyFont="1" applyFill="1" applyBorder="1" applyAlignment="1" applyProtection="1">
      <alignment horizontal="left" vertical="center"/>
    </xf>
    <xf numFmtId="0" fontId="69" fillId="17" borderId="2" xfId="0" applyFont="1" applyFill="1" applyBorder="1" applyAlignment="1">
      <alignment horizontal="center" vertical="center"/>
    </xf>
    <xf numFmtId="164" fontId="69" fillId="17" borderId="20" xfId="0" applyNumberFormat="1" applyFont="1" applyFill="1" applyBorder="1" applyAlignment="1" applyProtection="1">
      <alignment horizontal="left" vertical="center"/>
    </xf>
    <xf numFmtId="0" fontId="69" fillId="17" borderId="29" xfId="0" applyFont="1" applyFill="1" applyBorder="1" applyAlignment="1" applyProtection="1">
      <alignment horizontal="center" vertical="center"/>
    </xf>
    <xf numFmtId="0" fontId="69" fillId="17" borderId="124" xfId="0" applyFont="1" applyFill="1" applyBorder="1" applyAlignment="1" applyProtection="1">
      <alignment horizontal="center" vertical="center"/>
    </xf>
    <xf numFmtId="164" fontId="69" fillId="17" borderId="21" xfId="0" applyNumberFormat="1" applyFont="1" applyFill="1" applyBorder="1" applyAlignment="1" applyProtection="1">
      <alignment horizontal="left" vertical="center"/>
    </xf>
    <xf numFmtId="0" fontId="69" fillId="17" borderId="14" xfId="0" applyFont="1" applyFill="1" applyBorder="1" applyAlignment="1" applyProtection="1">
      <alignment horizontal="center" vertical="center"/>
    </xf>
    <xf numFmtId="0" fontId="69" fillId="17" borderId="31" xfId="0" applyFont="1" applyFill="1" applyBorder="1" applyAlignment="1" applyProtection="1">
      <alignment horizontal="center" vertical="center"/>
    </xf>
    <xf numFmtId="164" fontId="69" fillId="15" borderId="21" xfId="0" applyNumberFormat="1" applyFont="1" applyFill="1" applyBorder="1" applyAlignment="1" applyProtection="1">
      <alignment horizontal="left" vertical="center" indent="1"/>
    </xf>
    <xf numFmtId="0" fontId="67" fillId="15" borderId="14" xfId="0" applyFont="1" applyFill="1" applyBorder="1" applyAlignment="1" applyProtection="1">
      <alignment horizontal="center" vertical="center"/>
    </xf>
    <xf numFmtId="164" fontId="69" fillId="15" borderId="20" xfId="0" applyNumberFormat="1" applyFont="1" applyFill="1" applyBorder="1" applyAlignment="1" applyProtection="1">
      <alignment horizontal="left" vertical="center" indent="1"/>
    </xf>
    <xf numFmtId="1" fontId="67" fillId="15" borderId="11" xfId="0" applyNumberFormat="1" applyFont="1" applyFill="1" applyBorder="1" applyAlignment="1" applyProtection="1">
      <alignment horizontal="center" vertical="center"/>
    </xf>
    <xf numFmtId="1" fontId="67" fillId="15" borderId="4" xfId="0" applyNumberFormat="1" applyFont="1" applyFill="1" applyBorder="1" applyAlignment="1" applyProtection="1">
      <alignment horizontal="center" vertical="center"/>
    </xf>
    <xf numFmtId="0" fontId="69" fillId="15" borderId="21" xfId="0" applyFont="1" applyFill="1" applyBorder="1" applyAlignment="1">
      <alignment horizontal="left" vertical="center" indent="1"/>
    </xf>
    <xf numFmtId="0" fontId="67" fillId="15" borderId="14" xfId="0" applyFont="1" applyFill="1" applyBorder="1" applyAlignment="1">
      <alignment horizontal="left" vertical="center"/>
    </xf>
    <xf numFmtId="0" fontId="67" fillId="15" borderId="11" xfId="0" applyFont="1" applyFill="1" applyBorder="1" applyAlignment="1" applyProtection="1">
      <alignment horizontal="center" vertical="center"/>
    </xf>
    <xf numFmtId="3" fontId="69" fillId="17" borderId="122" xfId="0" applyNumberFormat="1" applyFont="1" applyFill="1" applyBorder="1" applyAlignment="1">
      <alignment horizontal="left" vertical="center" wrapText="1"/>
    </xf>
    <xf numFmtId="49" fontId="69" fillId="17" borderId="124" xfId="0" applyNumberFormat="1" applyFont="1" applyFill="1" applyBorder="1" applyAlignment="1">
      <alignment horizontal="center" vertical="center"/>
    </xf>
    <xf numFmtId="0" fontId="69" fillId="17" borderId="17" xfId="0" applyFont="1" applyFill="1" applyBorder="1" applyAlignment="1">
      <alignment horizontal="left" vertical="center" wrapText="1"/>
    </xf>
    <xf numFmtId="49" fontId="69" fillId="17" borderId="29" xfId="0" applyNumberFormat="1" applyFont="1" applyFill="1" applyBorder="1" applyAlignment="1">
      <alignment horizontal="center" vertical="center"/>
    </xf>
    <xf numFmtId="3" fontId="69" fillId="17" borderId="33" xfId="0" applyNumberFormat="1" applyFont="1" applyFill="1" applyBorder="1" applyAlignment="1">
      <alignment horizontal="left" vertical="center" wrapText="1"/>
    </xf>
    <xf numFmtId="49" fontId="69" fillId="17" borderId="33" xfId="0" applyNumberFormat="1" applyFont="1" applyFill="1" applyBorder="1" applyAlignment="1">
      <alignment horizontal="center" vertical="center"/>
    </xf>
    <xf numFmtId="164" fontId="69" fillId="17" borderId="122" xfId="0" applyNumberFormat="1" applyFont="1" applyFill="1" applyBorder="1" applyAlignment="1">
      <alignment horizontal="left" vertical="center" wrapText="1"/>
    </xf>
    <xf numFmtId="49" fontId="69" fillId="17" borderId="4" xfId="0" applyNumberFormat="1" applyFont="1" applyFill="1" applyBorder="1" applyAlignment="1">
      <alignment horizontal="center" vertical="center"/>
    </xf>
    <xf numFmtId="3" fontId="69" fillId="17" borderId="13" xfId="0" applyNumberFormat="1" applyFont="1" applyFill="1" applyBorder="1" applyAlignment="1">
      <alignment horizontal="left" vertical="center" wrapText="1"/>
    </xf>
    <xf numFmtId="49" fontId="69" fillId="17" borderId="2" xfId="0" applyNumberFormat="1" applyFont="1" applyFill="1" applyBorder="1" applyAlignment="1">
      <alignment horizontal="center" vertical="center"/>
    </xf>
    <xf numFmtId="164" fontId="69" fillId="17" borderId="17" xfId="0" applyNumberFormat="1" applyFont="1" applyFill="1" applyBorder="1" applyAlignment="1">
      <alignment horizontal="left" vertical="center" wrapText="1"/>
    </xf>
    <xf numFmtId="0" fontId="69" fillId="17" borderId="36" xfId="0" applyFont="1" applyFill="1" applyBorder="1" applyAlignment="1">
      <alignment horizontal="left" vertical="center" wrapText="1"/>
    </xf>
    <xf numFmtId="49" fontId="69" fillId="17" borderId="27" xfId="0" applyNumberFormat="1" applyFont="1" applyFill="1" applyBorder="1" applyAlignment="1">
      <alignment horizontal="center" vertical="center"/>
    </xf>
    <xf numFmtId="3" fontId="69" fillId="17" borderId="37" xfId="0" applyNumberFormat="1" applyFont="1" applyFill="1" applyBorder="1" applyAlignment="1">
      <alignment horizontal="left" vertical="center" wrapText="1"/>
    </xf>
    <xf numFmtId="0" fontId="69" fillId="17" borderId="13" xfId="0" applyFont="1" applyFill="1" applyBorder="1" applyAlignment="1">
      <alignment horizontal="left" vertical="center" wrapText="1"/>
    </xf>
    <xf numFmtId="49" fontId="69" fillId="17" borderId="14" xfId="0" applyNumberFormat="1" applyFont="1" applyFill="1" applyBorder="1" applyAlignment="1">
      <alignment horizontal="center" vertical="center"/>
    </xf>
    <xf numFmtId="0" fontId="69" fillId="17" borderId="37" xfId="0" applyFont="1" applyFill="1" applyBorder="1" applyAlignment="1">
      <alignment horizontal="left" vertical="center" wrapText="1"/>
    </xf>
    <xf numFmtId="164" fontId="69" fillId="17" borderId="13" xfId="0" applyNumberFormat="1" applyFont="1" applyFill="1" applyBorder="1" applyAlignment="1">
      <alignment horizontal="left" vertical="center" wrapText="1"/>
    </xf>
    <xf numFmtId="0" fontId="69" fillId="17" borderId="124" xfId="0" applyFont="1" applyFill="1" applyBorder="1" applyAlignment="1">
      <alignment horizontal="left" vertical="center" wrapText="1"/>
    </xf>
    <xf numFmtId="3" fontId="69" fillId="17" borderId="124" xfId="0" applyNumberFormat="1" applyFont="1" applyFill="1" applyBorder="1" applyAlignment="1">
      <alignment horizontal="left" vertical="center" wrapText="1"/>
    </xf>
    <xf numFmtId="38" fontId="60" fillId="24" borderId="19" xfId="0" applyNumberFormat="1" applyFont="1" applyFill="1" applyBorder="1" applyAlignment="1">
      <alignment horizontal="right"/>
    </xf>
    <xf numFmtId="38" fontId="60" fillId="24" borderId="20" xfId="0" applyNumberFormat="1" applyFont="1" applyFill="1" applyBorder="1" applyAlignment="1">
      <alignment horizontal="right"/>
    </xf>
    <xf numFmtId="38" fontId="60" fillId="24" borderId="11" xfId="0" applyNumberFormat="1" applyFont="1" applyFill="1" applyBorder="1" applyAlignment="1">
      <alignment horizontal="right"/>
    </xf>
    <xf numFmtId="0" fontId="69" fillId="17" borderId="50" xfId="0" applyFont="1" applyFill="1" applyBorder="1" applyAlignment="1" applyProtection="1">
      <alignment horizontal="left" vertical="center"/>
    </xf>
    <xf numFmtId="0" fontId="69" fillId="17" borderId="22" xfId="0" applyFont="1" applyFill="1" applyBorder="1" applyAlignment="1" applyProtection="1">
      <alignment horizontal="center" vertical="center"/>
    </xf>
    <xf numFmtId="0" fontId="69" fillId="17" borderId="46" xfId="0" applyFont="1" applyFill="1" applyBorder="1" applyAlignment="1" applyProtection="1">
      <alignment horizontal="left" vertical="center"/>
    </xf>
    <xf numFmtId="0" fontId="69" fillId="17" borderId="46" xfId="0" applyFont="1" applyFill="1" applyBorder="1" applyAlignment="1" applyProtection="1">
      <alignment horizontal="left" vertical="center" wrapText="1"/>
    </xf>
    <xf numFmtId="0" fontId="69" fillId="17" borderId="46" xfId="0" applyFont="1" applyFill="1" applyBorder="1" applyAlignment="1" applyProtection="1">
      <alignment horizontal="left" vertical="center" indent="1"/>
    </xf>
    <xf numFmtId="0" fontId="70" fillId="23" borderId="13" xfId="0" applyFont="1" applyFill="1" applyBorder="1" applyAlignment="1">
      <alignment horizontal="left" vertical="center"/>
    </xf>
    <xf numFmtId="0" fontId="70" fillId="23" borderId="21" xfId="0" applyFont="1" applyFill="1" applyBorder="1" applyAlignment="1">
      <alignment horizontal="left" vertical="center"/>
    </xf>
    <xf numFmtId="0" fontId="70" fillId="23" borderId="14" xfId="0" applyFont="1" applyFill="1" applyBorder="1" applyAlignment="1">
      <alignment horizontal="left" vertical="center"/>
    </xf>
    <xf numFmtId="0" fontId="59" fillId="15" borderId="12" xfId="0" applyFont="1" applyFill="1" applyBorder="1" applyAlignment="1" applyProtection="1">
      <alignment vertical="center"/>
    </xf>
    <xf numFmtId="0" fontId="69" fillId="0" borderId="156" xfId="0" applyFont="1" applyBorder="1" applyAlignment="1">
      <alignment horizontal="centerContinuous" vertical="center"/>
    </xf>
    <xf numFmtId="0" fontId="60" fillId="0" borderId="157" xfId="0" applyFont="1" applyBorder="1" applyAlignment="1">
      <alignment horizontal="centerContinuous" vertical="center"/>
    </xf>
    <xf numFmtId="0" fontId="62" fillId="0" borderId="157" xfId="0" applyFont="1" applyBorder="1" applyAlignment="1">
      <alignment horizontal="centerContinuous" vertical="center"/>
    </xf>
    <xf numFmtId="0" fontId="69" fillId="0" borderId="105" xfId="0" applyFont="1" applyBorder="1" applyAlignment="1">
      <alignment horizontal="center"/>
    </xf>
    <xf numFmtId="0" fontId="62" fillId="23" borderId="16" xfId="3" applyFont="1" applyFill="1" applyBorder="1" applyAlignment="1">
      <alignment horizontal="left" vertical="center"/>
    </xf>
    <xf numFmtId="0" fontId="62" fillId="23" borderId="10" xfId="3" applyFont="1" applyFill="1" applyBorder="1" applyAlignment="1">
      <alignment horizontal="left" vertical="center"/>
    </xf>
    <xf numFmtId="0" fontId="62" fillId="23" borderId="19" xfId="3" applyNumberFormat="1" applyFont="1" applyFill="1" applyBorder="1" applyAlignment="1">
      <alignment vertical="center"/>
    </xf>
    <xf numFmtId="0" fontId="62" fillId="23" borderId="20" xfId="3" applyNumberFormat="1" applyFont="1" applyFill="1" applyBorder="1" applyAlignment="1">
      <alignment vertical="center"/>
    </xf>
    <xf numFmtId="0" fontId="62" fillId="23" borderId="11" xfId="3" applyNumberFormat="1" applyFont="1" applyFill="1" applyBorder="1" applyAlignment="1">
      <alignment vertical="center"/>
    </xf>
    <xf numFmtId="0" fontId="11" fillId="0" borderId="0" xfId="17" quotePrefix="1" applyNumberFormat="1" applyFont="1"/>
    <xf numFmtId="0" fontId="132" fillId="20" borderId="154" xfId="17" applyFont="1" applyFill="1" applyBorder="1" applyAlignment="1" applyProtection="1">
      <alignment horizontal="left" vertical="top" wrapText="1"/>
    </xf>
    <xf numFmtId="49" fontId="132" fillId="20" borderId="154" xfId="17" applyNumberFormat="1" applyFont="1" applyFill="1" applyBorder="1" applyAlignment="1" applyProtection="1">
      <alignment horizontal="center" vertical="top"/>
    </xf>
    <xf numFmtId="0" fontId="132" fillId="20" borderId="154" xfId="17" applyFont="1" applyFill="1" applyBorder="1" applyAlignment="1" applyProtection="1">
      <alignment vertical="top"/>
    </xf>
    <xf numFmtId="38" fontId="132" fillId="20" borderId="154" xfId="17" applyNumberFormat="1" applyFont="1" applyFill="1" applyBorder="1" applyAlignment="1" applyProtection="1">
      <alignment horizontal="right" vertical="top"/>
    </xf>
    <xf numFmtId="38" fontId="132" fillId="20" borderId="154" xfId="17" applyNumberFormat="1" applyFont="1" applyFill="1" applyBorder="1" applyAlignment="1" applyProtection="1">
      <alignment vertical="top"/>
    </xf>
    <xf numFmtId="0" fontId="12" fillId="0" borderId="154" xfId="17" applyBorder="1" applyAlignment="1" applyProtection="1">
      <alignment horizontal="left" vertical="top" wrapText="1"/>
      <protection locked="0"/>
    </xf>
    <xf numFmtId="0" fontId="12" fillId="0" borderId="154" xfId="17" applyBorder="1" applyAlignment="1" applyProtection="1">
      <alignment vertical="top"/>
      <protection locked="0"/>
    </xf>
    <xf numFmtId="0" fontId="11" fillId="0" borderId="154" xfId="17" applyFont="1" applyBorder="1" applyAlignment="1" applyProtection="1">
      <alignment horizontal="left" vertical="top" wrapText="1"/>
      <protection locked="0"/>
    </xf>
    <xf numFmtId="0" fontId="11" fillId="0" borderId="154" xfId="17" applyFont="1" applyBorder="1" applyAlignment="1" applyProtection="1">
      <alignment vertical="top"/>
      <protection locked="0"/>
    </xf>
    <xf numFmtId="0" fontId="12" fillId="0" borderId="0" xfId="17" applyAlignment="1">
      <alignment horizontal="center" vertical="center" wrapText="1"/>
    </xf>
    <xf numFmtId="0" fontId="10" fillId="0" borderId="0" xfId="17" applyFont="1" applyAlignment="1">
      <alignment horizontal="left" vertical="center" wrapText="1"/>
    </xf>
    <xf numFmtId="0" fontId="10" fillId="0" borderId="0" xfId="17" applyFont="1" applyAlignment="1">
      <alignment vertical="center"/>
    </xf>
    <xf numFmtId="0" fontId="12" fillId="0" borderId="0" xfId="17" applyAlignment="1">
      <alignment vertical="center"/>
    </xf>
    <xf numFmtId="0" fontId="132" fillId="0" borderId="98" xfId="17" applyFont="1" applyBorder="1" applyAlignment="1">
      <alignment horizontal="left" vertical="top"/>
    </xf>
    <xf numFmtId="0" fontId="132" fillId="0" borderId="78" xfId="17" applyFont="1" applyBorder="1" applyAlignment="1">
      <alignment horizontal="left" vertical="top"/>
    </xf>
    <xf numFmtId="0" fontId="132" fillId="0" borderId="99" xfId="17" applyFont="1" applyBorder="1" applyAlignment="1">
      <alignment horizontal="left" vertical="top"/>
    </xf>
    <xf numFmtId="0" fontId="38" fillId="0" borderId="0" xfId="2" applyNumberFormat="1" applyAlignment="1" applyProtection="1">
      <alignment vertical="center"/>
    </xf>
    <xf numFmtId="0" fontId="69" fillId="0" borderId="5" xfId="3" applyFont="1" applyFill="1" applyBorder="1" applyAlignment="1" applyProtection="1"/>
    <xf numFmtId="49" fontId="12" fillId="0" borderId="154" xfId="17" applyNumberFormat="1" applyBorder="1" applyAlignment="1" applyProtection="1">
      <alignment horizontal="center" vertical="center"/>
      <protection locked="0"/>
    </xf>
    <xf numFmtId="49" fontId="10" fillId="0" borderId="154" xfId="17" applyNumberFormat="1" applyFont="1" applyBorder="1" applyAlignment="1" applyProtection="1">
      <alignment horizontal="center" vertical="center"/>
      <protection locked="0"/>
    </xf>
    <xf numFmtId="3" fontId="69" fillId="16" borderId="36" xfId="0" applyNumberFormat="1" applyFont="1" applyFill="1" applyBorder="1" applyAlignment="1">
      <alignment horizontal="left" vertical="center" wrapText="1" indent="1"/>
    </xf>
    <xf numFmtId="49" fontId="69" fillId="16" borderId="27" xfId="0" applyNumberFormat="1" applyFont="1" applyFill="1" applyBorder="1" applyAlignment="1">
      <alignment horizontal="center" vertical="center"/>
    </xf>
    <xf numFmtId="38" fontId="60" fillId="16" borderId="27" xfId="0" applyNumberFormat="1" applyFont="1" applyFill="1" applyBorder="1" applyAlignment="1">
      <alignment horizontal="right"/>
    </xf>
    <xf numFmtId="38" fontId="60" fillId="16" borderId="2" xfId="0" applyNumberFormat="1" applyFont="1" applyFill="1" applyBorder="1" applyAlignment="1">
      <alignment horizontal="right"/>
    </xf>
    <xf numFmtId="38" fontId="60" fillId="16" borderId="4" xfId="0" applyNumberFormat="1" applyFont="1" applyFill="1" applyBorder="1" applyAlignment="1">
      <alignment horizontal="right"/>
    </xf>
    <xf numFmtId="49" fontId="69" fillId="16" borderId="36" xfId="0" applyNumberFormat="1" applyFont="1" applyFill="1" applyBorder="1" applyAlignment="1">
      <alignment horizontal="center" vertical="center"/>
    </xf>
    <xf numFmtId="38" fontId="60" fillId="16" borderId="30" xfId="0" applyNumberFormat="1" applyFont="1" applyFill="1" applyBorder="1" applyAlignment="1">
      <alignment horizontal="right"/>
    </xf>
    <xf numFmtId="49" fontId="69" fillId="16" borderId="30" xfId="0" applyNumberFormat="1" applyFont="1" applyFill="1" applyBorder="1" applyAlignment="1">
      <alignment horizontal="center" vertical="center"/>
    </xf>
    <xf numFmtId="0" fontId="69" fillId="16" borderId="32" xfId="0" applyNumberFormat="1" applyFont="1" applyFill="1" applyBorder="1" applyAlignment="1">
      <alignment horizontal="center" vertical="center"/>
    </xf>
    <xf numFmtId="38" fontId="60" fillId="16" borderId="32" xfId="0" applyNumberFormat="1" applyFont="1" applyFill="1" applyBorder="1" applyAlignment="1">
      <alignment horizontal="right"/>
    </xf>
    <xf numFmtId="0" fontId="69" fillId="16" borderId="27" xfId="0" applyFont="1" applyFill="1" applyBorder="1" applyAlignment="1">
      <alignment horizontal="center" vertical="center"/>
    </xf>
    <xf numFmtId="38" fontId="60" fillId="16" borderId="33" xfId="0" applyNumberFormat="1" applyFont="1" applyFill="1" applyBorder="1" applyAlignment="1">
      <alignment horizontal="right"/>
    </xf>
    <xf numFmtId="3" fontId="69" fillId="16" borderId="27" xfId="0" applyNumberFormat="1" applyFont="1" applyFill="1" applyBorder="1" applyAlignment="1">
      <alignment horizontal="left" vertical="center" indent="1"/>
    </xf>
    <xf numFmtId="0" fontId="69" fillId="16" borderId="27" xfId="0" applyFont="1" applyFill="1" applyBorder="1" applyAlignment="1">
      <alignment horizontal="center" vertical="top"/>
    </xf>
    <xf numFmtId="0" fontId="62" fillId="16" borderId="30" xfId="0" applyFont="1" applyFill="1" applyBorder="1" applyAlignment="1">
      <alignment horizontal="left" vertical="center" indent="1"/>
    </xf>
    <xf numFmtId="38" fontId="60" fillId="16" borderId="26" xfId="0" applyNumberFormat="1" applyFont="1" applyFill="1" applyBorder="1" applyAlignment="1">
      <alignment horizontal="right"/>
    </xf>
    <xf numFmtId="38" fontId="60" fillId="16" borderId="28" xfId="0" applyNumberFormat="1" applyFont="1" applyFill="1" applyBorder="1" applyAlignment="1">
      <alignment horizontal="right"/>
    </xf>
    <xf numFmtId="38" fontId="60" fillId="16" borderId="29" xfId="0" applyNumberFormat="1" applyFont="1" applyFill="1" applyBorder="1" applyAlignment="1">
      <alignment horizontal="right"/>
    </xf>
    <xf numFmtId="3" fontId="69" fillId="16" borderId="55" xfId="0" applyNumberFormat="1" applyFont="1" applyFill="1" applyBorder="1" applyAlignment="1">
      <alignment horizontal="left" vertical="center" wrapText="1" indent="1"/>
    </xf>
    <xf numFmtId="49" fontId="69" fillId="16" borderId="32" xfId="0" applyNumberFormat="1" applyFont="1" applyFill="1" applyBorder="1" applyAlignment="1">
      <alignment horizontal="center" vertical="center"/>
    </xf>
    <xf numFmtId="38" fontId="60" fillId="16" borderId="27" xfId="0" applyNumberFormat="1" applyFont="1" applyFill="1" applyBorder="1" applyAlignment="1" applyProtection="1">
      <alignment horizontal="right"/>
    </xf>
    <xf numFmtId="3" fontId="69" fillId="16" borderId="55" xfId="0" applyNumberFormat="1" applyFont="1" applyFill="1" applyBorder="1" applyAlignment="1">
      <alignment horizontal="left" vertical="top" wrapText="1" indent="1"/>
    </xf>
    <xf numFmtId="49" fontId="67" fillId="16" borderId="51" xfId="0" applyNumberFormat="1" applyFont="1" applyFill="1" applyBorder="1" applyAlignment="1">
      <alignment horizontal="center" vertical="top"/>
    </xf>
    <xf numFmtId="3" fontId="69" fillId="16" borderId="27" xfId="0" applyNumberFormat="1" applyFont="1" applyFill="1" applyBorder="1" applyAlignment="1">
      <alignment horizontal="left" vertical="center" wrapText="1" indent="1"/>
    </xf>
    <xf numFmtId="3" fontId="69" fillId="16" borderId="36" xfId="0" applyNumberFormat="1" applyFont="1" applyFill="1" applyBorder="1" applyAlignment="1">
      <alignment horizontal="left" vertical="top" wrapText="1" indent="1"/>
    </xf>
    <xf numFmtId="0" fontId="67" fillId="16" borderId="30" xfId="0" applyFont="1" applyFill="1" applyBorder="1" applyAlignment="1">
      <alignment vertical="top"/>
    </xf>
    <xf numFmtId="3" fontId="69" fillId="16" borderId="36" xfId="0" applyNumberFormat="1" applyFont="1" applyFill="1" applyBorder="1" applyAlignment="1">
      <alignment horizontal="left" vertical="center" indent="1"/>
    </xf>
    <xf numFmtId="0" fontId="69" fillId="16" borderId="30" xfId="0" applyFont="1" applyFill="1" applyBorder="1" applyAlignment="1">
      <alignment horizontal="center" vertical="center"/>
    </xf>
    <xf numFmtId="0" fontId="69" fillId="16" borderId="27" xfId="0" applyFont="1" applyFill="1" applyBorder="1" applyAlignment="1">
      <alignment horizontal="center" vertical="center" wrapText="1"/>
    </xf>
    <xf numFmtId="49" fontId="69" fillId="16" borderId="27" xfId="0" applyNumberFormat="1" applyFont="1" applyFill="1" applyBorder="1" applyAlignment="1">
      <alignment horizontal="center" vertical="top" wrapText="1"/>
    </xf>
    <xf numFmtId="3" fontId="69" fillId="16" borderId="36" xfId="0" applyNumberFormat="1" applyFont="1" applyFill="1" applyBorder="1" applyAlignment="1">
      <alignment horizontal="left" vertical="top" indent="1"/>
    </xf>
    <xf numFmtId="38" fontId="60" fillId="16" borderId="3" xfId="0" applyNumberFormat="1" applyFont="1" applyFill="1" applyBorder="1" applyAlignment="1">
      <alignment horizontal="right"/>
    </xf>
    <xf numFmtId="0" fontId="69" fillId="16" borderId="36" xfId="0" applyFont="1" applyFill="1" applyBorder="1" applyAlignment="1">
      <alignment horizontal="left" vertical="center" wrapText="1" indent="1"/>
    </xf>
    <xf numFmtId="49" fontId="67" fillId="16" borderId="51" xfId="0" applyNumberFormat="1" applyFont="1" applyFill="1" applyBorder="1" applyAlignment="1">
      <alignment horizontal="center" vertical="center"/>
    </xf>
    <xf numFmtId="38" fontId="60" fillId="16" borderId="33" xfId="0" applyNumberFormat="1" applyFont="1" applyFill="1" applyBorder="1" applyAlignment="1" applyProtection="1">
      <alignment horizontal="right"/>
    </xf>
    <xf numFmtId="38" fontId="60" fillId="16" borderId="32" xfId="0" applyNumberFormat="1" applyFont="1" applyFill="1" applyBorder="1" applyAlignment="1" applyProtection="1">
      <alignment horizontal="right"/>
    </xf>
    <xf numFmtId="0" fontId="67" fillId="16" borderId="30" xfId="0" applyFont="1" applyFill="1" applyBorder="1" applyAlignment="1">
      <alignment horizontal="left" vertical="top" wrapText="1" indent="1"/>
    </xf>
    <xf numFmtId="0" fontId="69" fillId="16" borderId="35" xfId="0" applyFont="1" applyFill="1" applyBorder="1" applyAlignment="1" applyProtection="1">
      <alignment horizontal="left" vertical="center" wrapText="1" indent="1"/>
    </xf>
    <xf numFmtId="0" fontId="67" fillId="16" borderId="30" xfId="0" applyFont="1" applyFill="1" applyBorder="1" applyAlignment="1" applyProtection="1">
      <alignment horizontal="left" vertical="center"/>
    </xf>
    <xf numFmtId="38" fontId="60" fillId="16" borderId="36" xfId="0" applyNumberFormat="1" applyFont="1" applyFill="1" applyBorder="1" applyAlignment="1" applyProtection="1">
      <alignment horizontal="right"/>
    </xf>
    <xf numFmtId="0" fontId="69" fillId="16" borderId="35" xfId="0" applyFont="1" applyFill="1" applyBorder="1" applyAlignment="1" applyProtection="1">
      <alignment horizontal="left" vertical="center" indent="1"/>
    </xf>
    <xf numFmtId="0" fontId="67" fillId="16" borderId="30" xfId="0" applyFont="1" applyFill="1" applyBorder="1" applyAlignment="1" applyProtection="1">
      <alignment horizontal="center" vertical="center"/>
    </xf>
    <xf numFmtId="37" fontId="60" fillId="16" borderId="36" xfId="0" applyNumberFormat="1" applyFont="1" applyFill="1" applyBorder="1" applyAlignment="1" applyProtection="1">
      <alignment horizontal="right"/>
    </xf>
    <xf numFmtId="37" fontId="60" fillId="16" borderId="27" xfId="0" applyNumberFormat="1" applyFont="1" applyFill="1" applyBorder="1" applyAlignment="1" applyProtection="1">
      <alignment horizontal="right"/>
    </xf>
    <xf numFmtId="0" fontId="67" fillId="16" borderId="30" xfId="0" applyFont="1" applyFill="1" applyBorder="1" applyAlignment="1" applyProtection="1">
      <alignment horizontal="left" vertical="center" indent="2"/>
    </xf>
    <xf numFmtId="0" fontId="69" fillId="16" borderId="52" xfId="0" applyFont="1" applyFill="1" applyBorder="1" applyAlignment="1" applyProtection="1">
      <alignment horizontal="left" vertical="top" wrapText="1" indent="1"/>
    </xf>
    <xf numFmtId="49" fontId="69" fillId="16" borderId="33" xfId="0" applyNumberFormat="1" applyFont="1" applyFill="1" applyBorder="1" applyAlignment="1">
      <alignment horizontal="center" vertical="center"/>
    </xf>
    <xf numFmtId="38" fontId="60" fillId="16" borderId="37" xfId="0" applyNumberFormat="1" applyFont="1" applyFill="1" applyBorder="1" applyAlignment="1" applyProtection="1">
      <alignment horizontal="right"/>
    </xf>
    <xf numFmtId="49" fontId="69" fillId="16" borderId="35" xfId="0" applyNumberFormat="1" applyFont="1" applyFill="1" applyBorder="1" applyAlignment="1" applyProtection="1">
      <alignment horizontal="left" vertical="top" indent="1"/>
    </xf>
    <xf numFmtId="49" fontId="69" fillId="16" borderId="27" xfId="0" applyNumberFormat="1" applyFont="1" applyFill="1" applyBorder="1" applyAlignment="1">
      <alignment horizontal="center" vertical="top"/>
    </xf>
    <xf numFmtId="38" fontId="60" fillId="16" borderId="12" xfId="0" applyNumberFormat="1" applyFont="1" applyFill="1" applyBorder="1" applyAlignment="1" applyProtection="1">
      <alignment horizontal="right"/>
    </xf>
    <xf numFmtId="49" fontId="67" fillId="16" borderId="30" xfId="0" applyNumberFormat="1" applyFont="1" applyFill="1" applyBorder="1" applyAlignment="1" applyProtection="1">
      <alignment horizontal="center" vertical="center"/>
    </xf>
    <xf numFmtId="1" fontId="67" fillId="16" borderId="30" xfId="0" applyNumberFormat="1" applyFont="1" applyFill="1" applyBorder="1" applyAlignment="1" applyProtection="1">
      <alignment horizontal="center" vertical="center"/>
    </xf>
    <xf numFmtId="38" fontId="60" fillId="16" borderId="3" xfId="0" applyNumberFormat="1" applyFont="1" applyFill="1" applyBorder="1" applyAlignment="1" applyProtection="1">
      <alignment horizontal="right"/>
    </xf>
    <xf numFmtId="38" fontId="60" fillId="16" borderId="55" xfId="0" applyNumberFormat="1" applyFont="1" applyFill="1" applyBorder="1" applyAlignment="1" applyProtection="1">
      <alignment horizontal="right"/>
    </xf>
    <xf numFmtId="0" fontId="69" fillId="16" borderId="35" xfId="0" applyFont="1" applyFill="1" applyBorder="1" applyAlignment="1" applyProtection="1">
      <alignment horizontal="left" indent="1"/>
    </xf>
    <xf numFmtId="0" fontId="67" fillId="16" borderId="30" xfId="0" applyFont="1" applyFill="1" applyBorder="1" applyAlignment="1" applyProtection="1">
      <alignment horizontal="center"/>
    </xf>
    <xf numFmtId="0" fontId="69" fillId="16" borderId="36" xfId="0" applyFont="1" applyFill="1" applyBorder="1" applyAlignment="1" applyProtection="1">
      <alignment horizontal="left" vertical="center" indent="1"/>
    </xf>
    <xf numFmtId="0" fontId="67" fillId="16" borderId="27" xfId="0" applyFont="1" applyFill="1" applyBorder="1" applyAlignment="1" applyProtection="1">
      <alignment horizontal="center" vertical="center"/>
    </xf>
    <xf numFmtId="0" fontId="69" fillId="16" borderId="30" xfId="0" applyFont="1" applyFill="1" applyBorder="1" applyAlignment="1">
      <alignment vertical="center"/>
    </xf>
    <xf numFmtId="49" fontId="69" fillId="16" borderId="33" xfId="0" applyNumberFormat="1" applyFont="1" applyFill="1" applyBorder="1" applyAlignment="1" applyProtection="1">
      <alignment horizontal="left" vertical="center" wrapText="1" indent="1"/>
    </xf>
    <xf numFmtId="49" fontId="69" fillId="16" borderId="53" xfId="0" applyNumberFormat="1" applyFont="1" applyFill="1" applyBorder="1" applyAlignment="1">
      <alignment horizontal="center" vertical="center"/>
    </xf>
    <xf numFmtId="0" fontId="69" fillId="16" borderId="52" xfId="0" applyFont="1" applyFill="1" applyBorder="1" applyAlignment="1" applyProtection="1">
      <alignment horizontal="left" wrapText="1" indent="1"/>
    </xf>
    <xf numFmtId="0" fontId="67" fillId="16" borderId="53" xfId="0" applyFont="1" applyFill="1" applyBorder="1" applyAlignment="1" applyProtection="1">
      <alignment horizontal="left" indent="2"/>
    </xf>
    <xf numFmtId="176" fontId="62" fillId="16" borderId="2" xfId="0" applyNumberFormat="1" applyFont="1" applyFill="1" applyBorder="1" applyAlignment="1" applyProtection="1">
      <alignment vertical="center"/>
    </xf>
    <xf numFmtId="38" fontId="62" fillId="16" borderId="2" xfId="0" applyNumberFormat="1" applyFont="1" applyFill="1" applyBorder="1" applyAlignment="1" applyProtection="1">
      <alignment horizontal="right" vertical="center"/>
    </xf>
    <xf numFmtId="38" fontId="62" fillId="16" borderId="2" xfId="0" applyNumberFormat="1" applyFont="1" applyFill="1" applyBorder="1" applyAlignment="1" applyProtection="1">
      <alignment vertical="center"/>
    </xf>
    <xf numFmtId="37" fontId="62" fillId="16" borderId="13" xfId="5" applyNumberFormat="1" applyFont="1" applyFill="1" applyBorder="1" applyAlignment="1" applyProtection="1">
      <alignment horizontal="right"/>
    </xf>
    <xf numFmtId="0" fontId="69" fillId="16" borderId="35" xfId="0" applyFont="1" applyFill="1" applyBorder="1" applyAlignment="1" applyProtection="1">
      <alignment horizontal="left" vertical="center" indent="2"/>
    </xf>
    <xf numFmtId="38" fontId="60" fillId="16" borderId="30" xfId="0" applyNumberFormat="1" applyFont="1" applyFill="1" applyBorder="1" applyAlignment="1" applyProtection="1">
      <alignment horizontal="right"/>
    </xf>
    <xf numFmtId="0" fontId="69" fillId="16" borderId="20" xfId="0" applyFont="1" applyFill="1" applyBorder="1" applyAlignment="1" applyProtection="1">
      <alignment horizontal="left" vertical="center" indent="2"/>
    </xf>
    <xf numFmtId="0" fontId="69" fillId="16" borderId="14" xfId="0" applyFont="1" applyFill="1" applyBorder="1" applyAlignment="1" applyProtection="1">
      <alignment horizontal="center" vertical="center"/>
    </xf>
    <xf numFmtId="38" fontId="60" fillId="16" borderId="26" xfId="0" applyNumberFormat="1" applyFont="1" applyFill="1" applyBorder="1" applyAlignment="1" applyProtection="1">
      <alignment horizontal="right"/>
    </xf>
    <xf numFmtId="0" fontId="69" fillId="16" borderId="30" xfId="0" applyFont="1" applyFill="1" applyBorder="1" applyAlignment="1" applyProtection="1">
      <alignment horizontal="center" vertical="center"/>
    </xf>
    <xf numFmtId="38" fontId="60" fillId="16" borderId="4" xfId="0" applyNumberFormat="1" applyFont="1" applyFill="1" applyBorder="1" applyAlignment="1" applyProtection="1">
      <alignment horizontal="right"/>
    </xf>
    <xf numFmtId="38" fontId="60" fillId="16" borderId="2" xfId="0" applyNumberFormat="1" applyFont="1" applyFill="1" applyBorder="1" applyAlignment="1" applyProtection="1">
      <alignment horizontal="right"/>
    </xf>
    <xf numFmtId="0" fontId="78" fillId="16" borderId="20" xfId="0" applyFont="1" applyFill="1" applyBorder="1" applyAlignment="1" applyProtection="1">
      <alignment horizontal="left" vertical="center" indent="1"/>
    </xf>
    <xf numFmtId="0" fontId="67" fillId="16" borderId="4" xfId="0" applyFont="1" applyFill="1" applyBorder="1" applyAlignment="1" applyProtection="1">
      <alignment horizontal="center"/>
    </xf>
    <xf numFmtId="38" fontId="60" fillId="16" borderId="28" xfId="0" applyNumberFormat="1" applyFont="1" applyFill="1" applyBorder="1" applyAlignment="1" applyProtection="1">
      <alignment horizontal="right"/>
    </xf>
    <xf numFmtId="38" fontId="60" fillId="16" borderId="18" xfId="0" applyNumberFormat="1" applyFont="1" applyFill="1" applyBorder="1" applyAlignment="1" applyProtection="1">
      <alignment horizontal="right"/>
    </xf>
    <xf numFmtId="38" fontId="60" fillId="16" borderId="0" xfId="0" applyNumberFormat="1" applyFont="1" applyFill="1" applyAlignment="1" applyProtection="1">
      <alignment horizontal="right"/>
    </xf>
    <xf numFmtId="38" fontId="60" fillId="16" borderId="124" xfId="0" applyNumberFormat="1" applyFont="1" applyFill="1" applyBorder="1" applyAlignment="1" applyProtection="1">
      <alignment horizontal="right" vertical="center"/>
      <protection locked="0"/>
    </xf>
    <xf numFmtId="38" fontId="60" fillId="16" borderId="2" xfId="0" applyNumberFormat="1" applyFont="1" applyFill="1" applyBorder="1" applyAlignment="1" applyProtection="1">
      <alignment horizontal="right" vertical="center"/>
      <protection locked="0"/>
    </xf>
    <xf numFmtId="38" fontId="60" fillId="16" borderId="27" xfId="0" applyNumberFormat="1" applyFont="1" applyFill="1" applyBorder="1" applyAlignment="1" applyProtection="1">
      <alignment horizontal="right" vertical="center"/>
      <protection locked="0"/>
    </xf>
    <xf numFmtId="38" fontId="60" fillId="16" borderId="124" xfId="0" applyNumberFormat="1" applyFont="1" applyFill="1" applyBorder="1" applyAlignment="1" applyProtection="1">
      <alignment horizontal="right" vertical="center"/>
    </xf>
    <xf numFmtId="38" fontId="60" fillId="16" borderId="2" xfId="0" applyNumberFormat="1" applyFont="1" applyFill="1" applyBorder="1" applyAlignment="1" applyProtection="1">
      <alignment horizontal="right" vertical="center"/>
    </xf>
    <xf numFmtId="0" fontId="69" fillId="16" borderId="27" xfId="0" applyFont="1" applyFill="1" applyBorder="1" applyAlignment="1">
      <alignment horizontal="left" vertical="center" wrapText="1" indent="1"/>
    </xf>
    <xf numFmtId="38" fontId="60" fillId="16" borderId="27" xfId="0" applyNumberFormat="1" applyFont="1" applyFill="1" applyBorder="1" applyAlignment="1" applyProtection="1">
      <alignment horizontal="right" vertical="center"/>
    </xf>
    <xf numFmtId="38" fontId="60" fillId="16" borderId="2" xfId="9" applyNumberFormat="1" applyFont="1" applyFill="1" applyBorder="1" applyAlignment="1" applyProtection="1">
      <alignment horizontal="right"/>
    </xf>
    <xf numFmtId="49" fontId="67" fillId="16" borderId="41" xfId="0" applyNumberFormat="1" applyFont="1" applyFill="1" applyBorder="1" applyAlignment="1" applyProtection="1">
      <alignment horizontal="center" vertical="center"/>
    </xf>
    <xf numFmtId="38" fontId="60" fillId="16" borderId="41" xfId="0" applyNumberFormat="1" applyFont="1" applyFill="1" applyBorder="1" applyAlignment="1" applyProtection="1">
      <alignment vertical="center"/>
    </xf>
    <xf numFmtId="49" fontId="67" fillId="16" borderId="7" xfId="0" applyNumberFormat="1" applyFont="1" applyFill="1" applyBorder="1" applyAlignment="1" applyProtection="1">
      <alignment horizontal="center" vertical="center"/>
    </xf>
    <xf numFmtId="38" fontId="60" fillId="16" borderId="41" xfId="0" applyNumberFormat="1" applyFont="1" applyFill="1" applyBorder="1" applyAlignment="1" applyProtection="1">
      <alignment horizontal="right" vertical="center"/>
    </xf>
    <xf numFmtId="49" fontId="67" fillId="16" borderId="7" xfId="0" applyNumberFormat="1" applyFont="1" applyFill="1" applyBorder="1" applyAlignment="1" applyProtection="1">
      <alignment horizontal="left" vertical="center" indent="2"/>
    </xf>
    <xf numFmtId="0" fontId="62" fillId="16" borderId="7" xfId="0" applyFont="1" applyFill="1" applyBorder="1" applyAlignment="1">
      <alignment horizontal="left" indent="2"/>
    </xf>
    <xf numFmtId="38" fontId="60" fillId="16" borderId="60" xfId="0" applyNumberFormat="1" applyFont="1" applyFill="1" applyBorder="1" applyAlignment="1" applyProtection="1"/>
    <xf numFmtId="38" fontId="60" fillId="16" borderId="41" xfId="0" applyNumberFormat="1" applyFont="1" applyFill="1" applyBorder="1" applyAlignment="1" applyProtection="1">
      <alignment horizontal="right"/>
    </xf>
    <xf numFmtId="0" fontId="69" fillId="16" borderId="54" xfId="0" applyFont="1" applyFill="1" applyBorder="1" applyAlignment="1" applyProtection="1">
      <alignment horizontal="left" vertical="center" indent="2"/>
    </xf>
    <xf numFmtId="0" fontId="69" fillId="16" borderId="41" xfId="0" applyFont="1" applyFill="1" applyBorder="1" applyAlignment="1" applyProtection="1">
      <alignment horizontal="center" vertical="center"/>
    </xf>
    <xf numFmtId="0" fontId="69" fillId="16" borderId="41" xfId="0" applyFont="1" applyFill="1" applyBorder="1" applyAlignment="1" applyProtection="1">
      <alignment horizontal="left" vertical="center" indent="1"/>
    </xf>
    <xf numFmtId="0" fontId="62" fillId="16" borderId="41" xfId="0" applyFont="1" applyFill="1" applyBorder="1" applyAlignment="1" applyProtection="1">
      <alignment vertical="center"/>
    </xf>
    <xf numFmtId="38" fontId="60" fillId="16" borderId="22" xfId="0" applyNumberFormat="1" applyFont="1" applyFill="1" applyBorder="1" applyAlignment="1" applyProtection="1">
      <alignment horizontal="right" vertical="center"/>
    </xf>
    <xf numFmtId="0" fontId="67" fillId="16" borderId="0" xfId="10" applyFont="1" applyFill="1" applyAlignment="1">
      <alignment vertical="center"/>
    </xf>
    <xf numFmtId="0" fontId="67" fillId="16" borderId="0" xfId="10" applyFont="1" applyFill="1" applyAlignment="1">
      <alignment horizontal="center" vertical="center"/>
    </xf>
    <xf numFmtId="0" fontId="67" fillId="16" borderId="0" xfId="10" applyFont="1" applyFill="1" applyAlignment="1">
      <alignment horizontal="right" vertical="center"/>
    </xf>
    <xf numFmtId="0" fontId="69" fillId="16" borderId="0" xfId="10" applyFont="1" applyFill="1" applyAlignment="1">
      <alignment horizontal="right" vertical="center" indent="3"/>
    </xf>
    <xf numFmtId="0" fontId="67" fillId="16" borderId="0" xfId="10" applyFont="1" applyFill="1" applyBorder="1" applyAlignment="1">
      <alignment horizontal="right" vertical="center"/>
    </xf>
    <xf numFmtId="3" fontId="69" fillId="16" borderId="57" xfId="10" applyNumberFormat="1" applyFont="1" applyFill="1" applyBorder="1" applyAlignment="1" applyProtection="1">
      <alignment vertical="center"/>
    </xf>
    <xf numFmtId="0" fontId="67" fillId="16" borderId="0" xfId="10" applyFont="1" applyFill="1" applyAlignment="1">
      <alignment horizontal="left" vertical="center"/>
    </xf>
    <xf numFmtId="0" fontId="69" fillId="16" borderId="0" xfId="10" applyFont="1" applyFill="1" applyAlignment="1">
      <alignment horizontal="right" vertical="center"/>
    </xf>
    <xf numFmtId="38" fontId="69" fillId="16" borderId="47" xfId="10" applyNumberFormat="1" applyFont="1" applyFill="1" applyBorder="1" applyAlignment="1">
      <alignment horizontal="right"/>
    </xf>
    <xf numFmtId="0" fontId="67" fillId="16" borderId="0" xfId="10" quotePrefix="1" applyFont="1" applyFill="1" applyAlignment="1">
      <alignment horizontal="left" vertical="center"/>
    </xf>
    <xf numFmtId="38" fontId="67" fillId="16" borderId="58" xfId="10" applyNumberFormat="1" applyFont="1" applyFill="1" applyBorder="1" applyAlignment="1" applyProtection="1">
      <alignment horizontal="right"/>
    </xf>
    <xf numFmtId="0" fontId="67" fillId="16" borderId="0" xfId="11" quotePrefix="1" applyFont="1" applyFill="1" applyAlignment="1">
      <alignment horizontal="left" vertical="center"/>
    </xf>
    <xf numFmtId="0" fontId="69" fillId="16" borderId="0" xfId="10" quotePrefix="1" applyFont="1" applyFill="1" applyAlignment="1">
      <alignment horizontal="left" vertical="center"/>
    </xf>
    <xf numFmtId="40" fontId="69" fillId="16" borderId="47" xfId="10" applyNumberFormat="1" applyFont="1" applyFill="1" applyBorder="1" applyAlignment="1" applyProtection="1">
      <alignment horizontal="right"/>
    </xf>
    <xf numFmtId="0" fontId="67" fillId="16" borderId="0" xfId="11" applyFont="1" applyFill="1" applyAlignment="1">
      <alignment horizontal="left" vertical="center"/>
    </xf>
    <xf numFmtId="0" fontId="67" fillId="16" borderId="0" xfId="11" applyFont="1" applyFill="1" applyAlignment="1">
      <alignment horizontal="right" vertical="center"/>
    </xf>
    <xf numFmtId="0" fontId="69" fillId="16" borderId="0" xfId="11" applyFont="1" applyFill="1" applyAlignment="1">
      <alignment horizontal="right" vertical="center"/>
    </xf>
    <xf numFmtId="0" fontId="67" fillId="16" borderId="0" xfId="11" applyFont="1" applyFill="1" applyBorder="1" applyAlignment="1">
      <alignment horizontal="right" vertical="center"/>
    </xf>
    <xf numFmtId="38" fontId="69" fillId="16" borderId="9" xfId="11" applyNumberFormat="1" applyFont="1" applyFill="1" applyBorder="1" applyAlignment="1" applyProtection="1">
      <alignment horizontal="right"/>
    </xf>
    <xf numFmtId="38" fontId="67" fillId="16" borderId="6" xfId="11" applyNumberFormat="1" applyFont="1" applyFill="1" applyBorder="1" applyAlignment="1" applyProtection="1">
      <alignment horizontal="right"/>
    </xf>
    <xf numFmtId="0" fontId="67" fillId="16" borderId="0" xfId="11" applyFont="1" applyFill="1" applyAlignment="1">
      <alignment vertical="center"/>
    </xf>
    <xf numFmtId="40" fontId="67" fillId="16" borderId="9" xfId="11" applyNumberFormat="1" applyFont="1" applyFill="1" applyBorder="1" applyAlignment="1" applyProtection="1">
      <alignment horizontal="right"/>
    </xf>
    <xf numFmtId="40" fontId="69" fillId="16" borderId="57" xfId="11" applyNumberFormat="1" applyFont="1" applyFill="1" applyBorder="1" applyAlignment="1" applyProtection="1">
      <alignment horizontal="right"/>
    </xf>
    <xf numFmtId="38" fontId="12" fillId="16" borderId="154" xfId="17" applyNumberFormat="1" applyFill="1" applyBorder="1" applyAlignment="1" applyProtection="1">
      <alignment vertical="top"/>
    </xf>
    <xf numFmtId="38" fontId="12" fillId="16" borderId="155" xfId="17" applyNumberFormat="1" applyFill="1" applyBorder="1" applyAlignment="1" applyProtection="1">
      <alignment horizontal="right" vertical="top"/>
    </xf>
    <xf numFmtId="38" fontId="12" fillId="16" borderId="155" xfId="17" applyNumberFormat="1" applyFill="1" applyBorder="1" applyAlignment="1" applyProtection="1">
      <alignment vertical="top"/>
    </xf>
    <xf numFmtId="0" fontId="12" fillId="16" borderId="155" xfId="17" applyFill="1" applyBorder="1" applyAlignment="1" applyProtection="1">
      <alignment horizontal="left" vertical="top" wrapText="1"/>
    </xf>
    <xf numFmtId="49" fontId="12" fillId="16" borderId="155" xfId="17" applyNumberFormat="1" applyFill="1" applyBorder="1" applyAlignment="1" applyProtection="1">
      <alignment vertical="top"/>
    </xf>
    <xf numFmtId="0" fontId="12" fillId="16" borderId="155" xfId="17" applyFill="1" applyBorder="1" applyAlignment="1" applyProtection="1">
      <alignment vertical="top"/>
    </xf>
    <xf numFmtId="0" fontId="60" fillId="16" borderId="123" xfId="0" applyFont="1" applyFill="1" applyBorder="1"/>
    <xf numFmtId="37" fontId="60" fillId="16" borderId="123" xfId="0" applyNumberFormat="1" applyFont="1" applyFill="1" applyBorder="1"/>
    <xf numFmtId="37" fontId="60" fillId="16" borderId="125" xfId="0" applyNumberFormat="1" applyFont="1" applyFill="1" applyBorder="1"/>
    <xf numFmtId="0" fontId="60" fillId="16" borderId="14" xfId="0" applyFont="1" applyFill="1" applyBorder="1"/>
    <xf numFmtId="0" fontId="60" fillId="16" borderId="21" xfId="0" applyFont="1" applyFill="1" applyBorder="1"/>
    <xf numFmtId="37" fontId="60" fillId="16" borderId="14" xfId="0" applyNumberFormat="1" applyFont="1" applyFill="1" applyBorder="1"/>
    <xf numFmtId="37" fontId="60" fillId="16" borderId="21" xfId="0" applyNumberFormat="1" applyFont="1" applyFill="1" applyBorder="1"/>
    <xf numFmtId="38" fontId="60" fillId="16" borderId="14" xfId="0" applyNumberFormat="1" applyFont="1" applyFill="1" applyBorder="1"/>
    <xf numFmtId="0" fontId="67" fillId="16" borderId="0" xfId="0" applyFont="1" applyFill="1" applyBorder="1" applyAlignment="1">
      <alignment horizontal="right"/>
    </xf>
    <xf numFmtId="38" fontId="60" fillId="16" borderId="18" xfId="0" applyNumberFormat="1" applyFont="1" applyFill="1" applyBorder="1"/>
    <xf numFmtId="0" fontId="60" fillId="16" borderId="13" xfId="0" applyFont="1" applyFill="1" applyBorder="1" applyAlignment="1">
      <alignment horizontal="right"/>
    </xf>
    <xf numFmtId="10" fontId="59" fillId="16" borderId="14" xfId="0" applyNumberFormat="1" applyFont="1" applyFill="1" applyBorder="1" applyAlignment="1">
      <alignment horizontal="left" indent="2"/>
    </xf>
    <xf numFmtId="38" fontId="60" fillId="16" borderId="2" xfId="3" applyNumberFormat="1" applyFont="1" applyFill="1" applyBorder="1" applyAlignment="1">
      <alignment vertical="center"/>
    </xf>
    <xf numFmtId="38" fontId="60" fillId="16" borderId="2" xfId="3" applyNumberFormat="1" applyFont="1" applyFill="1" applyBorder="1" applyAlignment="1" applyProtection="1">
      <alignment vertical="center"/>
    </xf>
    <xf numFmtId="38" fontId="60" fillId="16" borderId="27" xfId="3" applyNumberFormat="1" applyFont="1" applyFill="1" applyBorder="1" applyAlignment="1">
      <alignment vertical="center"/>
    </xf>
    <xf numFmtId="9" fontId="60" fillId="16" borderId="4" xfId="3" applyNumberFormat="1" applyFont="1" applyFill="1" applyBorder="1" applyAlignment="1">
      <alignment horizontal="center" vertical="center"/>
    </xf>
    <xf numFmtId="38" fontId="60" fillId="16" borderId="22" xfId="3" applyNumberFormat="1" applyFont="1" applyFill="1" applyBorder="1" applyAlignment="1">
      <alignment horizontal="right" vertical="center"/>
    </xf>
    <xf numFmtId="38" fontId="60" fillId="16" borderId="41" xfId="3" applyNumberFormat="1" applyFont="1" applyFill="1" applyBorder="1" applyAlignment="1">
      <alignment horizontal="right" vertical="center"/>
    </xf>
    <xf numFmtId="38" fontId="60" fillId="16" borderId="75" xfId="3" applyNumberFormat="1" applyFont="1" applyFill="1" applyBorder="1" applyAlignment="1">
      <alignment horizontal="right" vertical="center"/>
    </xf>
    <xf numFmtId="38" fontId="59" fillId="16" borderId="75" xfId="3" applyNumberFormat="1" applyFont="1" applyFill="1" applyBorder="1" applyAlignment="1">
      <alignment horizontal="right" vertical="center"/>
    </xf>
    <xf numFmtId="38" fontId="60" fillId="16" borderId="60" xfId="3" applyNumberFormat="1" applyFont="1" applyFill="1" applyBorder="1" applyAlignment="1">
      <alignment horizontal="right" vertical="center"/>
    </xf>
    <xf numFmtId="38" fontId="59" fillId="16" borderId="60" xfId="3" applyNumberFormat="1" applyFont="1" applyFill="1" applyBorder="1" applyAlignment="1">
      <alignment horizontal="right" vertical="center"/>
    </xf>
    <xf numFmtId="38" fontId="60" fillId="16" borderId="124" xfId="0" applyNumberFormat="1" applyFont="1" applyFill="1" applyBorder="1" applyAlignment="1" applyProtection="1">
      <alignment horizontal="right"/>
    </xf>
    <xf numFmtId="0" fontId="69" fillId="15" borderId="17" xfId="0" applyFont="1" applyFill="1" applyBorder="1" applyAlignment="1">
      <alignment horizontal="left" vertical="center" wrapText="1"/>
    </xf>
    <xf numFmtId="49" fontId="69" fillId="15" borderId="26" xfId="0" applyNumberFormat="1" applyFont="1" applyFill="1" applyBorder="1" applyAlignment="1">
      <alignment horizontal="center" vertical="center"/>
    </xf>
    <xf numFmtId="38" fontId="60" fillId="15" borderId="26" xfId="0" applyNumberFormat="1" applyFont="1" applyFill="1" applyBorder="1" applyAlignment="1">
      <alignment horizontal="right"/>
    </xf>
    <xf numFmtId="38" fontId="60" fillId="15" borderId="3" xfId="0" applyNumberFormat="1" applyFont="1" applyFill="1" applyBorder="1" applyAlignment="1">
      <alignment horizontal="right"/>
    </xf>
    <xf numFmtId="0" fontId="69" fillId="0" borderId="13" xfId="0" applyFont="1" applyFill="1" applyBorder="1" applyAlignment="1">
      <alignment horizontal="left" vertical="center" wrapText="1"/>
    </xf>
    <xf numFmtId="49" fontId="69" fillId="0" borderId="2" xfId="0" applyNumberFormat="1" applyFont="1" applyFill="1" applyBorder="1" applyAlignment="1">
      <alignment horizontal="center" vertical="center"/>
    </xf>
    <xf numFmtId="0" fontId="69" fillId="16" borderId="13" xfId="0" applyFont="1" applyFill="1" applyBorder="1" applyAlignment="1">
      <alignment horizontal="left" vertical="center" wrapText="1"/>
    </xf>
    <xf numFmtId="49" fontId="69" fillId="16" borderId="2" xfId="0" applyNumberFormat="1" applyFont="1" applyFill="1" applyBorder="1" applyAlignment="1">
      <alignment horizontal="center" vertical="center"/>
    </xf>
    <xf numFmtId="3" fontId="67" fillId="0" borderId="13" xfId="0" applyNumberFormat="1" applyFont="1" applyFill="1" applyBorder="1" applyAlignment="1">
      <alignment horizontal="left" vertical="center" wrapText="1" indent="1"/>
    </xf>
    <xf numFmtId="0" fontId="69" fillId="0" borderId="49" xfId="0" applyFont="1" applyFill="1" applyBorder="1" applyAlignment="1">
      <alignment horizontal="left" vertical="center" wrapText="1" indent="1"/>
    </xf>
    <xf numFmtId="0" fontId="69" fillId="0" borderId="13" xfId="0" applyFont="1" applyFill="1" applyBorder="1" applyAlignment="1">
      <alignment horizontal="left" vertical="center" wrapText="1" indent="1"/>
    </xf>
    <xf numFmtId="38" fontId="60" fillId="26" borderId="26" xfId="0" applyNumberFormat="1" applyFont="1" applyFill="1" applyBorder="1" applyAlignment="1">
      <alignment horizontal="right"/>
    </xf>
    <xf numFmtId="3" fontId="67" fillId="0" borderId="12" xfId="0" applyNumberFormat="1" applyFont="1" applyBorder="1" applyAlignment="1">
      <alignment horizontal="left" vertical="top" wrapText="1" indent="1"/>
    </xf>
    <xf numFmtId="38" fontId="60" fillId="16" borderId="19" xfId="0" applyNumberFormat="1" applyFont="1" applyFill="1" applyBorder="1" applyAlignment="1" applyProtection="1">
      <alignment horizontal="right"/>
    </xf>
    <xf numFmtId="49" fontId="38" fillId="0" borderId="0" xfId="2" applyNumberFormat="1" applyBorder="1" applyAlignment="1" applyProtection="1">
      <alignment horizontal="center"/>
    </xf>
    <xf numFmtId="49" fontId="9" fillId="0" borderId="154" xfId="17" applyNumberFormat="1" applyFont="1" applyBorder="1" applyAlignment="1" applyProtection="1">
      <alignment horizontal="center" vertical="center"/>
      <protection locked="0"/>
    </xf>
    <xf numFmtId="14" fontId="62" fillId="0" borderId="0" xfId="0" applyNumberFormat="1" applyFont="1" applyBorder="1" applyAlignment="1" applyProtection="1">
      <alignment vertical="center"/>
      <protection locked="0"/>
    </xf>
    <xf numFmtId="0" fontId="78" fillId="0" borderId="0" xfId="3" applyFont="1" applyBorder="1" applyAlignment="1" applyProtection="1">
      <alignment horizontal="center" vertical="top"/>
    </xf>
    <xf numFmtId="0" fontId="62" fillId="0" borderId="158" xfId="3" applyFont="1" applyBorder="1" applyProtection="1"/>
    <xf numFmtId="49" fontId="67" fillId="0" borderId="14" xfId="0" applyNumberFormat="1" applyFont="1" applyFill="1" applyBorder="1" applyAlignment="1" applyProtection="1">
      <alignment horizontal="center" vertical="center"/>
    </xf>
    <xf numFmtId="38" fontId="60" fillId="15" borderId="3" xfId="0" applyNumberFormat="1" applyFont="1" applyFill="1" applyBorder="1" applyAlignment="1" applyProtection="1">
      <alignment horizontal="right"/>
    </xf>
    <xf numFmtId="38" fontId="60" fillId="15" borderId="26" xfId="0" applyNumberFormat="1" applyFont="1" applyFill="1" applyBorder="1" applyAlignment="1" applyProtection="1">
      <alignment horizontal="right"/>
    </xf>
    <xf numFmtId="38" fontId="12" fillId="0" borderId="154" xfId="17" applyNumberFormat="1" applyBorder="1" applyAlignment="1" applyProtection="1">
      <alignment horizontal="right" vertical="top"/>
      <protection locked="0"/>
    </xf>
    <xf numFmtId="0" fontId="67" fillId="0" borderId="0" xfId="3" applyFont="1" applyBorder="1" applyAlignment="1" applyProtection="1">
      <alignment horizontal="left" vertical="top" wrapText="1"/>
    </xf>
    <xf numFmtId="0" fontId="59" fillId="0" borderId="0" xfId="3" applyFont="1" applyAlignment="1" applyProtection="1">
      <alignment horizontal="center"/>
    </xf>
    <xf numFmtId="0" fontId="105" fillId="0" borderId="0" xfId="18" applyFont="1"/>
    <xf numFmtId="0" fontId="106" fillId="23" borderId="0" xfId="18" applyFont="1" applyFill="1" applyAlignment="1">
      <alignment horizontal="centerContinuous" vertical="center"/>
    </xf>
    <xf numFmtId="0" fontId="105" fillId="23" borderId="0" xfId="18" applyFont="1" applyFill="1" applyAlignment="1">
      <alignment horizontal="centerContinuous"/>
    </xf>
    <xf numFmtId="0" fontId="93" fillId="0" borderId="134" xfId="18" applyFont="1" applyFill="1" applyBorder="1" applyAlignment="1">
      <alignment horizontal="center" vertical="top" wrapText="1"/>
    </xf>
    <xf numFmtId="0" fontId="93" fillId="0" borderId="0" xfId="18" applyFont="1" applyFill="1" applyBorder="1" applyAlignment="1">
      <alignment horizontal="center" vertical="top" wrapText="1"/>
    </xf>
    <xf numFmtId="0" fontId="9" fillId="0" borderId="0" xfId="18" applyFont="1" applyAlignment="1">
      <alignment wrapText="1"/>
    </xf>
    <xf numFmtId="0" fontId="137" fillId="0" borderId="159" xfId="18" applyFont="1" applyFill="1" applyBorder="1" applyAlignment="1" applyProtection="1">
      <alignment horizontal="center" vertical="center"/>
      <protection locked="0"/>
    </xf>
    <xf numFmtId="0" fontId="108" fillId="0" borderId="0" xfId="18" applyNumberFormat="1" applyFont="1"/>
    <xf numFmtId="0" fontId="83" fillId="0" borderId="107" xfId="18" applyFont="1" applyBorder="1" applyAlignment="1">
      <alignment horizontal="left" vertical="center" wrapText="1"/>
    </xf>
    <xf numFmtId="0" fontId="83" fillId="0" borderId="161" xfId="18" applyFont="1" applyBorder="1" applyAlignment="1">
      <alignment horizontal="left" vertical="center" wrapText="1"/>
    </xf>
    <xf numFmtId="49" fontId="131" fillId="0" borderId="106" xfId="18" applyNumberFormat="1" applyFont="1" applyBorder="1" applyAlignment="1" applyProtection="1">
      <alignment horizontal="center" vertical="center"/>
      <protection locked="0"/>
    </xf>
    <xf numFmtId="0" fontId="131" fillId="0" borderId="106" xfId="18" applyFont="1" applyFill="1" applyBorder="1" applyAlignment="1" applyProtection="1">
      <alignment horizontal="center" vertical="center" wrapText="1"/>
      <protection locked="0"/>
    </xf>
    <xf numFmtId="0" fontId="105" fillId="0" borderId="106" xfId="18" applyFont="1" applyFill="1" applyBorder="1"/>
    <xf numFmtId="0" fontId="109" fillId="0" borderId="156" xfId="18" applyFont="1" applyBorder="1" applyAlignment="1">
      <alignment horizontal="left" vertical="center" wrapText="1"/>
    </xf>
    <xf numFmtId="0" fontId="109" fillId="0" borderId="157" xfId="18" applyFont="1" applyBorder="1" applyAlignment="1">
      <alignment horizontal="left" vertical="center" wrapText="1"/>
    </xf>
    <xf numFmtId="49" fontId="109" fillId="17" borderId="106" xfId="18" applyNumberFormat="1" applyFont="1" applyFill="1" applyBorder="1" applyAlignment="1">
      <alignment horizontal="center" vertical="center"/>
    </xf>
    <xf numFmtId="0" fontId="83" fillId="0" borderId="107" xfId="18" applyFont="1" applyFill="1" applyBorder="1" applyAlignment="1">
      <alignment horizontal="left" vertical="center" wrapText="1"/>
    </xf>
    <xf numFmtId="0" fontId="83" fillId="0" borderId="129" xfId="18" applyFont="1" applyFill="1" applyBorder="1" applyAlignment="1">
      <alignment horizontal="left" vertical="center" wrapText="1"/>
    </xf>
    <xf numFmtId="49" fontId="138" fillId="0" borderId="105" xfId="18" applyNumberFormat="1" applyFont="1" applyBorder="1" applyAlignment="1" applyProtection="1">
      <alignment horizontal="center" vertical="center"/>
      <protection locked="0"/>
    </xf>
    <xf numFmtId="49" fontId="138" fillId="0" borderId="109" xfId="18" applyNumberFormat="1" applyFont="1" applyFill="1" applyBorder="1" applyAlignment="1" applyProtection="1">
      <alignment horizontal="center" vertical="center"/>
      <protection locked="0"/>
    </xf>
    <xf numFmtId="0" fontId="105" fillId="0" borderId="105" xfId="18" applyFont="1" applyBorder="1" applyProtection="1">
      <protection locked="0"/>
    </xf>
    <xf numFmtId="49" fontId="138" fillId="0" borderId="107" xfId="18" applyNumberFormat="1" applyFont="1" applyFill="1" applyBorder="1" applyAlignment="1" applyProtection="1">
      <alignment horizontal="center" vertical="center"/>
      <protection locked="0"/>
    </xf>
    <xf numFmtId="0" fontId="105" fillId="0" borderId="0" xfId="18" applyFont="1" applyProtection="1"/>
    <xf numFmtId="0" fontId="9" fillId="0" borderId="0" xfId="18" applyFont="1"/>
    <xf numFmtId="0" fontId="53" fillId="0" borderId="137" xfId="18" applyFont="1" applyBorder="1" applyAlignment="1">
      <alignment vertical="top"/>
    </xf>
    <xf numFmtId="0" fontId="53" fillId="0" borderId="138" xfId="18" applyFont="1" applyBorder="1" applyAlignment="1">
      <alignment vertical="top"/>
    </xf>
    <xf numFmtId="0" fontId="54" fillId="15" borderId="76" xfId="18" applyFont="1" applyFill="1" applyBorder="1" applyAlignment="1">
      <alignment vertical="top"/>
    </xf>
    <xf numFmtId="0" fontId="53" fillId="0" borderId="137" xfId="18" applyFont="1" applyBorder="1" applyAlignment="1">
      <alignment vertical="top" wrapText="1"/>
    </xf>
    <xf numFmtId="0" fontId="53" fillId="0" borderId="138" xfId="18" applyFont="1" applyBorder="1" applyAlignment="1">
      <alignment vertical="top" wrapText="1"/>
    </xf>
    <xf numFmtId="0" fontId="105" fillId="0" borderId="0" xfId="18" applyFont="1" applyAlignment="1">
      <alignment horizontal="left" vertical="center" wrapText="1"/>
    </xf>
    <xf numFmtId="0" fontId="105" fillId="0" borderId="0" xfId="18" applyFont="1" applyFill="1" applyBorder="1"/>
    <xf numFmtId="0" fontId="108" fillId="0" borderId="0" xfId="18" applyFont="1"/>
    <xf numFmtId="0" fontId="139" fillId="0" borderId="0" xfId="18" applyFont="1"/>
    <xf numFmtId="0" fontId="70" fillId="12" borderId="46" xfId="0" applyFont="1" applyFill="1" applyBorder="1" applyAlignment="1" applyProtection="1">
      <alignment horizontal="left" vertical="center"/>
    </xf>
    <xf numFmtId="0" fontId="69" fillId="12" borderId="6" xfId="0" applyFont="1" applyFill="1" applyBorder="1" applyAlignment="1" applyProtection="1">
      <alignment horizontal="left" vertical="center"/>
    </xf>
    <xf numFmtId="0" fontId="67" fillId="12" borderId="7" xfId="0" applyFont="1" applyFill="1" applyBorder="1" applyAlignment="1" applyProtection="1">
      <alignment horizontal="left" vertical="center" indent="2"/>
    </xf>
    <xf numFmtId="0" fontId="70" fillId="12" borderId="2" xfId="0" applyFont="1" applyFill="1" applyBorder="1" applyAlignment="1">
      <alignment horizontal="center" vertical="center"/>
    </xf>
    <xf numFmtId="49" fontId="69" fillId="0" borderId="2" xfId="0" applyNumberFormat="1" applyFont="1" applyFill="1" applyBorder="1" applyAlignment="1" applyProtection="1">
      <alignment horizontal="center" vertical="top" wrapText="1"/>
    </xf>
    <xf numFmtId="49" fontId="69" fillId="0" borderId="2" xfId="9" applyNumberFormat="1" applyFont="1" applyFill="1" applyBorder="1" applyAlignment="1">
      <alignment horizontal="center" vertical="top" wrapText="1"/>
    </xf>
    <xf numFmtId="49" fontId="69" fillId="5" borderId="2" xfId="9" applyNumberFormat="1" applyFont="1" applyFill="1" applyBorder="1" applyAlignment="1" applyProtection="1">
      <alignment horizontal="center" vertical="top" wrapText="1"/>
    </xf>
    <xf numFmtId="0" fontId="105" fillId="23" borderId="0" xfId="18" applyFont="1" applyFill="1" applyAlignment="1">
      <alignment horizontal="centerContinuous" vertical="center"/>
    </xf>
    <xf numFmtId="0" fontId="109" fillId="23" borderId="135" xfId="18" applyFont="1" applyFill="1" applyBorder="1" applyAlignment="1">
      <alignment horizontal="center" vertical="center" wrapText="1"/>
    </xf>
    <xf numFmtId="0" fontId="109" fillId="23" borderId="160" xfId="18" applyFont="1" applyFill="1" applyBorder="1" applyAlignment="1">
      <alignment horizontal="center" vertical="center" wrapText="1"/>
    </xf>
    <xf numFmtId="0" fontId="109" fillId="17" borderId="136" xfId="18" applyFont="1" applyFill="1" applyBorder="1" applyAlignment="1">
      <alignment horizontal="center" vertical="center" wrapText="1"/>
    </xf>
    <xf numFmtId="49" fontId="109" fillId="17" borderId="107" xfId="18" applyNumberFormat="1" applyFont="1" applyFill="1" applyBorder="1" applyAlignment="1">
      <alignment horizontal="center" vertical="center" wrapText="1"/>
    </xf>
    <xf numFmtId="0" fontId="54" fillId="17" borderId="108" xfId="18" applyFont="1" applyFill="1" applyBorder="1" applyAlignment="1">
      <alignment horizontal="center"/>
    </xf>
    <xf numFmtId="0" fontId="107" fillId="0" borderId="136" xfId="18" applyFont="1" applyFill="1" applyBorder="1" applyAlignment="1" applyProtection="1">
      <alignment horizontal="right"/>
    </xf>
    <xf numFmtId="0" fontId="70" fillId="23" borderId="12" xfId="3" applyNumberFormat="1" applyFont="1" applyFill="1" applyBorder="1" applyAlignment="1">
      <alignment horizontal="left"/>
    </xf>
    <xf numFmtId="0" fontId="59" fillId="0" borderId="12" xfId="3" applyNumberFormat="1" applyFont="1" applyFill="1" applyBorder="1" applyAlignment="1">
      <alignment horizontal="centerContinuous" vertical="center"/>
    </xf>
    <xf numFmtId="0" fontId="59" fillId="0" borderId="3" xfId="3" applyNumberFormat="1" applyFont="1" applyFill="1" applyBorder="1" applyAlignment="1">
      <alignment horizontal="centerContinuous" vertical="center"/>
    </xf>
    <xf numFmtId="0" fontId="60" fillId="12" borderId="39" xfId="0" applyFont="1" applyFill="1" applyBorder="1"/>
    <xf numFmtId="0" fontId="60" fillId="12" borderId="23" xfId="0" applyFont="1" applyFill="1" applyBorder="1" applyAlignment="1">
      <alignment horizontal="left" vertical="top"/>
    </xf>
    <xf numFmtId="0" fontId="60" fillId="12" borderId="23" xfId="0" applyFont="1" applyFill="1" applyBorder="1" applyAlignment="1">
      <alignment vertical="top" wrapText="1"/>
    </xf>
    <xf numFmtId="0" fontId="69" fillId="12" borderId="62" xfId="0" applyFont="1" applyFill="1" applyBorder="1" applyAlignment="1">
      <alignment vertical="top"/>
    </xf>
    <xf numFmtId="6" fontId="60" fillId="0" borderId="78" xfId="3" applyNumberFormat="1" applyFont="1" applyBorder="1" applyAlignment="1" applyProtection="1">
      <alignment horizontal="center"/>
      <protection locked="0"/>
    </xf>
    <xf numFmtId="0" fontId="62" fillId="0" borderId="0" xfId="3" applyFont="1" applyFill="1" applyBorder="1" applyAlignment="1" applyProtection="1">
      <alignment horizontal="center" vertical="center"/>
    </xf>
    <xf numFmtId="3" fontId="60" fillId="0" borderId="0" xfId="3" applyNumberFormat="1" applyFont="1" applyBorder="1" applyAlignment="1" applyProtection="1">
      <alignment horizontal="right" indent="1"/>
    </xf>
    <xf numFmtId="5" fontId="60" fillId="0" borderId="0" xfId="3" applyNumberFormat="1" applyFont="1" applyBorder="1" applyAlignment="1" applyProtection="1"/>
    <xf numFmtId="5" fontId="60" fillId="0" borderId="0" xfId="3" applyNumberFormat="1" applyFont="1" applyBorder="1" applyAlignment="1" applyProtection="1">
      <alignment horizontal="center"/>
    </xf>
    <xf numFmtId="38" fontId="67" fillId="0" borderId="144" xfId="11" applyNumberFormat="1" applyFont="1" applyFill="1" applyBorder="1" applyAlignment="1" applyProtection="1">
      <alignment horizontal="right"/>
      <protection locked="0"/>
    </xf>
    <xf numFmtId="38" fontId="67" fillId="16" borderId="9" xfId="11" applyNumberFormat="1" applyFont="1" applyFill="1" applyBorder="1" applyAlignment="1" applyProtection="1">
      <alignment horizontal="right"/>
    </xf>
    <xf numFmtId="3" fontId="67" fillId="16" borderId="9" xfId="10" applyNumberFormat="1" applyFont="1" applyFill="1" applyBorder="1" applyAlignment="1" applyProtection="1">
      <alignment vertical="center"/>
    </xf>
    <xf numFmtId="3" fontId="67" fillId="16" borderId="6" xfId="10" applyNumberFormat="1" applyFont="1" applyFill="1" applyBorder="1" applyAlignment="1" applyProtection="1">
      <alignment vertical="center"/>
    </xf>
    <xf numFmtId="38" fontId="67" fillId="16" borderId="9" xfId="10" applyNumberFormat="1" applyFont="1" applyFill="1" applyBorder="1" applyAlignment="1" applyProtection="1">
      <alignment horizontal="right" vertical="center"/>
    </xf>
    <xf numFmtId="38" fontId="67" fillId="16" borderId="0" xfId="10" applyNumberFormat="1" applyFont="1" applyFill="1" applyAlignment="1">
      <alignment vertical="top"/>
    </xf>
    <xf numFmtId="38" fontId="67" fillId="16" borderId="6" xfId="10" applyNumberFormat="1" applyFont="1" applyFill="1" applyBorder="1" applyAlignment="1" applyProtection="1">
      <alignment horizontal="right" vertical="center"/>
    </xf>
    <xf numFmtId="38" fontId="67" fillId="16" borderId="6" xfId="10" applyNumberFormat="1" applyFont="1" applyFill="1" applyBorder="1" applyAlignment="1" applyProtection="1">
      <alignment horizontal="right"/>
    </xf>
    <xf numFmtId="38" fontId="67" fillId="16" borderId="0" xfId="10" applyNumberFormat="1" applyFont="1" applyFill="1" applyAlignment="1">
      <alignment horizontal="right"/>
    </xf>
    <xf numFmtId="38" fontId="67" fillId="16" borderId="9" xfId="10" applyNumberFormat="1" applyFont="1" applyFill="1" applyBorder="1" applyAlignment="1" applyProtection="1">
      <alignment horizontal="right"/>
    </xf>
    <xf numFmtId="38" fontId="67" fillId="16" borderId="6" xfId="10" applyNumberFormat="1" applyFont="1" applyFill="1" applyBorder="1" applyAlignment="1">
      <alignment horizontal="right"/>
    </xf>
    <xf numFmtId="38" fontId="67" fillId="16" borderId="144" xfId="10" applyNumberFormat="1" applyFont="1" applyFill="1" applyBorder="1" applyAlignment="1" applyProtection="1">
      <alignment horizontal="right"/>
    </xf>
    <xf numFmtId="0" fontId="69" fillId="0" borderId="0" xfId="11" quotePrefix="1" applyFont="1" applyAlignment="1">
      <alignment horizontal="left" vertical="top"/>
    </xf>
    <xf numFmtId="0" fontId="69" fillId="0" borderId="0" xfId="11" applyFont="1" applyAlignment="1">
      <alignment horizontal="left" vertical="top"/>
    </xf>
    <xf numFmtId="0" fontId="69" fillId="0" borderId="0" xfId="11" applyFont="1" applyAlignment="1">
      <alignment horizontal="center" vertical="top"/>
    </xf>
    <xf numFmtId="0" fontId="69" fillId="0" borderId="0" xfId="11" applyFont="1" applyAlignment="1">
      <alignment horizontal="left" vertical="top" wrapText="1"/>
    </xf>
    <xf numFmtId="0" fontId="69" fillId="0" borderId="0" xfId="10" applyFont="1" applyAlignment="1">
      <alignment vertical="center"/>
    </xf>
    <xf numFmtId="0" fontId="69" fillId="0" borderId="0" xfId="11" applyFont="1" applyAlignment="1">
      <alignment vertical="center"/>
    </xf>
    <xf numFmtId="0" fontId="69" fillId="0" borderId="0" xfId="11" applyFont="1" applyAlignment="1">
      <alignment horizontal="right" vertical="center"/>
    </xf>
    <xf numFmtId="0" fontId="69" fillId="0" borderId="0" xfId="0" applyFont="1" applyBorder="1" applyAlignment="1" applyProtection="1">
      <alignment horizontal="left" vertical="center"/>
    </xf>
    <xf numFmtId="0" fontId="92" fillId="0" borderId="0" xfId="2" applyFont="1" applyAlignment="1" applyProtection="1">
      <alignment horizontal="right" vertical="center"/>
    </xf>
    <xf numFmtId="0" fontId="38" fillId="0" borderId="0" xfId="2" applyAlignment="1" applyProtection="1">
      <alignment vertical="center"/>
    </xf>
    <xf numFmtId="0" fontId="69" fillId="17" borderId="21" xfId="0" applyFont="1" applyFill="1" applyBorder="1" applyAlignment="1" applyProtection="1">
      <alignment vertical="center"/>
    </xf>
    <xf numFmtId="0" fontId="69" fillId="17" borderId="2" xfId="0" applyFont="1" applyFill="1" applyBorder="1" applyAlignment="1" applyProtection="1">
      <alignment vertical="center"/>
    </xf>
    <xf numFmtId="0" fontId="67" fillId="0" borderId="21" xfId="0" applyFont="1" applyBorder="1" applyAlignment="1" applyProtection="1">
      <alignment horizontal="left" vertical="center" indent="1"/>
    </xf>
    <xf numFmtId="0" fontId="129" fillId="0" borderId="21" xfId="0" applyFont="1" applyBorder="1" applyAlignment="1" applyProtection="1">
      <alignment horizontal="left" vertical="center" indent="1"/>
    </xf>
    <xf numFmtId="38" fontId="8" fillId="16" borderId="154" xfId="17" applyNumberFormat="1" applyFont="1" applyFill="1" applyBorder="1" applyAlignment="1" applyProtection="1">
      <alignment horizontal="right" vertical="top"/>
    </xf>
    <xf numFmtId="38" fontId="8" fillId="16" borderId="155" xfId="17" applyNumberFormat="1" applyFont="1" applyFill="1" applyBorder="1" applyAlignment="1" applyProtection="1">
      <alignment horizontal="right" vertical="top"/>
    </xf>
    <xf numFmtId="0" fontId="62" fillId="0" borderId="77" xfId="3" applyNumberFormat="1" applyFont="1" applyBorder="1" applyAlignment="1" applyProtection="1">
      <alignment horizontal="center"/>
      <protection locked="0"/>
    </xf>
    <xf numFmtId="0" fontId="143" fillId="0" borderId="0" xfId="21" applyAlignment="1"/>
    <xf numFmtId="4" fontId="143" fillId="0" borderId="0" xfId="21" applyNumberFormat="1" applyAlignment="1"/>
    <xf numFmtId="0" fontId="143" fillId="0" borderId="0" xfId="21" quotePrefix="1" applyAlignment="1"/>
    <xf numFmtId="0" fontId="6" fillId="0" borderId="0" xfId="230"/>
    <xf numFmtId="4" fontId="6" fillId="0" borderId="0" xfId="230" applyNumberFormat="1"/>
    <xf numFmtId="0" fontId="6" fillId="0" borderId="0" xfId="230" quotePrefix="1"/>
    <xf numFmtId="0" fontId="6" fillId="0" borderId="0" xfId="231"/>
    <xf numFmtId="4" fontId="6" fillId="0" borderId="0" xfId="231" applyNumberFormat="1"/>
    <xf numFmtId="0" fontId="6" fillId="0" borderId="0" xfId="231" quotePrefix="1"/>
    <xf numFmtId="0" fontId="6" fillId="0" borderId="0" xfId="230" applyFont="1"/>
    <xf numFmtId="0" fontId="6" fillId="0" borderId="0" xfId="230" applyAlignment="1">
      <alignment horizontal="center" wrapText="1"/>
    </xf>
    <xf numFmtId="0" fontId="133" fillId="0" borderId="0" xfId="230" applyFont="1" applyAlignment="1">
      <alignment horizontal="center" wrapText="1"/>
    </xf>
    <xf numFmtId="0" fontId="5" fillId="0" borderId="0" xfId="230" applyFont="1"/>
    <xf numFmtId="0" fontId="18" fillId="0" borderId="0" xfId="0" applyFont="1" applyAlignment="1">
      <alignment horizontal="center" vertical="center"/>
    </xf>
    <xf numFmtId="0" fontId="140" fillId="2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xf numFmtId="0" fontId="4" fillId="0" borderId="0" xfId="231" applyFont="1"/>
    <xf numFmtId="0" fontId="18" fillId="0" borderId="0" xfId="0" applyFont="1" applyAlignment="1">
      <alignment horizontal="center" vertical="center" wrapText="1"/>
    </xf>
    <xf numFmtId="0" fontId="4" fillId="0" borderId="0" xfId="230" applyFont="1"/>
    <xf numFmtId="0" fontId="6" fillId="0" borderId="0" xfId="230" applyFill="1"/>
    <xf numFmtId="4" fontId="6" fillId="0" borderId="0" xfId="231" applyNumberFormat="1" applyFill="1"/>
    <xf numFmtId="0" fontId="6" fillId="0" borderId="0" xfId="231" applyFill="1"/>
    <xf numFmtId="0" fontId="6" fillId="0" borderId="0" xfId="231" applyFont="1" applyFill="1"/>
    <xf numFmtId="4" fontId="6" fillId="0" borderId="0" xfId="231" applyNumberFormat="1" applyFont="1" applyFill="1"/>
    <xf numFmtId="0" fontId="143" fillId="0" borderId="0" xfId="21" applyFill="1" applyAlignment="1"/>
    <xf numFmtId="4" fontId="143" fillId="0" borderId="0" xfId="21" applyNumberFormat="1" applyFill="1" applyAlignment="1"/>
    <xf numFmtId="4" fontId="6" fillId="0" borderId="0" xfId="230" applyNumberFormat="1" applyFill="1"/>
    <xf numFmtId="0" fontId="133" fillId="20" borderId="0" xfId="230" applyFont="1" applyFill="1" applyAlignment="1">
      <alignment horizontal="center" wrapText="1"/>
    </xf>
    <xf numFmtId="49" fontId="18" fillId="0" borderId="0" xfId="3" applyNumberFormat="1" applyFont="1" applyBorder="1" applyAlignment="1" applyProtection="1">
      <alignment horizontal="center" vertical="center"/>
    </xf>
    <xf numFmtId="0" fontId="15" fillId="0" borderId="0" xfId="3" applyProtection="1"/>
    <xf numFmtId="166" fontId="18" fillId="0" borderId="0" xfId="3" applyNumberFormat="1" applyFont="1" applyBorder="1" applyAlignment="1" applyProtection="1">
      <alignment horizontal="center" vertical="center"/>
    </xf>
    <xf numFmtId="0" fontId="18" fillId="0" borderId="0" xfId="3" applyFont="1" applyAlignment="1" applyProtection="1">
      <alignment horizontal="center" vertical="center"/>
    </xf>
    <xf numFmtId="171" fontId="18" fillId="0" borderId="0" xfId="3" applyNumberFormat="1" applyFont="1" applyAlignment="1" applyProtection="1">
      <alignment horizontal="center" vertical="center"/>
    </xf>
    <xf numFmtId="0" fontId="15" fillId="0" borderId="0" xfId="3" applyBorder="1" applyProtection="1"/>
    <xf numFmtId="0" fontId="146" fillId="0" borderId="0" xfId="3" applyFont="1" applyBorder="1" applyAlignment="1" applyProtection="1">
      <alignment horizontal="left"/>
    </xf>
    <xf numFmtId="0" fontId="39" fillId="0" borderId="0" xfId="3" applyFont="1" applyBorder="1" applyAlignment="1" applyProtection="1">
      <alignment horizontal="left"/>
    </xf>
    <xf numFmtId="0" fontId="39" fillId="0" borderId="0" xfId="3" applyFont="1" applyBorder="1" applyProtection="1"/>
    <xf numFmtId="0" fontId="18" fillId="0" borderId="0" xfId="3" applyFont="1" applyBorder="1" applyAlignment="1" applyProtection="1">
      <alignment horizontal="left"/>
    </xf>
    <xf numFmtId="0" fontId="16" fillId="0" borderId="0" xfId="3" applyFont="1" applyBorder="1" applyProtection="1"/>
    <xf numFmtId="0" fontId="18" fillId="0" borderId="0" xfId="3" applyFont="1" applyBorder="1" applyAlignment="1" applyProtection="1">
      <alignment horizontal="center"/>
    </xf>
    <xf numFmtId="0" fontId="147" fillId="0" borderId="0" xfId="3" applyFont="1" applyBorder="1" applyAlignment="1" applyProtection="1">
      <alignment horizontal="left"/>
    </xf>
    <xf numFmtId="0" fontId="15" fillId="0" borderId="0" xfId="3" applyBorder="1" applyProtection="1">
      <protection locked="0"/>
    </xf>
    <xf numFmtId="0" fontId="15" fillId="0" borderId="0" xfId="3" applyProtection="1">
      <protection locked="0"/>
    </xf>
    <xf numFmtId="0" fontId="17" fillId="0" borderId="0" xfId="3" applyFont="1" applyProtection="1"/>
    <xf numFmtId="0" fontId="148" fillId="0" borderId="0" xfId="3" applyFont="1" applyBorder="1" applyAlignment="1" applyProtection="1">
      <alignment horizontal="left"/>
    </xf>
    <xf numFmtId="0" fontId="16" fillId="0" borderId="0" xfId="3" applyFont="1" applyAlignment="1" applyProtection="1">
      <alignment horizontal="left"/>
    </xf>
    <xf numFmtId="0" fontId="16" fillId="0" borderId="0" xfId="3" applyFont="1" applyProtection="1"/>
    <xf numFmtId="0" fontId="41" fillId="0" borderId="0" xfId="3" applyFont="1" applyProtection="1"/>
    <xf numFmtId="0" fontId="148" fillId="0" borderId="0" xfId="3" applyFont="1" applyBorder="1" applyProtection="1"/>
    <xf numFmtId="0" fontId="148" fillId="0" borderId="0" xfId="3" applyFont="1" applyProtection="1"/>
    <xf numFmtId="8" fontId="0" fillId="0" borderId="0" xfId="0" applyNumberFormat="1"/>
    <xf numFmtId="0" fontId="15" fillId="0" borderId="0" xfId="3" applyFont="1"/>
    <xf numFmtId="49" fontId="138" fillId="0" borderId="107" xfId="18" applyNumberFormat="1" applyFont="1" applyBorder="1" applyAlignment="1" applyProtection="1">
      <alignment horizontal="center" vertical="center"/>
      <protection locked="0"/>
    </xf>
    <xf numFmtId="0" fontId="59" fillId="0" borderId="0" xfId="3" applyFont="1" applyAlignment="1" applyProtection="1">
      <alignment horizontal="center" vertical="center"/>
    </xf>
    <xf numFmtId="0" fontId="59" fillId="0" borderId="0" xfId="3" applyFont="1" applyAlignment="1" applyProtection="1">
      <alignment horizontal="center" vertical="center"/>
    </xf>
    <xf numFmtId="178" fontId="18" fillId="0" borderId="9" xfId="3" applyNumberFormat="1" applyFont="1" applyBorder="1" applyAlignment="1" applyProtection="1">
      <alignment horizontal="left"/>
      <protection locked="0"/>
    </xf>
    <xf numFmtId="14" fontId="15" fillId="0" borderId="0" xfId="3" applyNumberFormat="1" applyAlignment="1" applyProtection="1">
      <protection locked="0"/>
    </xf>
    <xf numFmtId="0" fontId="147" fillId="0" borderId="0" xfId="3" applyFont="1" applyBorder="1" applyAlignment="1" applyProtection="1">
      <alignment horizontal="left"/>
    </xf>
    <xf numFmtId="178" fontId="18" fillId="0" borderId="9" xfId="3" applyNumberFormat="1" applyFont="1" applyBorder="1" applyAlignment="1" applyProtection="1">
      <alignment horizontal="left"/>
      <protection locked="0"/>
    </xf>
    <xf numFmtId="0" fontId="153" fillId="0" borderId="162" xfId="10669" applyFont="1" applyBorder="1" applyAlignment="1" applyProtection="1">
      <alignment horizontal="left" vertical="top" wrapText="1"/>
      <protection locked="0"/>
    </xf>
    <xf numFmtId="49" fontId="153" fillId="0" borderId="162" xfId="10669" applyNumberFormat="1" applyFont="1" applyBorder="1" applyAlignment="1" applyProtection="1">
      <alignment horizontal="center" vertical="top"/>
      <protection locked="0"/>
    </xf>
    <xf numFmtId="0" fontId="153" fillId="0" borderId="164" xfId="10669" applyFont="1" applyBorder="1" applyAlignment="1" applyProtection="1">
      <alignment vertical="top"/>
      <protection locked="0"/>
    </xf>
    <xf numFmtId="0" fontId="153" fillId="0" borderId="163" xfId="10669" applyFont="1" applyBorder="1" applyAlignment="1" applyProtection="1">
      <alignment vertical="top"/>
      <protection locked="0"/>
    </xf>
    <xf numFmtId="0" fontId="153" fillId="0" borderId="162" xfId="10669" applyFont="1" applyBorder="1" applyAlignment="1" applyProtection="1">
      <alignment vertical="top"/>
      <protection locked="0"/>
    </xf>
    <xf numFmtId="0" fontId="153" fillId="0" borderId="166" xfId="10669" applyFont="1" applyBorder="1" applyAlignment="1" applyProtection="1">
      <alignment horizontal="left" vertical="top" wrapText="1"/>
      <protection locked="0"/>
    </xf>
    <xf numFmtId="0" fontId="153" fillId="0" borderId="165" xfId="10669" applyFont="1" applyBorder="1" applyAlignment="1" applyProtection="1">
      <alignment vertical="top" wrapText="1"/>
      <protection locked="0"/>
    </xf>
    <xf numFmtId="49" fontId="153" fillId="0" borderId="164" xfId="10669" applyNumberFormat="1" applyFont="1" applyBorder="1" applyAlignment="1" applyProtection="1">
      <alignment horizontal="center" vertical="top"/>
      <protection locked="0"/>
    </xf>
    <xf numFmtId="49" fontId="153" fillId="0" borderId="163" xfId="10669" applyNumberFormat="1" applyFont="1" applyBorder="1" applyAlignment="1" applyProtection="1">
      <alignment horizontal="center" vertical="top"/>
      <protection locked="0"/>
    </xf>
    <xf numFmtId="0" fontId="153" fillId="27" borderId="0" xfId="10669" applyFont="1" applyFill="1" applyAlignment="1" applyProtection="1">
      <alignment horizontal="left"/>
      <protection locked="0"/>
    </xf>
    <xf numFmtId="0" fontId="153" fillId="27" borderId="168" xfId="10669" applyFont="1" applyFill="1" applyBorder="1" applyAlignment="1" applyProtection="1">
      <alignment horizontal="left"/>
      <protection locked="0"/>
    </xf>
    <xf numFmtId="0" fontId="153" fillId="0" borderId="167" xfId="10669" applyFont="1" applyBorder="1" applyAlignment="1" applyProtection="1">
      <alignment horizontal="left" vertical="top" wrapText="1"/>
      <protection locked="0"/>
    </xf>
    <xf numFmtId="49" fontId="153" fillId="0" borderId="162" xfId="10669" applyNumberFormat="1" applyFont="1" applyBorder="1" applyAlignment="1" applyProtection="1">
      <alignment horizontal="center" vertical="center"/>
      <protection locked="0"/>
    </xf>
    <xf numFmtId="0" fontId="153" fillId="0" borderId="166" xfId="10669" applyFont="1" applyBorder="1" applyAlignment="1" applyProtection="1">
      <alignment vertical="top"/>
      <protection locked="0"/>
    </xf>
    <xf numFmtId="49" fontId="153" fillId="0" borderId="169" xfId="10669" applyNumberFormat="1" applyFont="1" applyBorder="1" applyAlignment="1" applyProtection="1">
      <alignment horizontal="center" vertical="center"/>
      <protection locked="0"/>
    </xf>
    <xf numFmtId="0" fontId="155" fillId="0" borderId="162" xfId="10669" applyFont="1" applyBorder="1" applyAlignment="1" applyProtection="1">
      <alignment horizontal="left" vertical="top" wrapText="1"/>
      <protection locked="0"/>
    </xf>
    <xf numFmtId="49" fontId="155" fillId="0" borderId="162" xfId="10669" applyNumberFormat="1" applyFont="1" applyBorder="1" applyAlignment="1" applyProtection="1">
      <alignment horizontal="center" vertical="center"/>
      <protection locked="0"/>
    </xf>
    <xf numFmtId="0" fontId="155" fillId="0" borderId="167" xfId="10669" applyFont="1" applyBorder="1" applyAlignment="1" applyProtection="1">
      <alignment vertical="top"/>
      <protection locked="0"/>
    </xf>
    <xf numFmtId="0" fontId="155" fillId="0" borderId="162" xfId="10669" applyFont="1" applyBorder="1" applyAlignment="1" applyProtection="1">
      <alignment vertical="top"/>
      <protection locked="0"/>
    </xf>
    <xf numFmtId="38" fontId="153" fillId="0" borderId="164" xfId="10669" applyNumberFormat="1" applyFont="1" applyBorder="1" applyAlignment="1" applyProtection="1">
      <alignment horizontal="right" vertical="top"/>
      <protection locked="0"/>
    </xf>
    <xf numFmtId="38" fontId="153" fillId="0" borderId="163" xfId="10669" applyNumberFormat="1" applyFont="1" applyBorder="1" applyAlignment="1" applyProtection="1">
      <alignment horizontal="right" vertical="top"/>
      <protection locked="0"/>
    </xf>
    <xf numFmtId="38" fontId="152" fillId="0" borderId="162" xfId="10669" applyNumberFormat="1" applyFont="1" applyBorder="1" applyAlignment="1" applyProtection="1">
      <alignment horizontal="right" vertical="top"/>
      <protection locked="0"/>
    </xf>
    <xf numFmtId="38" fontId="152" fillId="0" borderId="164" xfId="10669" applyNumberFormat="1" applyFont="1" applyBorder="1" applyAlignment="1" applyProtection="1">
      <alignment horizontal="right" vertical="top"/>
      <protection locked="0"/>
    </xf>
    <xf numFmtId="38" fontId="155" fillId="0" borderId="162" xfId="10669" applyNumberFormat="1" applyFont="1" applyBorder="1" applyAlignment="1" applyProtection="1">
      <alignment horizontal="right" vertical="top"/>
      <protection locked="0"/>
    </xf>
    <xf numFmtId="0" fontId="18" fillId="0" borderId="19" xfId="12" applyNumberFormat="1" applyFont="1" applyFill="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8" fillId="0" borderId="19" xfId="12" applyNumberFormat="1" applyFont="1" applyBorder="1" applyAlignment="1" applyProtection="1">
      <alignment horizontal="left" vertical="center"/>
      <protection locked="0"/>
    </xf>
    <xf numFmtId="180" fontId="18" fillId="0" borderId="20" xfId="0" applyNumberFormat="1" applyFont="1" applyBorder="1" applyAlignment="1" applyProtection="1">
      <alignment horizontal="left" vertical="center"/>
      <protection locked="0"/>
    </xf>
    <xf numFmtId="180" fontId="18" fillId="0" borderId="11" xfId="0" applyNumberFormat="1" applyFont="1" applyBorder="1" applyAlignment="1" applyProtection="1">
      <alignment horizontal="left" vertical="center"/>
      <protection locked="0"/>
    </xf>
    <xf numFmtId="0" fontId="16" fillId="0" borderId="12" xfId="12" applyNumberFormat="1" applyFont="1" applyBorder="1" applyAlignment="1" applyProtection="1">
      <alignment horizontal="left" vertical="center"/>
    </xf>
    <xf numFmtId="0" fontId="19" fillId="0" borderId="16" xfId="0" applyNumberFormat="1" applyFont="1" applyBorder="1" applyAlignment="1">
      <alignment horizontal="left" vertical="center"/>
    </xf>
    <xf numFmtId="0" fontId="19"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9"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8" fillId="0" borderId="19" xfId="2" applyNumberFormat="1" applyBorder="1" applyAlignment="1" applyProtection="1">
      <alignment horizontal="left" vertical="center" indent="1"/>
      <protection locked="0"/>
    </xf>
    <xf numFmtId="0" fontId="49" fillId="0" borderId="20" xfId="2" applyNumberFormat="1" applyFont="1" applyBorder="1" applyAlignment="1" applyProtection="1">
      <alignment horizontal="left" vertical="center" indent="1"/>
      <protection locked="0"/>
    </xf>
    <xf numFmtId="0" fontId="49" fillId="0" borderId="20" xfId="2" applyFont="1" applyBorder="1" applyAlignment="1" applyProtection="1">
      <alignment horizontal="left" vertical="center" indent="1"/>
      <protection locked="0"/>
    </xf>
    <xf numFmtId="0" fontId="26" fillId="0" borderId="20" xfId="0" applyFont="1" applyBorder="1" applyAlignment="1" applyProtection="1">
      <alignment horizontal="left" vertical="center" indent="1"/>
      <protection locked="0"/>
    </xf>
    <xf numFmtId="0" fontId="26" fillId="0" borderId="11" xfId="0" applyFont="1" applyBorder="1" applyAlignment="1" applyProtection="1">
      <alignment horizontal="left" vertical="center" indent="1"/>
      <protection locked="0"/>
    </xf>
    <xf numFmtId="180" fontId="18" fillId="0" borderId="19" xfId="0" applyNumberFormat="1" applyFont="1" applyBorder="1" applyAlignment="1" applyProtection="1">
      <alignment horizontal="left" vertical="center" indent="1"/>
      <protection locked="0"/>
    </xf>
    <xf numFmtId="180" fontId="18" fillId="0" borderId="20" xfId="0" applyNumberFormat="1" applyFont="1" applyBorder="1" applyAlignment="1" applyProtection="1">
      <alignment horizontal="left" vertical="center" indent="1"/>
      <protection locked="0"/>
    </xf>
    <xf numFmtId="180" fontId="18" fillId="0" borderId="11" xfId="0" applyNumberFormat="1" applyFont="1" applyBorder="1" applyAlignment="1" applyProtection="1">
      <alignment horizontal="left" vertical="center" indent="1"/>
      <protection locked="0"/>
    </xf>
    <xf numFmtId="0" fontId="18" fillId="0" borderId="20" xfId="0" applyNumberFormat="1" applyFont="1" applyBorder="1" applyAlignment="1" applyProtection="1">
      <alignment horizontal="left" vertical="center" indent="1"/>
      <protection locked="0"/>
    </xf>
    <xf numFmtId="0" fontId="140" fillId="0" borderId="0" xfId="12" applyFont="1" applyBorder="1" applyAlignment="1" applyProtection="1">
      <alignment horizontal="center" vertical="center" wrapText="1"/>
    </xf>
    <xf numFmtId="0" fontId="140" fillId="0" borderId="18" xfId="12" applyFont="1" applyBorder="1" applyAlignment="1" applyProtection="1">
      <alignment horizontal="center" vertical="center" wrapText="1"/>
    </xf>
    <xf numFmtId="0" fontId="140" fillId="0" borderId="125" xfId="12" applyFont="1" applyBorder="1" applyAlignment="1" applyProtection="1">
      <alignment horizontal="center" vertical="center" wrapText="1"/>
    </xf>
    <xf numFmtId="0" fontId="140" fillId="0" borderId="123" xfId="12" applyFont="1" applyBorder="1" applyAlignment="1" applyProtection="1">
      <alignment horizontal="center" vertical="center" wrapText="1"/>
    </xf>
    <xf numFmtId="0" fontId="19" fillId="0" borderId="20" xfId="12" applyFont="1" applyBorder="1" applyAlignment="1" applyProtection="1">
      <alignment vertical="center"/>
    </xf>
    <xf numFmtId="180" fontId="18" fillId="0" borderId="19" xfId="12" applyNumberFormat="1" applyFont="1" applyBorder="1" applyAlignment="1" applyProtection="1">
      <alignment horizontal="left" vertical="center" indent="1"/>
      <protection locked="0"/>
    </xf>
    <xf numFmtId="0" fontId="18" fillId="0" borderId="0" xfId="12" applyFont="1" applyBorder="1" applyAlignment="1" applyProtection="1">
      <alignment vertical="center"/>
      <protection locked="0"/>
    </xf>
    <xf numFmtId="0" fontId="18" fillId="0" borderId="20" xfId="0" applyNumberFormat="1"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19"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8" fillId="0" borderId="17" xfId="12" applyNumberFormat="1" applyFont="1" applyBorder="1" applyAlignment="1" applyProtection="1">
      <alignment horizontal="left" vertical="center" indent="1"/>
      <protection locked="0"/>
    </xf>
    <xf numFmtId="0" fontId="18" fillId="0" borderId="0" xfId="0" applyNumberFormat="1" applyFont="1" applyBorder="1" applyAlignment="1" applyProtection="1">
      <alignment horizontal="left" vertical="center" indent="1"/>
      <protection locked="0"/>
    </xf>
    <xf numFmtId="180" fontId="18" fillId="0" borderId="19" xfId="0" applyNumberFormat="1" applyFont="1" applyBorder="1" applyAlignment="1" applyProtection="1">
      <alignment horizontal="left" vertical="center"/>
      <protection locked="0"/>
    </xf>
    <xf numFmtId="0" fontId="49" fillId="0" borderId="19" xfId="2" applyNumberFormat="1" applyFont="1" applyBorder="1" applyAlignment="1" applyProtection="1">
      <alignment horizontal="left" vertical="center"/>
      <protection locked="0"/>
    </xf>
    <xf numFmtId="0" fontId="49" fillId="0" borderId="20" xfId="2" applyFont="1" applyBorder="1" applyAlignment="1" applyProtection="1">
      <alignment horizontal="left" vertical="center"/>
      <protection locked="0"/>
    </xf>
    <xf numFmtId="0" fontId="49" fillId="0" borderId="11" xfId="2" applyFont="1" applyBorder="1" applyAlignment="1" applyProtection="1">
      <alignment horizontal="left" vertical="center"/>
      <protection locked="0"/>
    </xf>
    <xf numFmtId="49" fontId="21" fillId="0" borderId="0" xfId="12" applyNumberFormat="1" applyFont="1" applyBorder="1" applyAlignment="1" applyProtection="1">
      <alignment horizontal="center" vertical="center"/>
    </xf>
    <xf numFmtId="0" fontId="21" fillId="0" borderId="0" xfId="0" applyFont="1" applyBorder="1" applyAlignment="1">
      <alignment horizontal="center" vertical="center"/>
    </xf>
    <xf numFmtId="0" fontId="21" fillId="0" borderId="0" xfId="12" applyFont="1" applyBorder="1" applyAlignment="1" applyProtection="1">
      <alignment horizontal="center" vertical="center"/>
    </xf>
    <xf numFmtId="171" fontId="18"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9" fillId="0" borderId="12" xfId="12" applyFont="1" applyBorder="1" applyAlignment="1" applyProtection="1">
      <alignment horizontal="center"/>
    </xf>
    <xf numFmtId="0" fontId="19" fillId="0" borderId="16" xfId="0" applyFont="1" applyBorder="1" applyAlignment="1">
      <alignment horizontal="center"/>
    </xf>
    <xf numFmtId="0" fontId="19" fillId="0" borderId="10" xfId="0" applyFont="1" applyBorder="1" applyAlignment="1">
      <alignment horizontal="center"/>
    </xf>
    <xf numFmtId="0" fontId="18" fillId="0" borderId="0" xfId="12" applyFont="1" applyBorder="1" applyAlignment="1" applyProtection="1">
      <alignment horizontal="center" vertical="center"/>
    </xf>
    <xf numFmtId="0" fontId="0" fillId="0" borderId="0" xfId="0" applyBorder="1" applyAlignment="1">
      <alignment horizontal="center" vertical="center"/>
    </xf>
    <xf numFmtId="49" fontId="18" fillId="0" borderId="0" xfId="12" applyNumberFormat="1" applyFont="1" applyBorder="1" applyAlignment="1" applyProtection="1">
      <alignment horizontal="center" vertical="center"/>
    </xf>
    <xf numFmtId="49" fontId="38" fillId="0" borderId="19" xfId="2" applyNumberFormat="1" applyFill="1" applyBorder="1" applyAlignment="1" applyProtection="1">
      <alignment horizontal="left" vertical="center" indent="1"/>
      <protection locked="0"/>
    </xf>
    <xf numFmtId="49" fontId="42" fillId="0" borderId="20" xfId="0" applyNumberFormat="1" applyFont="1" applyBorder="1" applyAlignment="1" applyProtection="1">
      <alignment horizontal="left" vertical="center" indent="1"/>
      <protection locked="0"/>
    </xf>
    <xf numFmtId="49" fontId="42" fillId="0" borderId="11" xfId="0" applyNumberFormat="1" applyFont="1" applyBorder="1" applyAlignment="1" applyProtection="1">
      <alignment horizontal="left" vertical="center" indent="1"/>
      <protection locked="0"/>
    </xf>
    <xf numFmtId="0" fontId="26"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8" fillId="0" borderId="17" xfId="2" applyNumberFormat="1" applyBorder="1" applyAlignment="1" applyProtection="1">
      <alignment horizontal="center" vertical="center"/>
    </xf>
    <xf numFmtId="0" fontId="38" fillId="0" borderId="0" xfId="2" applyBorder="1" applyAlignment="1" applyProtection="1">
      <alignment horizontal="center" vertical="center"/>
    </xf>
    <xf numFmtId="0" fontId="38" fillId="0" borderId="18" xfId="2" applyBorder="1" applyAlignment="1" applyProtection="1">
      <alignment horizontal="center" vertical="center"/>
    </xf>
    <xf numFmtId="0" fontId="39" fillId="0" borderId="17" xfId="12" applyFont="1" applyBorder="1" applyAlignment="1" applyProtection="1">
      <alignment horizontal="center"/>
    </xf>
    <xf numFmtId="0" fontId="18" fillId="0" borderId="18" xfId="0" applyFont="1" applyBorder="1" applyAlignment="1" applyProtection="1">
      <alignment horizontal="left" vertical="center" indent="1"/>
      <protection locked="0"/>
    </xf>
    <xf numFmtId="0" fontId="39"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9" fillId="0" borderId="17" xfId="12" applyNumberFormat="1" applyFont="1" applyBorder="1" applyAlignment="1" applyProtection="1">
      <alignment horizontal="center" vertical="center"/>
    </xf>
    <xf numFmtId="0" fontId="18" fillId="0" borderId="0" xfId="0" applyFont="1" applyBorder="1" applyAlignment="1">
      <alignment horizontal="center" vertical="center"/>
    </xf>
    <xf numFmtId="0" fontId="18" fillId="0" borderId="18" xfId="0" applyFont="1" applyBorder="1" applyAlignment="1">
      <alignment horizontal="center" vertical="center"/>
    </xf>
    <xf numFmtId="0" fontId="44" fillId="0" borderId="19" xfId="0" applyFont="1" applyBorder="1" applyAlignment="1">
      <alignment horizontal="center" vertical="top"/>
    </xf>
    <xf numFmtId="0" fontId="44" fillId="0" borderId="20" xfId="0" applyFont="1" applyBorder="1" applyAlignment="1">
      <alignment horizontal="center" vertical="top"/>
    </xf>
    <xf numFmtId="0" fontId="44" fillId="0" borderId="11" xfId="0" applyFont="1" applyBorder="1" applyAlignment="1">
      <alignment horizontal="center" vertical="top"/>
    </xf>
    <xf numFmtId="0" fontId="18" fillId="0" borderId="19" xfId="12" applyNumberFormat="1" applyFont="1" applyBorder="1" applyAlignment="1" applyProtection="1">
      <alignment horizontal="left" vertical="center" indent="1"/>
      <protection locked="0"/>
    </xf>
    <xf numFmtId="174" fontId="18" fillId="0" borderId="17" xfId="12" applyNumberFormat="1" applyFont="1" applyBorder="1" applyAlignment="1" applyProtection="1">
      <alignment horizontal="left" vertical="center" indent="1"/>
      <protection locked="0"/>
    </xf>
    <xf numFmtId="174" fontId="18" fillId="0" borderId="0" xfId="0" applyNumberFormat="1" applyFont="1" applyBorder="1" applyAlignment="1" applyProtection="1">
      <alignment horizontal="left" vertical="center" indent="1"/>
      <protection locked="0"/>
    </xf>
    <xf numFmtId="174" fontId="18" fillId="0" borderId="18" xfId="0" applyNumberFormat="1" applyFont="1" applyBorder="1" applyAlignment="1" applyProtection="1">
      <alignment horizontal="left" vertical="center" indent="1"/>
      <protection locked="0"/>
    </xf>
    <xf numFmtId="0" fontId="18" fillId="0" borderId="20" xfId="12" applyNumberFormat="1" applyFont="1" applyBorder="1" applyAlignment="1" applyProtection="1">
      <alignment horizontal="left" vertical="center" indent="1"/>
      <protection locked="0"/>
    </xf>
    <xf numFmtId="0" fontId="18" fillId="0" borderId="11" xfId="12" applyNumberFormat="1"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readingOrder="1"/>
      <protection locked="0"/>
    </xf>
    <xf numFmtId="0" fontId="18" fillId="0" borderId="20" xfId="0" applyNumberFormat="1" applyFont="1" applyBorder="1" applyAlignment="1" applyProtection="1">
      <alignment horizontal="left" vertical="center" readingOrder="1"/>
      <protection locked="0"/>
    </xf>
    <xf numFmtId="0" fontId="19" fillId="0" borderId="20" xfId="0" applyFont="1" applyBorder="1" applyAlignment="1" applyProtection="1">
      <alignment vertical="center" readingOrder="1"/>
      <protection locked="0"/>
    </xf>
    <xf numFmtId="0" fontId="19" fillId="0" borderId="11" xfId="0" applyFont="1" applyBorder="1" applyAlignment="1" applyProtection="1">
      <alignment vertical="center" readingOrder="1"/>
      <protection locked="0"/>
    </xf>
    <xf numFmtId="0" fontId="18" fillId="0" borderId="19" xfId="12" applyNumberFormat="1" applyFont="1" applyBorder="1" applyAlignment="1" applyProtection="1">
      <alignment horizontal="left" vertical="center"/>
      <protection locked="0"/>
    </xf>
    <xf numFmtId="0" fontId="19" fillId="0" borderId="2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18" fillId="0" borderId="133" xfId="12" applyFont="1" applyBorder="1" applyAlignment="1" applyProtection="1">
      <alignment horizontal="left" vertical="center" indent="1"/>
      <protection locked="0"/>
    </xf>
    <xf numFmtId="0" fontId="18" fillId="0" borderId="123" xfId="0" applyFont="1" applyBorder="1" applyAlignment="1" applyProtection="1">
      <alignment horizontal="left" vertical="center" indent="1"/>
      <protection locked="0"/>
    </xf>
    <xf numFmtId="0" fontId="18" fillId="0" borderId="19" xfId="0" applyFont="1" applyBorder="1" applyAlignment="1" applyProtection="1">
      <alignment horizontal="left" vertical="center" indent="1"/>
      <protection locked="0"/>
    </xf>
    <xf numFmtId="0" fontId="18" fillId="0" borderId="125" xfId="0" applyFont="1" applyBorder="1" applyAlignment="1" applyProtection="1">
      <alignment horizontal="left" vertical="center" indent="1"/>
      <protection locked="0"/>
    </xf>
    <xf numFmtId="0" fontId="25"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8" fillId="0" borderId="19" xfId="2" applyBorder="1" applyAlignment="1" applyProtection="1">
      <protection locked="0"/>
    </xf>
    <xf numFmtId="0" fontId="24" fillId="0" borderId="20" xfId="0" applyFont="1" applyBorder="1" applyProtection="1">
      <protection locked="0"/>
    </xf>
    <xf numFmtId="0" fontId="24" fillId="0" borderId="11" xfId="0" applyFont="1" applyBorder="1" applyProtection="1">
      <protection locked="0"/>
    </xf>
    <xf numFmtId="0" fontId="18" fillId="0" borderId="0" xfId="0" applyFont="1" applyBorder="1" applyAlignment="1" applyProtection="1">
      <alignment horizontal="left" vertical="center" indent="1"/>
      <protection locked="0"/>
    </xf>
    <xf numFmtId="180" fontId="18" fillId="0" borderId="17" xfId="12" applyNumberFormat="1" applyFont="1" applyBorder="1" applyAlignment="1" applyProtection="1">
      <alignment horizontal="left" vertical="center" indent="1"/>
      <protection locked="0"/>
    </xf>
    <xf numFmtId="180" fontId="18" fillId="0" borderId="0" xfId="0" applyNumberFormat="1" applyFont="1" applyBorder="1" applyAlignment="1" applyProtection="1">
      <alignment horizontal="left" vertical="center" indent="1"/>
      <protection locked="0"/>
    </xf>
    <xf numFmtId="0" fontId="49" fillId="0" borderId="20" xfId="2" applyNumberFormat="1" applyFont="1" applyBorder="1" applyAlignment="1" applyProtection="1">
      <alignment horizontal="left" vertical="center"/>
      <protection locked="0"/>
    </xf>
    <xf numFmtId="14" fontId="18" fillId="0" borderId="122" xfId="12" applyNumberFormat="1" applyFont="1" applyBorder="1" applyAlignment="1" applyProtection="1">
      <alignment horizontal="left" vertical="center" indent="1"/>
      <protection locked="0"/>
    </xf>
    <xf numFmtId="0" fontId="18" fillId="0" borderId="125" xfId="12" applyNumberFormat="1" applyFont="1" applyBorder="1" applyAlignment="1" applyProtection="1">
      <alignment horizontal="left" vertical="center" indent="1"/>
      <protection locked="0"/>
    </xf>
    <xf numFmtId="0" fontId="18" fillId="0" borderId="123" xfId="12" applyNumberFormat="1" applyFont="1" applyBorder="1" applyAlignment="1" applyProtection="1">
      <alignment horizontal="left" vertical="center" indent="1"/>
      <protection locked="0"/>
    </xf>
    <xf numFmtId="180" fontId="18" fillId="0" borderId="122" xfId="12" applyNumberFormat="1" applyFont="1" applyBorder="1" applyAlignment="1" applyProtection="1">
      <alignment horizontal="left" vertical="center" indent="1"/>
      <protection locked="0"/>
    </xf>
    <xf numFmtId="180" fontId="18" fillId="0" borderId="125" xfId="12" applyNumberFormat="1" applyFont="1" applyBorder="1" applyAlignment="1" applyProtection="1">
      <alignment horizontal="left" vertical="center" indent="1"/>
      <protection locked="0"/>
    </xf>
    <xf numFmtId="180" fontId="18" fillId="0" borderId="123" xfId="12" applyNumberFormat="1" applyFont="1" applyBorder="1" applyAlignment="1" applyProtection="1">
      <alignment horizontal="left" vertical="center" indent="1"/>
      <protection locked="0"/>
    </xf>
    <xf numFmtId="0" fontId="59" fillId="0" borderId="0" xfId="0" applyFont="1" applyBorder="1" applyAlignment="1">
      <alignment horizontal="center" vertical="center"/>
    </xf>
    <xf numFmtId="0" fontId="59" fillId="0" borderId="0" xfId="0" applyFont="1" applyBorder="1" applyAlignment="1">
      <alignment horizontal="center"/>
    </xf>
    <xf numFmtId="0" fontId="63" fillId="0" borderId="0" xfId="2" applyFont="1" applyBorder="1" applyAlignment="1" applyProtection="1">
      <alignment horizontal="center"/>
    </xf>
    <xf numFmtId="0" fontId="59" fillId="0" borderId="48" xfId="0" applyFont="1" applyBorder="1" applyAlignment="1">
      <alignment horizontal="center"/>
    </xf>
    <xf numFmtId="0" fontId="71" fillId="0" borderId="0" xfId="0" applyFont="1" applyBorder="1" applyAlignment="1" applyProtection="1">
      <alignment horizontal="center" vertical="center"/>
    </xf>
    <xf numFmtId="0" fontId="60" fillId="0" borderId="12" xfId="3" applyFont="1" applyBorder="1" applyAlignment="1" applyProtection="1">
      <alignment horizontal="left" vertical="top"/>
      <protection locked="0"/>
    </xf>
    <xf numFmtId="0" fontId="60" fillId="0" borderId="16" xfId="3" applyFont="1" applyBorder="1" applyAlignment="1" applyProtection="1">
      <alignment horizontal="left" vertical="top"/>
      <protection locked="0"/>
    </xf>
    <xf numFmtId="0" fontId="60" fillId="0" borderId="10" xfId="3" applyFont="1" applyBorder="1" applyAlignment="1" applyProtection="1">
      <alignment horizontal="left" vertical="top"/>
      <protection locked="0"/>
    </xf>
    <xf numFmtId="0" fontId="60" fillId="0" borderId="17" xfId="3" applyFont="1" applyBorder="1" applyAlignment="1" applyProtection="1">
      <alignment horizontal="left" vertical="top"/>
      <protection locked="0"/>
    </xf>
    <xf numFmtId="0" fontId="60" fillId="0" borderId="0" xfId="3" applyFont="1" applyBorder="1" applyAlignment="1" applyProtection="1">
      <alignment horizontal="left" vertical="top"/>
      <protection locked="0"/>
    </xf>
    <xf numFmtId="0" fontId="60" fillId="0" borderId="18" xfId="3" applyFont="1" applyBorder="1" applyAlignment="1" applyProtection="1">
      <alignment horizontal="left" vertical="top"/>
      <protection locked="0"/>
    </xf>
    <xf numFmtId="0" fontId="60" fillId="0" borderId="122" xfId="3" applyFont="1" applyBorder="1" applyAlignment="1" applyProtection="1">
      <alignment horizontal="left" vertical="top"/>
      <protection locked="0"/>
    </xf>
    <xf numFmtId="0" fontId="60" fillId="0" borderId="125" xfId="3" applyFont="1" applyBorder="1" applyAlignment="1" applyProtection="1">
      <alignment horizontal="left" vertical="top"/>
      <protection locked="0"/>
    </xf>
    <xf numFmtId="0" fontId="60" fillId="0" borderId="123" xfId="3" applyFont="1" applyBorder="1" applyAlignment="1" applyProtection="1">
      <alignment horizontal="left" vertical="top"/>
      <protection locked="0"/>
    </xf>
    <xf numFmtId="0" fontId="59" fillId="0" borderId="131" xfId="3" applyFont="1" applyBorder="1" applyAlignment="1" applyProtection="1">
      <alignment horizontal="center"/>
      <protection locked="0"/>
    </xf>
    <xf numFmtId="0" fontId="78" fillId="0" borderId="0" xfId="3" applyFont="1" applyBorder="1" applyAlignment="1">
      <alignment horizontal="left" vertical="top" wrapText="1"/>
    </xf>
    <xf numFmtId="0" fontId="85" fillId="0" borderId="0" xfId="3" applyFont="1" applyBorder="1" applyAlignment="1">
      <alignment horizontal="left" vertical="top" wrapText="1"/>
    </xf>
    <xf numFmtId="0" fontId="85" fillId="0" borderId="0" xfId="3" applyFont="1" applyAlignment="1">
      <alignment horizontal="left" vertical="top" wrapText="1"/>
    </xf>
    <xf numFmtId="0" fontId="71" fillId="0" borderId="0" xfId="0" applyFont="1" applyBorder="1" applyAlignment="1" applyProtection="1">
      <alignment horizontal="left" vertical="center"/>
    </xf>
    <xf numFmtId="0" fontId="71" fillId="0" borderId="0" xfId="0" applyFont="1" applyAlignment="1">
      <alignment horizontal="left" vertical="center"/>
    </xf>
    <xf numFmtId="0" fontId="70" fillId="0" borderId="0" xfId="0" applyFont="1" applyAlignment="1">
      <alignment horizontal="left" vertical="center"/>
    </xf>
    <xf numFmtId="0" fontId="80" fillId="0" borderId="0" xfId="0" applyFont="1" applyAlignment="1">
      <alignment horizontal="left" vertical="center"/>
    </xf>
    <xf numFmtId="0" fontId="62" fillId="0" borderId="0" xfId="0" applyFont="1" applyAlignment="1">
      <alignment horizontal="left" vertical="center"/>
    </xf>
    <xf numFmtId="0" fontId="59" fillId="18" borderId="0" xfId="0" applyFont="1" applyFill="1" applyBorder="1" applyAlignment="1" applyProtection="1">
      <alignment horizontal="center" vertical="center"/>
    </xf>
    <xf numFmtId="0" fontId="59" fillId="18" borderId="104" xfId="0" applyFont="1" applyFill="1" applyBorder="1" applyAlignment="1" applyProtection="1">
      <alignment horizontal="center" vertical="center"/>
    </xf>
    <xf numFmtId="0" fontId="60" fillId="0" borderId="12" xfId="0" applyFont="1" applyBorder="1" applyAlignment="1" applyProtection="1">
      <alignment horizontal="left" vertical="top" wrapText="1"/>
      <protection locked="0"/>
    </xf>
    <xf numFmtId="0" fontId="60" fillId="0" borderId="16" xfId="0" applyFont="1" applyBorder="1" applyAlignment="1" applyProtection="1">
      <alignment horizontal="left" vertical="top" wrapText="1"/>
      <protection locked="0"/>
    </xf>
    <xf numFmtId="0" fontId="60" fillId="0" borderId="10" xfId="0" applyFont="1" applyBorder="1" applyAlignment="1" applyProtection="1">
      <alignment horizontal="left" vertical="top" wrapText="1"/>
      <protection locked="0"/>
    </xf>
    <xf numFmtId="0" fontId="60" fillId="0" borderId="17" xfId="0" applyFont="1" applyBorder="1" applyAlignment="1" applyProtection="1">
      <alignment horizontal="left" vertical="top" wrapText="1"/>
      <protection locked="0"/>
    </xf>
    <xf numFmtId="0" fontId="60" fillId="0" borderId="0" xfId="0" applyFont="1" applyBorder="1" applyAlignment="1" applyProtection="1">
      <alignment horizontal="left" vertical="top" wrapText="1"/>
      <protection locked="0"/>
    </xf>
    <xf numFmtId="0" fontId="60" fillId="0" borderId="18" xfId="0" applyFont="1" applyBorder="1" applyAlignment="1" applyProtection="1">
      <alignment horizontal="left" vertical="top" wrapText="1"/>
      <protection locked="0"/>
    </xf>
    <xf numFmtId="0" fontId="60" fillId="0" borderId="122" xfId="0" applyFont="1" applyBorder="1" applyAlignment="1" applyProtection="1">
      <alignment horizontal="left" vertical="top" wrapText="1"/>
      <protection locked="0"/>
    </xf>
    <xf numFmtId="0" fontId="60" fillId="0" borderId="125" xfId="0" applyFont="1" applyBorder="1" applyAlignment="1" applyProtection="1">
      <alignment horizontal="left" vertical="top" wrapText="1"/>
      <protection locked="0"/>
    </xf>
    <xf numFmtId="0" fontId="60" fillId="0" borderId="123" xfId="0" applyFont="1" applyBorder="1" applyAlignment="1" applyProtection="1">
      <alignment horizontal="left" vertical="top" wrapText="1"/>
      <protection locked="0"/>
    </xf>
    <xf numFmtId="0" fontId="65" fillId="0" borderId="0" xfId="0" applyFont="1" applyBorder="1" applyAlignment="1" applyProtection="1">
      <alignment horizontal="center" vertical="center"/>
    </xf>
    <xf numFmtId="38" fontId="59" fillId="0" borderId="79" xfId="0" applyNumberFormat="1" applyFont="1" applyBorder="1" applyAlignment="1" applyProtection="1">
      <alignment horizontal="left" vertical="top" wrapText="1"/>
      <protection locked="0"/>
    </xf>
    <xf numFmtId="0" fontId="59" fillId="0" borderId="80" xfId="0" applyFont="1" applyBorder="1" applyAlignment="1" applyProtection="1">
      <alignment wrapText="1"/>
      <protection locked="0"/>
    </xf>
    <xf numFmtId="0" fontId="59" fillId="0" borderId="81" xfId="0" applyFont="1" applyBorder="1" applyAlignment="1" applyProtection="1">
      <alignment wrapText="1"/>
      <protection locked="0"/>
    </xf>
    <xf numFmtId="0" fontId="59" fillId="0" borderId="82" xfId="0" applyFont="1" applyBorder="1" applyAlignment="1" applyProtection="1">
      <alignment wrapText="1"/>
      <protection locked="0"/>
    </xf>
    <xf numFmtId="0" fontId="59" fillId="0" borderId="0" xfId="0" applyFont="1" applyAlignment="1" applyProtection="1">
      <alignment wrapText="1"/>
      <protection locked="0"/>
    </xf>
    <xf numFmtId="0" fontId="59" fillId="0" borderId="83" xfId="0" applyFont="1" applyBorder="1" applyAlignment="1" applyProtection="1">
      <alignment wrapText="1"/>
      <protection locked="0"/>
    </xf>
    <xf numFmtId="0" fontId="59" fillId="0" borderId="84" xfId="0" applyFont="1" applyBorder="1" applyAlignment="1" applyProtection="1">
      <alignment wrapText="1"/>
      <protection locked="0"/>
    </xf>
    <xf numFmtId="0" fontId="59" fillId="0" borderId="85" xfId="0" applyFont="1" applyBorder="1" applyAlignment="1" applyProtection="1">
      <alignment wrapText="1"/>
      <protection locked="0"/>
    </xf>
    <xf numFmtId="0" fontId="59" fillId="0" borderId="86" xfId="0" applyFont="1" applyBorder="1" applyAlignment="1" applyProtection="1">
      <alignment wrapText="1"/>
      <protection locked="0"/>
    </xf>
    <xf numFmtId="0" fontId="89" fillId="0" borderId="0" xfId="0" applyNumberFormat="1" applyFont="1" applyBorder="1" applyAlignment="1" applyProtection="1">
      <alignment horizontal="left" vertical="center" wrapText="1"/>
    </xf>
    <xf numFmtId="0" fontId="60" fillId="0" borderId="0" xfId="0" applyFont="1" applyAlignment="1">
      <alignment horizontal="left" vertical="center" wrapText="1"/>
    </xf>
    <xf numFmtId="166" fontId="67" fillId="0" borderId="0" xfId="0" applyNumberFormat="1" applyFont="1" applyBorder="1" applyAlignment="1" applyProtection="1">
      <alignment horizontal="left" vertical="center"/>
    </xf>
    <xf numFmtId="166" fontId="62" fillId="0" borderId="0" xfId="0" applyNumberFormat="1" applyFont="1" applyAlignment="1">
      <alignment horizontal="left" vertical="center"/>
    </xf>
    <xf numFmtId="0" fontId="67" fillId="0" borderId="0" xfId="0" applyFont="1" applyBorder="1" applyAlignment="1" applyProtection="1">
      <alignment wrapText="1"/>
    </xf>
    <xf numFmtId="0" fontId="67" fillId="0" borderId="0" xfId="0" applyFont="1" applyAlignment="1" applyProtection="1">
      <alignment horizontal="left" vertical="center"/>
    </xf>
    <xf numFmtId="0" fontId="67" fillId="0" borderId="0" xfId="0" applyFont="1" applyAlignment="1">
      <alignment horizontal="left" vertical="center"/>
    </xf>
    <xf numFmtId="0" fontId="67" fillId="0" borderId="0" xfId="0" applyFont="1" applyBorder="1" applyAlignment="1" applyProtection="1">
      <alignment vertical="top" wrapText="1"/>
    </xf>
    <xf numFmtId="0" fontId="67" fillId="0" borderId="0" xfId="0" applyFont="1" applyAlignment="1">
      <alignment wrapText="1"/>
    </xf>
    <xf numFmtId="0" fontId="77" fillId="0" borderId="0" xfId="0" applyFont="1" applyAlignment="1">
      <alignment horizontal="center" vertical="center"/>
    </xf>
    <xf numFmtId="0" fontId="62" fillId="0" borderId="0" xfId="0" applyFont="1" applyAlignment="1">
      <alignment horizontal="center" vertical="center"/>
    </xf>
    <xf numFmtId="0" fontId="61" fillId="0" borderId="0" xfId="2" applyFont="1" applyAlignment="1" applyProtection="1">
      <alignment horizontal="center" vertical="center"/>
    </xf>
    <xf numFmtId="0" fontId="59" fillId="0" borderId="10" xfId="0" applyFont="1" applyFill="1" applyBorder="1" applyAlignment="1" applyProtection="1">
      <alignment horizontal="center" vertical="center" wrapText="1"/>
    </xf>
    <xf numFmtId="0" fontId="59" fillId="0" borderId="123" xfId="0" applyFont="1" applyFill="1" applyBorder="1" applyAlignment="1" applyProtection="1">
      <alignment horizontal="center" vertical="center" wrapText="1"/>
    </xf>
    <xf numFmtId="3" fontId="69" fillId="23" borderId="13" xfId="0" applyNumberFormat="1" applyFont="1" applyFill="1" applyBorder="1" applyAlignment="1" applyProtection="1">
      <alignment horizontal="left" vertical="center"/>
    </xf>
    <xf numFmtId="3" fontId="69" fillId="23" borderId="14" xfId="0" applyNumberFormat="1" applyFont="1" applyFill="1" applyBorder="1" applyAlignment="1" applyProtection="1">
      <alignment horizontal="left" vertical="center"/>
    </xf>
    <xf numFmtId="164" fontId="69" fillId="23" borderId="49" xfId="0" applyNumberFormat="1" applyFont="1" applyFill="1" applyBorder="1" applyAlignment="1" applyProtection="1">
      <alignment horizontal="left" vertical="center"/>
    </xf>
    <xf numFmtId="164" fontId="69" fillId="23" borderId="31" xfId="0" applyNumberFormat="1" applyFont="1" applyFill="1" applyBorder="1" applyAlignment="1" applyProtection="1">
      <alignment horizontal="left" vertical="center"/>
    </xf>
    <xf numFmtId="0" fontId="69" fillId="23" borderId="34" xfId="0" applyFont="1" applyFill="1" applyBorder="1" applyAlignment="1" applyProtection="1">
      <alignment horizontal="left" vertical="center"/>
    </xf>
    <xf numFmtId="0" fontId="69" fillId="23" borderId="31" xfId="0" applyFont="1" applyFill="1" applyBorder="1" applyAlignment="1" applyProtection="1">
      <alignment horizontal="left" vertical="center"/>
    </xf>
    <xf numFmtId="164" fontId="69" fillId="23" borderId="13" xfId="0" applyNumberFormat="1" applyFont="1" applyFill="1" applyBorder="1" applyAlignment="1" applyProtection="1">
      <alignment horizontal="left" vertical="center"/>
    </xf>
    <xf numFmtId="164" fontId="69" fillId="23" borderId="14" xfId="0" applyNumberFormat="1" applyFont="1" applyFill="1" applyBorder="1" applyAlignment="1" applyProtection="1">
      <alignment horizontal="left" vertical="center"/>
    </xf>
    <xf numFmtId="164" fontId="69" fillId="16" borderId="36" xfId="0" applyNumberFormat="1" applyFont="1" applyFill="1" applyBorder="1" applyAlignment="1" applyProtection="1">
      <alignment horizontal="left" vertical="center" wrapText="1" indent="2"/>
    </xf>
    <xf numFmtId="164" fontId="69" fillId="16" borderId="30" xfId="0" applyNumberFormat="1" applyFont="1" applyFill="1" applyBorder="1" applyAlignment="1" applyProtection="1">
      <alignment horizontal="left" vertical="center" wrapText="1" indent="2"/>
    </xf>
    <xf numFmtId="0" fontId="69" fillId="16" borderId="52" xfId="0" applyFont="1" applyFill="1" applyBorder="1" applyAlignment="1" applyProtection="1">
      <alignment horizontal="left" vertical="center" indent="2"/>
    </xf>
    <xf numFmtId="0" fontId="69" fillId="16" borderId="53" xfId="0" applyFont="1" applyFill="1" applyBorder="1" applyAlignment="1" applyProtection="1">
      <alignment horizontal="left" vertical="center" indent="2"/>
    </xf>
    <xf numFmtId="0" fontId="69" fillId="16" borderId="35" xfId="0" applyFont="1" applyFill="1" applyBorder="1" applyAlignment="1" applyProtection="1">
      <alignment horizontal="left" vertical="center" indent="2"/>
    </xf>
    <xf numFmtId="0" fontId="69" fillId="16" borderId="30" xfId="0" applyFont="1" applyFill="1" applyBorder="1" applyAlignment="1" applyProtection="1">
      <alignment horizontal="left" vertical="center" indent="2"/>
    </xf>
    <xf numFmtId="0" fontId="67" fillId="16" borderId="52" xfId="0" applyFont="1" applyFill="1" applyBorder="1" applyAlignment="1" applyProtection="1">
      <alignment horizontal="left" vertical="center" wrapText="1" indent="2"/>
    </xf>
    <xf numFmtId="0" fontId="62" fillId="16" borderId="53" xfId="0" applyFont="1" applyFill="1" applyBorder="1" applyAlignment="1">
      <alignment horizontal="left" wrapText="1" indent="2"/>
    </xf>
    <xf numFmtId="3" fontId="69" fillId="0" borderId="10" xfId="0" applyNumberFormat="1" applyFont="1" applyBorder="1" applyAlignment="1" applyProtection="1">
      <alignment horizontal="center" vertical="center" wrapText="1"/>
    </xf>
    <xf numFmtId="3" fontId="69" fillId="0" borderId="123" xfId="0" applyNumberFormat="1" applyFont="1" applyBorder="1" applyAlignment="1" applyProtection="1">
      <alignment horizontal="center" vertical="center" wrapText="1"/>
    </xf>
    <xf numFmtId="0" fontId="69" fillId="16" borderId="34" xfId="0" applyFont="1" applyFill="1" applyBorder="1" applyAlignment="1" applyProtection="1">
      <alignment horizontal="left" vertical="center" indent="1"/>
    </xf>
    <xf numFmtId="0" fontId="69" fillId="16" borderId="31" xfId="0" applyFont="1" applyFill="1" applyBorder="1" applyAlignment="1" applyProtection="1">
      <alignment horizontal="left" vertical="center" indent="1"/>
    </xf>
    <xf numFmtId="0" fontId="67" fillId="0" borderId="21" xfId="0" applyFont="1" applyBorder="1" applyAlignment="1" applyProtection="1">
      <alignment horizontal="left" vertical="center" indent="1"/>
    </xf>
    <xf numFmtId="0" fontId="67" fillId="0" borderId="14" xfId="0" applyFont="1" applyBorder="1" applyAlignment="1" applyProtection="1">
      <alignment horizontal="left" vertical="center" indent="1"/>
    </xf>
    <xf numFmtId="164" fontId="69" fillId="25" borderId="13" xfId="0" applyNumberFormat="1" applyFont="1" applyFill="1" applyBorder="1" applyAlignment="1" applyProtection="1">
      <alignment horizontal="left" vertical="center" wrapText="1" indent="1"/>
    </xf>
    <xf numFmtId="164" fontId="69" fillId="25" borderId="14" xfId="0" applyNumberFormat="1" applyFont="1" applyFill="1" applyBorder="1" applyAlignment="1" applyProtection="1">
      <alignment horizontal="left" vertical="center" wrapText="1" indent="1"/>
    </xf>
    <xf numFmtId="164" fontId="69" fillId="14" borderId="13" xfId="0" applyNumberFormat="1" applyFont="1" applyFill="1" applyBorder="1" applyAlignment="1" applyProtection="1">
      <alignment horizontal="left" vertical="center" wrapText="1" indent="1"/>
    </xf>
    <xf numFmtId="164" fontId="69" fillId="14" borderId="14" xfId="0" applyNumberFormat="1" applyFont="1" applyFill="1" applyBorder="1" applyAlignment="1" applyProtection="1">
      <alignment horizontal="left" vertical="center" wrapText="1" indent="1"/>
    </xf>
    <xf numFmtId="164" fontId="69" fillId="17" borderId="13" xfId="0" applyNumberFormat="1" applyFont="1" applyFill="1" applyBorder="1" applyAlignment="1" applyProtection="1">
      <alignment horizontal="left" vertical="center" wrapText="1"/>
    </xf>
    <xf numFmtId="164" fontId="69" fillId="17" borderId="14" xfId="0" applyNumberFormat="1" applyFont="1" applyFill="1" applyBorder="1" applyAlignment="1" applyProtection="1">
      <alignment horizontal="left" vertical="center" wrapText="1"/>
    </xf>
    <xf numFmtId="49" fontId="69" fillId="23" borderId="13" xfId="0" applyNumberFormat="1" applyFont="1" applyFill="1" applyBorder="1" applyAlignment="1" applyProtection="1">
      <alignment horizontal="left" vertical="center"/>
    </xf>
    <xf numFmtId="49" fontId="69" fillId="23" borderId="14" xfId="0" applyNumberFormat="1" applyFont="1" applyFill="1" applyBorder="1" applyAlignment="1" applyProtection="1">
      <alignment horizontal="left" vertical="center"/>
    </xf>
    <xf numFmtId="0" fontId="69" fillId="23" borderId="13" xfId="0" applyFont="1" applyFill="1" applyBorder="1" applyAlignment="1" applyProtection="1">
      <alignment vertical="center"/>
    </xf>
    <xf numFmtId="0" fontId="69" fillId="23" borderId="14" xfId="0" applyFont="1" applyFill="1" applyBorder="1" applyAlignment="1" applyProtection="1">
      <alignment vertical="center"/>
    </xf>
    <xf numFmtId="164" fontId="69" fillId="16" borderId="13" xfId="0" applyNumberFormat="1" applyFont="1" applyFill="1" applyBorder="1" applyAlignment="1" applyProtection="1">
      <alignment horizontal="left" vertical="center" wrapText="1" indent="2"/>
    </xf>
    <xf numFmtId="164" fontId="69" fillId="16" borderId="14" xfId="0" applyNumberFormat="1" applyFont="1" applyFill="1" applyBorder="1" applyAlignment="1" applyProtection="1">
      <alignment horizontal="left" vertical="center" wrapText="1" indent="2"/>
    </xf>
    <xf numFmtId="164" fontId="69" fillId="6" borderId="13" xfId="0" applyNumberFormat="1" applyFont="1" applyFill="1" applyBorder="1" applyAlignment="1" applyProtection="1">
      <alignment horizontal="left" vertical="center" wrapText="1" indent="1"/>
    </xf>
    <xf numFmtId="164" fontId="69" fillId="6" borderId="14" xfId="0" applyNumberFormat="1" applyFont="1" applyFill="1" applyBorder="1" applyAlignment="1" applyProtection="1">
      <alignment horizontal="left" vertical="center" wrapText="1" indent="1"/>
    </xf>
    <xf numFmtId="0" fontId="69" fillId="16" borderId="24" xfId="0" applyFont="1" applyFill="1" applyBorder="1" applyAlignment="1" applyProtection="1">
      <alignment horizontal="left" vertical="center" indent="1"/>
    </xf>
    <xf numFmtId="0" fontId="62" fillId="16" borderId="51" xfId="0" applyFont="1" applyFill="1" applyBorder="1" applyAlignment="1">
      <alignment horizontal="left" vertical="center" indent="1"/>
    </xf>
    <xf numFmtId="0" fontId="69" fillId="17" borderId="21" xfId="0" applyFont="1" applyFill="1" applyBorder="1" applyAlignment="1">
      <alignment horizontal="left" vertical="center" wrapText="1"/>
    </xf>
    <xf numFmtId="0" fontId="62" fillId="17" borderId="14" xfId="0" applyFont="1" applyFill="1" applyBorder="1" applyAlignment="1">
      <alignment horizontal="left" vertical="center" wrapText="1"/>
    </xf>
    <xf numFmtId="0" fontId="69" fillId="17" borderId="34" xfId="0" applyFont="1" applyFill="1" applyBorder="1" applyAlignment="1">
      <alignment vertical="top" wrapText="1"/>
    </xf>
    <xf numFmtId="0" fontId="62" fillId="17" borderId="31" xfId="0" applyFont="1" applyFill="1" applyBorder="1" applyAlignment="1">
      <alignment vertical="top" wrapText="1"/>
    </xf>
    <xf numFmtId="0" fontId="69" fillId="16" borderId="35" xfId="0" applyFont="1" applyFill="1" applyBorder="1" applyAlignment="1" applyProtection="1">
      <alignment horizontal="left" vertical="top" wrapText="1" indent="1"/>
    </xf>
    <xf numFmtId="0" fontId="62" fillId="16" borderId="30" xfId="0" applyFont="1" applyFill="1" applyBorder="1" applyAlignment="1">
      <alignment horizontal="left" vertical="top" wrapText="1" indent="1"/>
    </xf>
    <xf numFmtId="0" fontId="69" fillId="16" borderId="35" xfId="0" applyFont="1" applyFill="1" applyBorder="1" applyAlignment="1" applyProtection="1">
      <alignment horizontal="left" vertical="top" indent="1"/>
    </xf>
    <xf numFmtId="0" fontId="62" fillId="16" borderId="30" xfId="0" applyFont="1" applyFill="1" applyBorder="1" applyAlignment="1">
      <alignment horizontal="left" vertical="top" indent="1"/>
    </xf>
    <xf numFmtId="0" fontId="69" fillId="17" borderId="34" xfId="0" applyFont="1" applyFill="1" applyBorder="1" applyAlignment="1">
      <alignment vertical="center" wrapText="1"/>
    </xf>
    <xf numFmtId="0" fontId="62" fillId="17" borderId="31" xfId="0" applyFont="1" applyFill="1" applyBorder="1" applyAlignment="1">
      <alignment vertical="center" wrapText="1"/>
    </xf>
    <xf numFmtId="3" fontId="69" fillId="16" borderId="49" xfId="0" applyNumberFormat="1" applyFont="1" applyFill="1" applyBorder="1" applyAlignment="1">
      <alignment horizontal="left" vertical="top" indent="1"/>
    </xf>
    <xf numFmtId="3" fontId="69" fillId="16" borderId="31" xfId="0" applyNumberFormat="1" applyFont="1" applyFill="1" applyBorder="1" applyAlignment="1">
      <alignment horizontal="left" vertical="top" indent="1"/>
    </xf>
    <xf numFmtId="3" fontId="69" fillId="0" borderId="18" xfId="0" applyNumberFormat="1" applyFont="1" applyBorder="1" applyAlignment="1" applyProtection="1">
      <alignment horizontal="center" vertical="center" wrapText="1"/>
    </xf>
    <xf numFmtId="0" fontId="70" fillId="23" borderId="19" xfId="0" applyFont="1" applyFill="1" applyBorder="1" applyAlignment="1">
      <alignment horizontal="center" vertical="center"/>
    </xf>
    <xf numFmtId="0" fontId="62" fillId="23" borderId="11" xfId="0" applyFont="1" applyFill="1" applyBorder="1" applyAlignment="1">
      <alignment horizontal="center" vertical="center"/>
    </xf>
    <xf numFmtId="0" fontId="70" fillId="24" borderId="20" xfId="0" applyFont="1" applyFill="1" applyBorder="1" applyAlignment="1">
      <alignment horizontal="center" vertical="center"/>
    </xf>
    <xf numFmtId="0" fontId="70" fillId="24" borderId="11" xfId="0" applyFont="1" applyFill="1" applyBorder="1" applyAlignment="1">
      <alignment horizontal="center" vertical="center"/>
    </xf>
    <xf numFmtId="0" fontId="62" fillId="24" borderId="11" xfId="0" applyFont="1" applyFill="1" applyBorder="1" applyAlignment="1">
      <alignment horizontal="center" vertical="center"/>
    </xf>
    <xf numFmtId="0" fontId="70" fillId="23" borderId="107" xfId="0" applyFont="1" applyFill="1" applyBorder="1" applyAlignment="1">
      <alignment horizontal="center" vertical="center"/>
    </xf>
    <xf numFmtId="0" fontId="62" fillId="23" borderId="128" xfId="0" applyFont="1" applyFill="1" applyBorder="1" applyAlignment="1">
      <alignment horizontal="center" vertical="center"/>
    </xf>
    <xf numFmtId="0" fontId="70" fillId="23" borderId="20" xfId="0" applyFont="1" applyFill="1" applyBorder="1" applyAlignment="1">
      <alignment horizontal="center" vertical="center"/>
    </xf>
    <xf numFmtId="3" fontId="69" fillId="16" borderId="34" xfId="0" applyNumberFormat="1" applyFont="1" applyFill="1" applyBorder="1" applyAlignment="1">
      <alignment horizontal="left" vertical="top" wrapText="1" indent="1"/>
    </xf>
    <xf numFmtId="0" fontId="62" fillId="16" borderId="31" xfId="0" applyFont="1" applyFill="1" applyBorder="1" applyAlignment="1">
      <alignment horizontal="left" vertical="top" wrapText="1"/>
    </xf>
    <xf numFmtId="3" fontId="69" fillId="16" borderId="23" xfId="0" applyNumberFormat="1" applyFont="1" applyFill="1" applyBorder="1" applyAlignment="1">
      <alignment horizontal="left" vertical="top" wrapText="1" indent="1"/>
    </xf>
    <xf numFmtId="0" fontId="62" fillId="16" borderId="38" xfId="0" applyFont="1" applyFill="1" applyBorder="1" applyAlignment="1">
      <alignment horizontal="left" vertical="top" wrapText="1" indent="1"/>
    </xf>
    <xf numFmtId="3" fontId="69" fillId="16" borderId="24" xfId="0" applyNumberFormat="1" applyFont="1" applyFill="1" applyBorder="1" applyAlignment="1">
      <alignment horizontal="left" vertical="top" wrapText="1" indent="1"/>
    </xf>
    <xf numFmtId="0" fontId="67" fillId="16" borderId="51" xfId="0" applyFont="1" applyFill="1" applyBorder="1" applyAlignment="1">
      <alignment horizontal="left" vertical="top" wrapText="1" indent="1"/>
    </xf>
    <xf numFmtId="3" fontId="69" fillId="16" borderId="35" xfId="0" applyNumberFormat="1" applyFont="1" applyFill="1" applyBorder="1" applyAlignment="1">
      <alignment horizontal="left" vertical="top" wrapText="1" indent="1"/>
    </xf>
    <xf numFmtId="3" fontId="69" fillId="16" borderId="35" xfId="0" applyNumberFormat="1" applyFont="1" applyFill="1" applyBorder="1" applyAlignment="1">
      <alignment horizontal="left" vertical="top" indent="1"/>
    </xf>
    <xf numFmtId="0" fontId="67" fillId="16" borderId="30" xfId="0" applyFont="1" applyFill="1" applyBorder="1" applyAlignment="1">
      <alignment horizontal="left" vertical="top" indent="1"/>
    </xf>
    <xf numFmtId="3" fontId="69" fillId="0" borderId="23" xfId="0" applyNumberFormat="1" applyFont="1" applyBorder="1" applyAlignment="1">
      <alignment horizontal="left" vertical="top" wrapText="1" indent="1"/>
    </xf>
    <xf numFmtId="0" fontId="62" fillId="0" borderId="38" xfId="0" applyFont="1" applyBorder="1" applyAlignment="1">
      <alignment horizontal="left" vertical="top" wrapText="1" indent="1"/>
    </xf>
    <xf numFmtId="0" fontId="70" fillId="23" borderId="20" xfId="0" applyFont="1" applyFill="1" applyBorder="1" applyAlignment="1">
      <alignment horizontal="center" vertical="center" wrapText="1"/>
    </xf>
    <xf numFmtId="0" fontId="62" fillId="23" borderId="11" xfId="0" applyFont="1" applyFill="1" applyBorder="1" applyAlignment="1">
      <alignment horizontal="center" vertical="center" wrapText="1"/>
    </xf>
    <xf numFmtId="3" fontId="70" fillId="23" borderId="13" xfId="0" applyNumberFormat="1" applyFont="1" applyFill="1" applyBorder="1" applyAlignment="1">
      <alignment horizontal="center" vertical="center"/>
    </xf>
    <xf numFmtId="0" fontId="62" fillId="23" borderId="14" xfId="0" applyFont="1" applyFill="1" applyBorder="1" applyAlignment="1">
      <alignment horizontal="center" vertical="center"/>
    </xf>
    <xf numFmtId="0" fontId="70" fillId="23" borderId="21" xfId="0" applyFont="1" applyFill="1" applyBorder="1" applyAlignment="1">
      <alignment horizontal="center" vertical="center"/>
    </xf>
    <xf numFmtId="3" fontId="69" fillId="15" borderId="10" xfId="0" applyNumberFormat="1" applyFont="1" applyFill="1" applyBorder="1" applyAlignment="1" applyProtection="1">
      <alignment horizontal="center" vertical="center" wrapText="1"/>
    </xf>
    <xf numFmtId="3" fontId="69" fillId="15" borderId="123" xfId="0" applyNumberFormat="1" applyFont="1" applyFill="1" applyBorder="1" applyAlignment="1" applyProtection="1">
      <alignment horizontal="center" vertical="center" wrapText="1"/>
    </xf>
    <xf numFmtId="0" fontId="67" fillId="0" borderId="0" xfId="9" applyFont="1" applyFill="1" applyAlignment="1">
      <alignment wrapText="1"/>
    </xf>
    <xf numFmtId="0" fontId="62" fillId="0" borderId="0" xfId="0" applyFont="1" applyAlignment="1">
      <alignment wrapText="1"/>
    </xf>
    <xf numFmtId="0" fontId="60" fillId="0" borderId="9" xfId="9" applyFont="1" applyFill="1" applyBorder="1" applyAlignment="1" applyProtection="1">
      <protection locked="0"/>
    </xf>
    <xf numFmtId="0" fontId="60" fillId="0" borderId="9" xfId="0" applyFont="1" applyBorder="1" applyAlignment="1"/>
    <xf numFmtId="0" fontId="60" fillId="0" borderId="6" xfId="9" applyFont="1" applyFill="1" applyBorder="1" applyAlignment="1" applyProtection="1">
      <protection locked="0"/>
    </xf>
    <xf numFmtId="0" fontId="60" fillId="0" borderId="6" xfId="0" applyFont="1" applyBorder="1" applyAlignment="1"/>
    <xf numFmtId="49" fontId="67" fillId="0" borderId="13" xfId="0" applyNumberFormat="1" applyFont="1" applyBorder="1" applyAlignment="1" applyProtection="1">
      <alignment horizontal="left" vertical="center" wrapText="1" indent="1"/>
    </xf>
    <xf numFmtId="0" fontId="62" fillId="0" borderId="14" xfId="0" applyFont="1" applyBorder="1" applyAlignment="1">
      <alignment horizontal="left" vertical="center" wrapText="1" indent="1"/>
    </xf>
    <xf numFmtId="49" fontId="88" fillId="6" borderId="19" xfId="0" applyNumberFormat="1" applyFont="1" applyFill="1" applyBorder="1" applyAlignment="1" applyProtection="1">
      <alignment horizontal="left" vertical="center" wrapText="1"/>
    </xf>
    <xf numFmtId="0" fontId="60" fillId="0" borderId="20" xfId="0" applyFont="1" applyBorder="1" applyAlignment="1">
      <alignment horizontal="left" vertical="center" wrapText="1"/>
    </xf>
    <xf numFmtId="0" fontId="60" fillId="0" borderId="11" xfId="0" applyFont="1" applyBorder="1" applyAlignment="1">
      <alignment horizontal="left" vertical="center" wrapText="1"/>
    </xf>
    <xf numFmtId="49" fontId="69" fillId="16" borderId="13" xfId="0" applyNumberFormat="1" applyFont="1" applyFill="1" applyBorder="1" applyAlignment="1" applyProtection="1">
      <alignment horizontal="left" vertical="center" wrapText="1" indent="1"/>
    </xf>
    <xf numFmtId="0" fontId="62" fillId="16" borderId="14" xfId="0" applyFont="1" applyFill="1" applyBorder="1" applyAlignment="1">
      <alignment horizontal="left" vertical="center" wrapText="1" indent="1"/>
    </xf>
    <xf numFmtId="49" fontId="69" fillId="6" borderId="13" xfId="0" applyNumberFormat="1" applyFont="1" applyFill="1" applyBorder="1" applyAlignment="1" applyProtection="1">
      <alignment horizontal="left" vertical="center" wrapText="1"/>
    </xf>
    <xf numFmtId="0" fontId="62" fillId="6" borderId="14" xfId="0" applyFont="1" applyFill="1" applyBorder="1" applyAlignment="1">
      <alignment horizontal="left" vertical="center" wrapText="1"/>
    </xf>
    <xf numFmtId="49" fontId="69" fillId="16" borderId="13" xfId="0" applyNumberFormat="1" applyFont="1" applyFill="1" applyBorder="1" applyAlignment="1" applyProtection="1">
      <alignment horizontal="left" vertical="center" indent="1"/>
    </xf>
    <xf numFmtId="0" fontId="62" fillId="16" borderId="14" xfId="0" applyFont="1" applyFill="1" applyBorder="1" applyAlignment="1">
      <alignment horizontal="left" vertical="center" indent="1"/>
    </xf>
    <xf numFmtId="0" fontId="70" fillId="12" borderId="13" xfId="9" applyFont="1" applyFill="1" applyBorder="1" applyAlignment="1">
      <alignment horizontal="center" vertical="center"/>
    </xf>
    <xf numFmtId="0" fontId="62" fillId="12" borderId="14" xfId="0" applyFont="1" applyFill="1" applyBorder="1" applyAlignment="1">
      <alignment horizontal="center" vertical="center"/>
    </xf>
    <xf numFmtId="0" fontId="69" fillId="6" borderId="13" xfId="0" applyFont="1" applyFill="1" applyBorder="1" applyAlignment="1" applyProtection="1">
      <alignment horizontal="left" vertical="center" wrapText="1"/>
    </xf>
    <xf numFmtId="49" fontId="70" fillId="12" borderId="13" xfId="0" applyNumberFormat="1" applyFont="1" applyFill="1" applyBorder="1" applyAlignment="1" applyProtection="1">
      <alignment horizontal="center" vertical="center"/>
    </xf>
    <xf numFmtId="49" fontId="78" fillId="6" borderId="19" xfId="0" applyNumberFormat="1" applyFont="1" applyFill="1" applyBorder="1" applyAlignment="1" applyProtection="1">
      <alignment horizontal="left" vertical="center" wrapText="1"/>
    </xf>
    <xf numFmtId="0" fontId="62" fillId="0" borderId="20" xfId="0" applyFont="1" applyBorder="1" applyAlignment="1">
      <alignment horizontal="left" vertical="center" wrapText="1"/>
    </xf>
    <xf numFmtId="0" fontId="62" fillId="0" borderId="11" xfId="0" applyFont="1" applyBorder="1" applyAlignment="1">
      <alignment horizontal="left" vertical="center" wrapText="1"/>
    </xf>
    <xf numFmtId="164" fontId="69" fillId="6" borderId="13" xfId="0" applyNumberFormat="1" applyFont="1" applyFill="1" applyBorder="1" applyAlignment="1" applyProtection="1">
      <alignment horizontal="left" vertical="center" wrapText="1"/>
    </xf>
    <xf numFmtId="49" fontId="69" fillId="0" borderId="13" xfId="0" applyNumberFormat="1" applyFont="1" applyBorder="1" applyAlignment="1" applyProtection="1">
      <alignment horizontal="center" vertical="center" wrapText="1"/>
    </xf>
    <xf numFmtId="49" fontId="69" fillId="0" borderId="14" xfId="0" applyNumberFormat="1" applyFont="1" applyBorder="1" applyAlignment="1" applyProtection="1">
      <alignment horizontal="center" vertical="center" wrapText="1"/>
    </xf>
    <xf numFmtId="49" fontId="69" fillId="6" borderId="13" xfId="0" applyNumberFormat="1" applyFont="1" applyFill="1" applyBorder="1" applyAlignment="1" applyProtection="1">
      <alignment horizontal="left" vertical="center"/>
    </xf>
    <xf numFmtId="49" fontId="69" fillId="6" borderId="14" xfId="0" applyNumberFormat="1" applyFont="1" applyFill="1" applyBorder="1" applyAlignment="1" applyProtection="1">
      <alignment horizontal="left" vertical="center"/>
    </xf>
    <xf numFmtId="0" fontId="70" fillId="12" borderId="46" xfId="0" applyFont="1" applyFill="1" applyBorder="1" applyAlignment="1" applyProtection="1">
      <alignment horizontal="left" vertical="center" wrapText="1"/>
    </xf>
    <xf numFmtId="0" fontId="62" fillId="12" borderId="6" xfId="0" applyFont="1" applyFill="1" applyBorder="1" applyAlignment="1">
      <alignment horizontal="left" wrapText="1"/>
    </xf>
    <xf numFmtId="0" fontId="62" fillId="12" borderId="7" xfId="0" applyFont="1" applyFill="1" applyBorder="1" applyAlignment="1">
      <alignment horizontal="left" wrapText="1"/>
    </xf>
    <xf numFmtId="0" fontId="67" fillId="0" borderId="46" xfId="0" applyFont="1" applyBorder="1" applyAlignment="1" applyProtection="1">
      <alignment horizontal="left" vertical="center" wrapText="1" indent="1"/>
    </xf>
    <xf numFmtId="0" fontId="67" fillId="0" borderId="6" xfId="0" applyFont="1" applyBorder="1" applyAlignment="1" applyProtection="1">
      <alignment horizontal="left" vertical="center" wrapText="1" indent="1"/>
    </xf>
    <xf numFmtId="0" fontId="62" fillId="0" borderId="7" xfId="0" applyFont="1" applyBorder="1" applyAlignment="1">
      <alignment horizontal="left" wrapText="1" indent="1"/>
    </xf>
    <xf numFmtId="0" fontId="67" fillId="0" borderId="7" xfId="0" applyFont="1" applyBorder="1" applyAlignment="1">
      <alignment horizontal="left" wrapText="1" indent="1"/>
    </xf>
    <xf numFmtId="0" fontId="99" fillId="0" borderId="5" xfId="0" applyFont="1" applyBorder="1" applyAlignment="1" applyProtection="1">
      <alignment horizontal="left" wrapText="1" indent="2"/>
    </xf>
    <xf numFmtId="0" fontId="67" fillId="0" borderId="0" xfId="0" applyFont="1" applyAlignment="1">
      <alignment horizontal="left" wrapText="1"/>
    </xf>
    <xf numFmtId="0" fontId="67" fillId="0" borderId="5" xfId="0" applyFont="1" applyBorder="1" applyAlignment="1">
      <alignment horizontal="left" wrapText="1"/>
    </xf>
    <xf numFmtId="0" fontId="67" fillId="0" borderId="9" xfId="0" applyFont="1" applyBorder="1" applyAlignment="1" applyProtection="1">
      <alignment horizontal="left" vertical="center" wrapText="1" indent="1"/>
    </xf>
    <xf numFmtId="0" fontId="62" fillId="0" borderId="59" xfId="0" applyFont="1" applyBorder="1" applyAlignment="1">
      <alignment horizontal="left" wrapText="1" indent="1"/>
    </xf>
    <xf numFmtId="0" fontId="67" fillId="0" borderId="144" xfId="0" applyFont="1" applyBorder="1" applyAlignment="1" applyProtection="1">
      <alignment horizontal="left" vertical="center" wrapText="1" indent="1"/>
    </xf>
    <xf numFmtId="0" fontId="67" fillId="0" borderId="145" xfId="0" applyFont="1" applyBorder="1" applyAlignment="1" applyProtection="1">
      <alignment horizontal="left" vertical="center" wrapText="1" indent="1"/>
    </xf>
    <xf numFmtId="0" fontId="67" fillId="0" borderId="6" xfId="0" applyFont="1" applyBorder="1" applyAlignment="1" applyProtection="1">
      <alignment horizontal="left" vertical="center" indent="1"/>
    </xf>
    <xf numFmtId="0" fontId="62" fillId="0" borderId="6" xfId="0" applyFont="1" applyBorder="1" applyAlignment="1">
      <alignment horizontal="left" indent="1"/>
    </xf>
    <xf numFmtId="0" fontId="62" fillId="0" borderId="7" xfId="0" applyFont="1" applyBorder="1" applyAlignment="1">
      <alignment horizontal="left" indent="1"/>
    </xf>
    <xf numFmtId="0" fontId="62" fillId="0" borderId="6" xfId="0" applyFont="1" applyBorder="1" applyAlignment="1" applyProtection="1">
      <alignment horizontal="left" vertical="center" wrapText="1" indent="1"/>
    </xf>
    <xf numFmtId="0" fontId="62" fillId="0" borderId="7" xfId="0" applyFont="1" applyBorder="1" applyAlignment="1" applyProtection="1">
      <alignment horizontal="left" vertical="center" wrapText="1" indent="1"/>
    </xf>
    <xf numFmtId="49" fontId="69" fillId="0" borderId="66" xfId="0" applyNumberFormat="1" applyFont="1" applyFill="1" applyBorder="1" applyAlignment="1" applyProtection="1">
      <alignment horizontal="center" vertical="center" wrapText="1"/>
    </xf>
    <xf numFmtId="49" fontId="69" fillId="0" borderId="15" xfId="0" applyNumberFormat="1" applyFont="1" applyFill="1" applyBorder="1" applyAlignment="1" applyProtection="1">
      <alignment horizontal="center" vertical="center" wrapText="1"/>
    </xf>
    <xf numFmtId="0" fontId="62" fillId="0" borderId="67" xfId="0" applyFont="1" applyFill="1" applyBorder="1" applyAlignment="1">
      <alignment wrapText="1"/>
    </xf>
    <xf numFmtId="0" fontId="69" fillId="0" borderId="46" xfId="0" applyFont="1" applyBorder="1" applyAlignment="1" applyProtection="1">
      <alignment horizontal="left" vertical="center" wrapText="1"/>
    </xf>
    <xf numFmtId="0" fontId="69" fillId="0" borderId="6" xfId="0" applyFont="1" applyBorder="1" applyAlignment="1" applyProtection="1">
      <alignment horizontal="left" vertical="center" wrapText="1"/>
    </xf>
    <xf numFmtId="0" fontId="62" fillId="0" borderId="6" xfId="0" applyFont="1" applyBorder="1" applyAlignment="1">
      <alignment wrapText="1"/>
    </xf>
    <xf numFmtId="0" fontId="69" fillId="6" borderId="5" xfId="0" applyFont="1" applyFill="1" applyBorder="1" applyAlignment="1" applyProtection="1">
      <alignment horizontal="left" vertical="center" wrapText="1"/>
    </xf>
    <xf numFmtId="0" fontId="69" fillId="6" borderId="0" xfId="0" applyFont="1" applyFill="1" applyBorder="1" applyAlignment="1" applyProtection="1">
      <alignment horizontal="left" vertical="center" wrapText="1"/>
    </xf>
    <xf numFmtId="0" fontId="69" fillId="6" borderId="87" xfId="0" applyFont="1" applyFill="1" applyBorder="1" applyAlignment="1" applyProtection="1">
      <alignment horizontal="left" vertical="center" wrapText="1"/>
    </xf>
    <xf numFmtId="0" fontId="69" fillId="6" borderId="88" xfId="0" applyFont="1" applyFill="1" applyBorder="1" applyAlignment="1" applyProtection="1">
      <alignment horizontal="left" vertical="center" wrapText="1"/>
    </xf>
    <xf numFmtId="0" fontId="62" fillId="0" borderId="88" xfId="0" applyFont="1" applyBorder="1" applyAlignment="1">
      <alignment wrapText="1"/>
    </xf>
    <xf numFmtId="0" fontId="69" fillId="16" borderId="54" xfId="0" applyFont="1" applyFill="1" applyBorder="1" applyAlignment="1" applyProtection="1">
      <alignment horizontal="left" vertical="center" indent="1"/>
    </xf>
    <xf numFmtId="0" fontId="69" fillId="16" borderId="57" xfId="0" applyFont="1" applyFill="1" applyBorder="1" applyAlignment="1" applyProtection="1">
      <alignment horizontal="left" vertical="center" indent="1"/>
    </xf>
    <xf numFmtId="0" fontId="69" fillId="16" borderId="61" xfId="0" applyFont="1" applyFill="1" applyBorder="1" applyAlignment="1" applyProtection="1">
      <alignment horizontal="left" vertical="center" indent="1"/>
    </xf>
    <xf numFmtId="0" fontId="69" fillId="16" borderId="144" xfId="0" applyFont="1" applyFill="1" applyBorder="1" applyAlignment="1" applyProtection="1">
      <alignment horizontal="left" vertical="center" indent="1"/>
    </xf>
    <xf numFmtId="0" fontId="69" fillId="16" borderId="143" xfId="0" applyFont="1" applyFill="1" applyBorder="1" applyAlignment="1" applyProtection="1">
      <alignment horizontal="left" vertical="center" indent="1"/>
    </xf>
    <xf numFmtId="0" fontId="69" fillId="3" borderId="144" xfId="0" applyFont="1" applyFill="1" applyBorder="1" applyAlignment="1" applyProtection="1">
      <alignment horizontal="left" vertical="center"/>
    </xf>
    <xf numFmtId="0" fontId="69" fillId="3" borderId="145" xfId="0" applyFont="1" applyFill="1" applyBorder="1" applyAlignment="1" applyProtection="1">
      <alignment horizontal="left" vertical="center"/>
    </xf>
    <xf numFmtId="0" fontId="102" fillId="0" borderId="9" xfId="0" applyFont="1" applyBorder="1" applyAlignment="1">
      <alignment horizontal="left" vertical="center" wrapText="1" indent="1"/>
    </xf>
    <xf numFmtId="0" fontId="62" fillId="0" borderId="9" xfId="0" applyFont="1" applyBorder="1" applyAlignment="1">
      <alignment horizontal="left" vertical="center" wrapText="1" indent="1"/>
    </xf>
    <xf numFmtId="0" fontId="70" fillId="23" borderId="143" xfId="0" applyFont="1" applyFill="1" applyBorder="1" applyAlignment="1" applyProtection="1">
      <alignment horizontal="left" vertical="center" indent="1"/>
    </xf>
    <xf numFmtId="0" fontId="70" fillId="23" borderId="144" xfId="0" applyFont="1" applyFill="1" applyBorder="1" applyAlignment="1" applyProtection="1">
      <alignment horizontal="left" vertical="center" indent="1"/>
    </xf>
    <xf numFmtId="0" fontId="70" fillId="23" borderId="145" xfId="0" applyFont="1" applyFill="1" applyBorder="1" applyAlignment="1" applyProtection="1">
      <alignment horizontal="left" vertical="center" indent="1"/>
    </xf>
    <xf numFmtId="0" fontId="73" fillId="6" borderId="89" xfId="10" applyFont="1" applyFill="1" applyBorder="1" applyAlignment="1">
      <alignment horizontal="center" vertical="center"/>
    </xf>
    <xf numFmtId="0" fontId="103" fillId="0" borderId="90" xfId="0" applyFont="1" applyBorder="1" applyAlignment="1">
      <alignment horizontal="center" vertical="center"/>
    </xf>
    <xf numFmtId="0" fontId="103" fillId="0" borderId="91" xfId="0" applyFont="1" applyBorder="1" applyAlignment="1">
      <alignment horizontal="center" vertical="center"/>
    </xf>
    <xf numFmtId="0" fontId="70" fillId="23" borderId="92" xfId="10" applyFont="1" applyFill="1" applyBorder="1" applyAlignment="1">
      <alignment horizontal="center" vertical="center" wrapText="1"/>
    </xf>
    <xf numFmtId="0" fontId="70" fillId="23" borderId="25" xfId="0" applyFont="1" applyFill="1" applyBorder="1" applyAlignment="1">
      <alignment horizontal="center" vertical="center" wrapText="1"/>
    </xf>
    <xf numFmtId="0" fontId="70" fillId="23" borderId="93" xfId="0" applyFont="1" applyFill="1" applyBorder="1" applyAlignment="1">
      <alignment horizontal="center" vertical="center" wrapText="1"/>
    </xf>
    <xf numFmtId="0" fontId="135" fillId="23" borderId="94" xfId="10" applyFont="1" applyFill="1" applyBorder="1" applyAlignment="1">
      <alignment horizontal="center" vertical="center"/>
    </xf>
    <xf numFmtId="0" fontId="60" fillId="23" borderId="47" xfId="0" applyFont="1" applyFill="1" applyBorder="1" applyAlignment="1">
      <alignment horizontal="center" vertical="center"/>
    </xf>
    <xf numFmtId="0" fontId="60" fillId="23" borderId="95" xfId="0" applyFont="1" applyFill="1" applyBorder="1" applyAlignment="1">
      <alignment horizontal="center" vertical="center"/>
    </xf>
    <xf numFmtId="0" fontId="85" fillId="0" borderId="74" xfId="10" applyFont="1" applyBorder="1" applyAlignment="1">
      <alignment horizontal="center"/>
    </xf>
    <xf numFmtId="0" fontId="62" fillId="0" borderId="74" xfId="0" applyFont="1" applyBorder="1" applyAlignment="1">
      <alignment horizontal="center"/>
    </xf>
    <xf numFmtId="0" fontId="132" fillId="0" borderId="96" xfId="17" applyFont="1" applyBorder="1" applyAlignment="1">
      <alignment horizontal="left" vertical="top" wrapText="1"/>
    </xf>
    <xf numFmtId="0" fontId="132" fillId="0" borderId="0" xfId="17" applyFont="1" applyBorder="1" applyAlignment="1">
      <alignment horizontal="left" vertical="top" wrapText="1"/>
    </xf>
    <xf numFmtId="0" fontId="132" fillId="0" borderId="97" xfId="17" applyFont="1" applyBorder="1" applyAlignment="1">
      <alignment horizontal="left" vertical="top" wrapText="1"/>
    </xf>
    <xf numFmtId="0" fontId="131" fillId="23" borderId="137" xfId="17" applyFont="1" applyFill="1" applyBorder="1" applyAlignment="1">
      <alignment horizontal="center" vertical="center"/>
    </xf>
    <xf numFmtId="0" fontId="131" fillId="23" borderId="138" xfId="17" applyFont="1" applyFill="1" applyBorder="1" applyAlignment="1">
      <alignment horizontal="center" vertical="center"/>
    </xf>
    <xf numFmtId="0" fontId="131" fillId="23" borderId="139" xfId="17" applyFont="1" applyFill="1" applyBorder="1" applyAlignment="1">
      <alignment horizontal="center" vertical="center"/>
    </xf>
    <xf numFmtId="0" fontId="131" fillId="23" borderId="98" xfId="17" applyFont="1" applyFill="1" applyBorder="1" applyAlignment="1">
      <alignment horizontal="center" vertical="center"/>
    </xf>
    <xf numFmtId="0" fontId="131" fillId="23" borderId="78" xfId="17" applyFont="1" applyFill="1" applyBorder="1" applyAlignment="1">
      <alignment horizontal="center" vertical="center"/>
    </xf>
    <xf numFmtId="0" fontId="131" fillId="23" borderId="99" xfId="17" applyFont="1" applyFill="1" applyBorder="1" applyAlignment="1">
      <alignment horizontal="center" vertical="center"/>
    </xf>
    <xf numFmtId="0" fontId="132" fillId="0" borderId="96" xfId="17" applyFont="1" applyBorder="1" applyAlignment="1">
      <alignment vertical="top" wrapText="1"/>
    </xf>
    <xf numFmtId="0" fontId="132" fillId="0" borderId="0" xfId="17" applyFont="1" applyBorder="1" applyAlignment="1">
      <alignment vertical="top" wrapText="1"/>
    </xf>
    <xf numFmtId="0" fontId="132" fillId="0" borderId="97" xfId="17" applyFont="1" applyBorder="1" applyAlignment="1">
      <alignment vertical="top" wrapText="1"/>
    </xf>
    <xf numFmtId="0" fontId="132" fillId="0" borderId="96" xfId="17" applyFont="1" applyBorder="1" applyAlignment="1">
      <alignment vertical="top"/>
    </xf>
    <xf numFmtId="0" fontId="132" fillId="0" borderId="0" xfId="17" applyFont="1" applyBorder="1" applyAlignment="1">
      <alignment vertical="top"/>
    </xf>
    <xf numFmtId="0" fontId="132" fillId="0" borderId="97" xfId="17" applyFont="1" applyBorder="1" applyAlignment="1">
      <alignment vertical="top"/>
    </xf>
    <xf numFmtId="0" fontId="69" fillId="0" borderId="12" xfId="0" applyFont="1" applyFill="1" applyBorder="1" applyAlignment="1" applyProtection="1">
      <alignment horizontal="left" vertical="center" wrapText="1"/>
    </xf>
    <xf numFmtId="0" fontId="62" fillId="0" borderId="16" xfId="0" applyFont="1" applyBorder="1" applyAlignment="1">
      <alignment horizontal="left" vertical="center" wrapText="1"/>
    </xf>
    <xf numFmtId="0" fontId="62" fillId="0" borderId="10" xfId="0" applyFont="1" applyBorder="1" applyAlignment="1">
      <alignment horizontal="left" vertical="center" wrapText="1"/>
    </xf>
    <xf numFmtId="0" fontId="69" fillId="0" borderId="20" xfId="0" applyFont="1" applyBorder="1" applyAlignment="1">
      <alignment horizontal="center" vertical="center"/>
    </xf>
    <xf numFmtId="0" fontId="67" fillId="0" borderId="11" xfId="0" applyFont="1" applyBorder="1" applyAlignment="1">
      <alignment horizontal="center" vertical="center"/>
    </xf>
    <xf numFmtId="0" fontId="67" fillId="19" borderId="13" xfId="0" applyFont="1" applyFill="1" applyBorder="1" applyAlignment="1" applyProtection="1">
      <alignment horizontal="left" vertical="center" wrapText="1" indent="1"/>
    </xf>
    <xf numFmtId="0" fontId="62" fillId="19" borderId="21" xfId="0" applyFont="1" applyFill="1" applyBorder="1" applyAlignment="1">
      <alignment horizontal="left" vertical="center" wrapText="1" indent="1"/>
    </xf>
    <xf numFmtId="0" fontId="62" fillId="19" borderId="14" xfId="0" applyFont="1" applyFill="1" applyBorder="1" applyAlignment="1">
      <alignment horizontal="left" vertical="center" wrapText="1" indent="1"/>
    </xf>
    <xf numFmtId="0" fontId="54" fillId="0" borderId="98" xfId="18" applyFont="1" applyBorder="1" applyAlignment="1" applyProtection="1">
      <alignment vertical="top" wrapText="1"/>
      <protection locked="0"/>
    </xf>
    <xf numFmtId="0" fontId="54" fillId="0" borderId="78" xfId="18" applyFont="1" applyBorder="1" applyAlignment="1" applyProtection="1">
      <alignment vertical="top" wrapText="1"/>
      <protection locked="0"/>
    </xf>
    <xf numFmtId="0" fontId="54" fillId="0" borderId="99" xfId="18" applyFont="1" applyBorder="1" applyAlignment="1" applyProtection="1">
      <alignment vertical="top" wrapText="1"/>
      <protection locked="0"/>
    </xf>
    <xf numFmtId="0" fontId="9" fillId="0" borderId="96" xfId="18" applyFont="1" applyBorder="1" applyAlignment="1" applyProtection="1">
      <alignment vertical="top" wrapText="1"/>
      <protection locked="0"/>
    </xf>
    <xf numFmtId="0" fontId="9" fillId="0" borderId="0" xfId="18" applyFont="1" applyBorder="1" applyAlignment="1" applyProtection="1">
      <alignment vertical="top" wrapText="1"/>
      <protection locked="0"/>
    </xf>
    <xf numFmtId="0" fontId="9" fillId="0" borderId="97" xfId="18" applyFont="1" applyBorder="1" applyAlignment="1" applyProtection="1">
      <alignment vertical="top" wrapText="1"/>
      <protection locked="0"/>
    </xf>
    <xf numFmtId="0" fontId="9" fillId="0" borderId="98" xfId="18" applyFont="1" applyBorder="1" applyAlignment="1" applyProtection="1">
      <alignment vertical="top" wrapText="1"/>
      <protection locked="0"/>
    </xf>
    <xf numFmtId="0" fontId="9" fillId="0" borderId="78" xfId="18" applyFont="1" applyBorder="1" applyAlignment="1" applyProtection="1">
      <alignment vertical="top" wrapText="1"/>
      <protection locked="0"/>
    </xf>
    <xf numFmtId="0" fontId="9" fillId="0" borderId="99" xfId="18" applyFont="1" applyBorder="1" applyAlignment="1" applyProtection="1">
      <alignment vertical="top" wrapText="1"/>
      <protection locked="0"/>
    </xf>
    <xf numFmtId="0" fontId="54" fillId="0" borderId="138" xfId="18" applyFont="1" applyBorder="1" applyAlignment="1" applyProtection="1">
      <alignment horizontal="center" vertical="top" wrapText="1"/>
      <protection locked="0"/>
    </xf>
    <xf numFmtId="0" fontId="54" fillId="0" borderId="139" xfId="18" applyFont="1" applyBorder="1" applyAlignment="1" applyProtection="1">
      <alignment horizontal="center" vertical="top" wrapText="1"/>
      <protection locked="0"/>
    </xf>
    <xf numFmtId="0" fontId="54" fillId="0" borderId="96" xfId="18" applyFont="1" applyBorder="1" applyAlignment="1" applyProtection="1">
      <alignment vertical="top" wrapText="1"/>
      <protection locked="0"/>
    </xf>
    <xf numFmtId="0" fontId="54" fillId="0" borderId="0" xfId="18" applyFont="1" applyBorder="1" applyAlignment="1" applyProtection="1">
      <alignment vertical="top" wrapText="1"/>
      <protection locked="0"/>
    </xf>
    <xf numFmtId="0" fontId="54" fillId="0" borderId="97" xfId="18" applyFont="1" applyBorder="1" applyAlignment="1" applyProtection="1">
      <alignment vertical="top" wrapText="1"/>
      <protection locked="0"/>
    </xf>
    <xf numFmtId="0" fontId="106" fillId="23" borderId="0" xfId="18" applyFont="1" applyFill="1" applyAlignment="1">
      <alignment horizontal="center" vertical="center"/>
    </xf>
    <xf numFmtId="0" fontId="78" fillId="0" borderId="134" xfId="18" applyFont="1" applyFill="1" applyBorder="1" applyAlignment="1">
      <alignment horizontal="left" vertical="top" wrapText="1"/>
    </xf>
    <xf numFmtId="0" fontId="78" fillId="0" borderId="0" xfId="18" applyFont="1" applyFill="1" applyBorder="1" applyAlignment="1">
      <alignment horizontal="left" vertical="top" wrapText="1"/>
    </xf>
    <xf numFmtId="0" fontId="112" fillId="0" borderId="0" xfId="18" applyFont="1" applyAlignment="1">
      <alignment wrapText="1"/>
    </xf>
    <xf numFmtId="0" fontId="56" fillId="0" borderId="0" xfId="18" applyFont="1" applyAlignment="1">
      <alignment horizontal="center" vertical="center" wrapText="1"/>
    </xf>
    <xf numFmtId="174" fontId="56" fillId="0" borderId="78" xfId="18" applyNumberFormat="1" applyFont="1" applyBorder="1" applyAlignment="1">
      <alignment horizontal="center" vertical="center" wrapText="1"/>
    </xf>
    <xf numFmtId="0" fontId="9" fillId="0" borderId="138" xfId="18" applyFont="1" applyBorder="1" applyAlignment="1" applyProtection="1">
      <alignment horizontal="center" vertical="top" wrapText="1"/>
      <protection locked="0"/>
    </xf>
    <xf numFmtId="0" fontId="9" fillId="0" borderId="139" xfId="18" applyFont="1" applyBorder="1" applyAlignment="1" applyProtection="1">
      <alignment horizontal="center" vertical="top" wrapText="1"/>
      <protection locked="0"/>
    </xf>
    <xf numFmtId="0" fontId="67" fillId="0" borderId="5" xfId="3" quotePrefix="1" applyNumberFormat="1" applyFont="1" applyBorder="1" applyAlignment="1">
      <alignment horizontal="left" vertical="top" wrapText="1" indent="2"/>
    </xf>
    <xf numFmtId="0" fontId="67" fillId="0" borderId="0" xfId="3" quotePrefix="1" applyNumberFormat="1" applyFont="1" applyBorder="1" applyAlignment="1">
      <alignment horizontal="left" vertical="top" wrapText="1" indent="2"/>
    </xf>
    <xf numFmtId="0" fontId="67" fillId="0" borderId="0" xfId="3" applyNumberFormat="1" applyFont="1" applyBorder="1" applyAlignment="1">
      <alignment horizontal="left" vertical="top" wrapText="1" indent="2"/>
    </xf>
    <xf numFmtId="0" fontId="62" fillId="0" borderId="0" xfId="3" applyFont="1" applyAlignment="1">
      <alignment horizontal="left" vertical="top" wrapText="1" indent="2"/>
    </xf>
    <xf numFmtId="0" fontId="67" fillId="0" borderId="0" xfId="3" applyNumberFormat="1" applyFont="1" applyAlignment="1">
      <alignment horizontal="left" vertical="top" wrapText="1" indent="2"/>
    </xf>
    <xf numFmtId="0" fontId="60" fillId="0" borderId="20" xfId="3" applyNumberFormat="1" applyFont="1" applyBorder="1" applyAlignment="1">
      <alignment horizontal="left" vertical="center" indent="1"/>
    </xf>
    <xf numFmtId="0" fontId="60" fillId="0" borderId="20" xfId="3" applyNumberFormat="1" applyFont="1" applyBorder="1" applyAlignment="1">
      <alignment horizontal="left" vertical="center"/>
    </xf>
    <xf numFmtId="0" fontId="60" fillId="23" borderId="17" xfId="3" applyNumberFormat="1" applyFont="1" applyFill="1" applyBorder="1" applyAlignment="1">
      <alignment horizontal="left" vertical="top" wrapText="1"/>
    </xf>
    <xf numFmtId="0" fontId="60" fillId="23" borderId="0" xfId="3" applyFont="1" applyFill="1" applyBorder="1" applyAlignment="1">
      <alignment vertical="top"/>
    </xf>
    <xf numFmtId="0" fontId="60" fillId="23" borderId="18" xfId="3" applyFont="1" applyFill="1" applyBorder="1" applyAlignment="1">
      <alignment vertical="top"/>
    </xf>
    <xf numFmtId="166" fontId="60" fillId="0" borderId="21" xfId="3" applyNumberFormat="1" applyFont="1" applyBorder="1" applyAlignment="1">
      <alignment horizontal="left" vertical="center" indent="1"/>
    </xf>
    <xf numFmtId="0" fontId="69" fillId="0" borderId="19" xfId="3" applyNumberFormat="1" applyFont="1" applyBorder="1" applyAlignment="1">
      <alignment horizontal="center" vertical="center"/>
    </xf>
    <xf numFmtId="0" fontId="62" fillId="0" borderId="20" xfId="3" applyFont="1" applyBorder="1" applyAlignment="1">
      <alignment horizontal="center" vertical="center"/>
    </xf>
    <xf numFmtId="0" fontId="62" fillId="0" borderId="11" xfId="3" applyFont="1" applyBorder="1" applyAlignment="1">
      <alignment horizontal="center" vertical="center"/>
    </xf>
    <xf numFmtId="0" fontId="67" fillId="0" borderId="21" xfId="3" applyNumberFormat="1" applyFont="1" applyBorder="1" applyAlignment="1">
      <alignment horizontal="left" vertical="center" wrapText="1"/>
    </xf>
    <xf numFmtId="0" fontId="62" fillId="0" borderId="21" xfId="3" applyFont="1" applyBorder="1" applyAlignment="1">
      <alignment horizontal="left" vertical="center" wrapText="1"/>
    </xf>
    <xf numFmtId="0" fontId="62" fillId="0" borderId="14" xfId="3" applyFont="1" applyBorder="1" applyAlignment="1">
      <alignment horizontal="left" vertical="center" wrapText="1"/>
    </xf>
    <xf numFmtId="0" fontId="69" fillId="0" borderId="21" xfId="3" applyNumberFormat="1" applyFont="1" applyBorder="1" applyAlignment="1">
      <alignment vertical="center"/>
    </xf>
    <xf numFmtId="0" fontId="69" fillId="0" borderId="14" xfId="3" applyNumberFormat="1" applyFont="1" applyBorder="1" applyAlignment="1">
      <alignment vertical="center"/>
    </xf>
    <xf numFmtId="0" fontId="78" fillId="0" borderId="130" xfId="3" applyFont="1" applyBorder="1" applyAlignment="1">
      <alignment horizontal="center" vertical="center" wrapText="1"/>
    </xf>
    <xf numFmtId="0" fontId="78" fillId="0" borderId="130" xfId="3" applyNumberFormat="1" applyFont="1" applyBorder="1" applyAlignment="1">
      <alignment horizontal="center"/>
    </xf>
    <xf numFmtId="0" fontId="62" fillId="0" borderId="131" xfId="3" applyNumberFormat="1" applyFont="1" applyBorder="1" applyAlignment="1" applyProtection="1">
      <alignment horizontal="center"/>
      <protection locked="0"/>
    </xf>
    <xf numFmtId="171" fontId="62" fillId="0" borderId="131" xfId="3" applyNumberFormat="1" applyFont="1" applyBorder="1" applyAlignment="1" applyProtection="1">
      <alignment horizontal="center"/>
      <protection locked="0"/>
    </xf>
    <xf numFmtId="0" fontId="62" fillId="0" borderId="131" xfId="3" applyNumberFormat="1" applyFont="1" applyBorder="1" applyAlignment="1" applyProtection="1">
      <alignment horizontal="center" vertical="center"/>
      <protection locked="0"/>
    </xf>
    <xf numFmtId="0" fontId="88" fillId="0" borderId="0" xfId="0" applyFont="1" applyAlignment="1">
      <alignment vertical="top" wrapText="1"/>
    </xf>
    <xf numFmtId="0" fontId="70" fillId="12" borderId="13" xfId="3" applyFont="1" applyFill="1" applyBorder="1" applyAlignment="1">
      <alignment horizontal="center" vertical="center" wrapText="1"/>
    </xf>
    <xf numFmtId="0" fontId="70" fillId="12" borderId="21" xfId="3" applyFont="1" applyFill="1" applyBorder="1" applyAlignment="1">
      <alignment horizontal="center" vertical="center" wrapText="1"/>
    </xf>
    <xf numFmtId="0" fontId="70" fillId="12" borderId="14" xfId="3" applyFont="1" applyFill="1" applyBorder="1" applyAlignment="1">
      <alignment horizontal="center" vertical="center" wrapText="1"/>
    </xf>
    <xf numFmtId="0" fontId="62" fillId="0" borderId="0" xfId="3" applyFont="1" applyBorder="1" applyAlignment="1">
      <alignment wrapText="1"/>
    </xf>
    <xf numFmtId="0" fontId="114" fillId="0" borderId="111" xfId="3" applyFont="1" applyBorder="1" applyAlignment="1">
      <alignment horizontal="center" vertical="center" wrapText="1"/>
    </xf>
    <xf numFmtId="0" fontId="114" fillId="0" borderId="0" xfId="3" applyFont="1" applyBorder="1" applyAlignment="1">
      <alignment horizontal="center" vertical="center" wrapText="1"/>
    </xf>
    <xf numFmtId="0" fontId="114" fillId="0" borderId="112" xfId="3" applyFont="1" applyBorder="1" applyAlignment="1">
      <alignment horizontal="center" vertical="center" wrapText="1"/>
    </xf>
    <xf numFmtId="0" fontId="114" fillId="0" borderId="113" xfId="3" applyFont="1" applyBorder="1" applyAlignment="1">
      <alignment horizontal="center" vertical="center" wrapText="1"/>
    </xf>
    <xf numFmtId="0" fontId="114" fillId="0" borderId="114" xfId="3" applyFont="1" applyBorder="1" applyAlignment="1">
      <alignment horizontal="center" vertical="center" wrapText="1"/>
    </xf>
    <xf numFmtId="0" fontId="114" fillId="0" borderId="115" xfId="3" applyFont="1" applyBorder="1" applyAlignment="1">
      <alignment horizontal="center" vertical="center" wrapText="1"/>
    </xf>
    <xf numFmtId="0" fontId="115" fillId="0" borderId="13" xfId="3" applyNumberFormat="1" applyFont="1" applyBorder="1" applyAlignment="1">
      <alignment vertical="top" wrapText="1"/>
    </xf>
    <xf numFmtId="0" fontId="115" fillId="0" borderId="21" xfId="3" applyNumberFormat="1" applyFont="1" applyBorder="1" applyAlignment="1">
      <alignment vertical="top" wrapText="1"/>
    </xf>
    <xf numFmtId="0" fontId="115" fillId="0" borderId="14" xfId="3" applyNumberFormat="1" applyFont="1" applyBorder="1" applyAlignment="1">
      <alignment vertical="top" wrapText="1"/>
    </xf>
    <xf numFmtId="0" fontId="60" fillId="0" borderId="12" xfId="3" applyFont="1" applyBorder="1" applyAlignment="1">
      <alignment vertical="top" wrapText="1"/>
    </xf>
    <xf numFmtId="0" fontId="60" fillId="0" borderId="16" xfId="3" applyFont="1" applyBorder="1" applyAlignment="1">
      <alignment vertical="top" wrapText="1"/>
    </xf>
    <xf numFmtId="0" fontId="60" fillId="0" borderId="10" xfId="3" applyFont="1" applyBorder="1" applyAlignment="1">
      <alignment vertical="top" wrapText="1"/>
    </xf>
    <xf numFmtId="0" fontId="70" fillId="0" borderId="46" xfId="3" applyFont="1" applyBorder="1" applyAlignment="1">
      <alignment horizontal="center" vertical="center" wrapText="1"/>
    </xf>
    <xf numFmtId="0" fontId="70" fillId="0" borderId="6" xfId="3" applyFont="1" applyBorder="1" applyAlignment="1">
      <alignment horizontal="center" vertical="center" wrapText="1"/>
    </xf>
    <xf numFmtId="0" fontId="70" fillId="0" borderId="7" xfId="3" applyFont="1" applyBorder="1" applyAlignment="1">
      <alignment horizontal="center" vertical="center" wrapText="1"/>
    </xf>
    <xf numFmtId="0" fontId="88" fillId="0" borderId="5" xfId="3" applyFont="1" applyBorder="1" applyAlignment="1">
      <alignment vertical="top"/>
    </xf>
    <xf numFmtId="0" fontId="88" fillId="0" borderId="0" xfId="3" applyFont="1" applyBorder="1" applyAlignment="1">
      <alignment vertical="top"/>
    </xf>
    <xf numFmtId="0" fontId="88" fillId="0" borderId="40" xfId="3" applyFont="1" applyBorder="1" applyAlignment="1">
      <alignment vertical="top"/>
    </xf>
    <xf numFmtId="0" fontId="88" fillId="0" borderId="50" xfId="3" applyFont="1" applyBorder="1" applyAlignment="1">
      <alignment vertical="top"/>
    </xf>
    <xf numFmtId="0" fontId="88" fillId="0" borderId="9" xfId="3" applyFont="1" applyBorder="1" applyAlignment="1">
      <alignment vertical="top"/>
    </xf>
    <xf numFmtId="0" fontId="88" fillId="0" borderId="59" xfId="3" applyFont="1" applyBorder="1" applyAlignment="1">
      <alignment vertical="top"/>
    </xf>
    <xf numFmtId="0" fontId="15" fillId="0" borderId="0" xfId="3" applyBorder="1" applyAlignment="1" applyProtection="1">
      <alignment horizontal="left" vertical="top" wrapText="1"/>
      <protection locked="0"/>
    </xf>
    <xf numFmtId="0" fontId="15" fillId="0" borderId="0" xfId="3" applyAlignment="1" applyProtection="1">
      <alignment horizontal="left" vertical="top" wrapText="1"/>
      <protection locked="0"/>
    </xf>
    <xf numFmtId="0" fontId="18" fillId="0" borderId="0" xfId="3" applyNumberFormat="1" applyFont="1" applyBorder="1" applyAlignment="1" applyProtection="1">
      <alignment horizontal="center" vertical="center" wrapText="1"/>
    </xf>
    <xf numFmtId="165" fontId="18" fillId="0" borderId="0" xfId="3" applyNumberFormat="1" applyFont="1" applyBorder="1" applyAlignment="1" applyProtection="1">
      <alignment horizontal="center" vertical="center" wrapText="1"/>
    </xf>
    <xf numFmtId="0" fontId="25" fillId="0" borderId="0" xfId="3" applyFont="1" applyAlignment="1" applyProtection="1">
      <alignment horizontal="center" vertical="center" wrapText="1"/>
    </xf>
    <xf numFmtId="171" fontId="25" fillId="0" borderId="0" xfId="3" applyNumberFormat="1" applyFont="1" applyAlignment="1" applyProtection="1">
      <alignment horizontal="center" vertical="center" wrapText="1"/>
    </xf>
    <xf numFmtId="0" fontId="117" fillId="12" borderId="122" xfId="0" applyFont="1" applyFill="1" applyBorder="1" applyAlignment="1">
      <alignment horizontal="center" vertical="center"/>
    </xf>
    <xf numFmtId="0" fontId="117" fillId="12" borderId="125" xfId="0" applyFont="1" applyFill="1" applyBorder="1" applyAlignment="1">
      <alignment horizontal="center" vertical="center"/>
    </xf>
    <xf numFmtId="0" fontId="117" fillId="12" borderId="150" xfId="0" applyFont="1" applyFill="1" applyBorder="1" applyAlignment="1">
      <alignment horizontal="center" vertical="center"/>
    </xf>
    <xf numFmtId="164" fontId="117" fillId="12" borderId="17" xfId="0" applyNumberFormat="1" applyFont="1" applyFill="1" applyBorder="1" applyAlignment="1">
      <alignment horizontal="center" vertical="center"/>
    </xf>
    <xf numFmtId="164" fontId="117" fillId="12" borderId="0" xfId="0" applyNumberFormat="1" applyFont="1" applyFill="1" applyBorder="1" applyAlignment="1">
      <alignment horizontal="center" vertical="center"/>
    </xf>
    <xf numFmtId="164" fontId="117" fillId="12" borderId="63" xfId="0" applyNumberFormat="1" applyFont="1" applyFill="1" applyBorder="1" applyAlignment="1">
      <alignment horizontal="center" vertical="center"/>
    </xf>
    <xf numFmtId="164" fontId="66" fillId="12" borderId="122" xfId="0" applyNumberFormat="1" applyFont="1" applyFill="1" applyBorder="1" applyAlignment="1">
      <alignment horizontal="center" vertical="top"/>
    </xf>
    <xf numFmtId="164" fontId="118" fillId="12" borderId="125" xfId="0" applyNumberFormat="1" applyFont="1" applyFill="1" applyBorder="1" applyAlignment="1">
      <alignment horizontal="center" vertical="top"/>
    </xf>
    <xf numFmtId="164" fontId="118" fillId="12" borderId="150" xfId="0" applyNumberFormat="1" applyFont="1" applyFill="1" applyBorder="1" applyAlignment="1">
      <alignment horizontal="center" vertical="top"/>
    </xf>
    <xf numFmtId="0" fontId="118" fillId="0" borderId="21" xfId="0" applyFont="1" applyBorder="1" applyAlignment="1">
      <alignment horizontal="left" vertical="top" wrapText="1"/>
    </xf>
    <xf numFmtId="0" fontId="60" fillId="0" borderId="14" xfId="0" applyFont="1" applyBorder="1" applyAlignment="1">
      <alignment horizontal="left" vertical="top" wrapText="1"/>
    </xf>
    <xf numFmtId="0" fontId="60" fillId="0" borderId="21" xfId="0" applyFont="1" applyBorder="1" applyAlignment="1">
      <alignment vertical="top" wrapText="1"/>
    </xf>
    <xf numFmtId="0" fontId="62" fillId="0" borderId="14" xfId="0" applyFont="1" applyBorder="1" applyAlignment="1">
      <alignment wrapText="1"/>
    </xf>
    <xf numFmtId="0" fontId="118" fillId="0" borderId="125" xfId="0" applyNumberFormat="1" applyFont="1" applyBorder="1" applyAlignment="1">
      <alignment horizontal="left" vertical="center" wrapText="1"/>
    </xf>
    <xf numFmtId="0" fontId="62" fillId="0" borderId="123" xfId="0" applyFont="1" applyBorder="1" applyAlignment="1">
      <alignment horizontal="left" vertical="center" wrapText="1"/>
    </xf>
    <xf numFmtId="0" fontId="118" fillId="0" borderId="0" xfId="0" applyNumberFormat="1" applyFont="1" applyBorder="1" applyAlignment="1">
      <alignment horizontal="left" vertical="center" wrapText="1"/>
    </xf>
    <xf numFmtId="0" fontId="60" fillId="0" borderId="18" xfId="0" applyFont="1" applyBorder="1" applyAlignment="1">
      <alignment vertical="center" wrapText="1"/>
    </xf>
    <xf numFmtId="0" fontId="118" fillId="0" borderId="21" xfId="0" applyNumberFormat="1" applyFont="1" applyBorder="1" applyAlignment="1">
      <alignment horizontal="left" vertical="center" wrapText="1"/>
    </xf>
    <xf numFmtId="0" fontId="60" fillId="0" borderId="14" xfId="0" applyFont="1" applyBorder="1" applyAlignment="1"/>
    <xf numFmtId="0" fontId="70" fillId="0" borderId="50" xfId="3" applyNumberFormat="1" applyFont="1" applyBorder="1" applyAlignment="1" applyProtection="1"/>
    <xf numFmtId="0" fontId="70" fillId="0" borderId="9" xfId="3" applyFont="1" applyBorder="1" applyAlignment="1" applyProtection="1"/>
    <xf numFmtId="0" fontId="70" fillId="0" borderId="59" xfId="3" applyFont="1" applyBorder="1" applyAlignment="1" applyProtection="1"/>
    <xf numFmtId="0" fontId="70" fillId="0" borderId="50" xfId="3" applyNumberFormat="1" applyFont="1" applyBorder="1" applyAlignment="1" applyProtection="1">
      <alignment horizontal="left" indent="1"/>
    </xf>
    <xf numFmtId="0" fontId="70" fillId="0" borderId="9" xfId="3" applyFont="1" applyBorder="1" applyAlignment="1" applyProtection="1">
      <alignment horizontal="left" indent="1"/>
    </xf>
    <xf numFmtId="0" fontId="70" fillId="0" borderId="59" xfId="3" applyNumberFormat="1" applyFont="1" applyBorder="1" applyAlignment="1" applyProtection="1">
      <alignment horizontal="left" indent="1"/>
    </xf>
    <xf numFmtId="0" fontId="70" fillId="0" borderId="5" xfId="3" applyFont="1" applyBorder="1" applyAlignment="1" applyProtection="1"/>
    <xf numFmtId="0" fontId="70" fillId="0" borderId="0" xfId="3" applyFont="1" applyBorder="1" applyAlignment="1" applyProtection="1"/>
    <xf numFmtId="0" fontId="70" fillId="0" borderId="40" xfId="3" applyFont="1" applyBorder="1" applyAlignment="1" applyProtection="1"/>
    <xf numFmtId="0" fontId="70" fillId="0" borderId="0" xfId="3" applyNumberFormat="1" applyFont="1" applyAlignment="1" applyProtection="1">
      <alignment horizontal="center"/>
    </xf>
    <xf numFmtId="0" fontId="70" fillId="0" borderId="50" xfId="3" applyNumberFormat="1" applyFont="1" applyBorder="1" applyAlignment="1" applyProtection="1">
      <alignment horizontal="left" indent="1"/>
      <protection locked="0"/>
    </xf>
    <xf numFmtId="0" fontId="70" fillId="0" borderId="9" xfId="3" applyFont="1" applyBorder="1" applyAlignment="1">
      <alignment horizontal="left" indent="1"/>
    </xf>
    <xf numFmtId="0" fontId="70" fillId="0" borderId="59" xfId="3" applyFont="1" applyBorder="1" applyAlignment="1">
      <alignment horizontal="left" indent="1"/>
    </xf>
    <xf numFmtId="0" fontId="70" fillId="0" borderId="5" xfId="3" applyNumberFormat="1" applyFont="1" applyBorder="1" applyAlignment="1" applyProtection="1">
      <alignment horizontal="left" indent="1"/>
      <protection locked="0"/>
    </xf>
    <xf numFmtId="0" fontId="70" fillId="0" borderId="0" xfId="3" applyFont="1" applyBorder="1" applyAlignment="1">
      <alignment horizontal="left" indent="1"/>
    </xf>
    <xf numFmtId="0" fontId="70" fillId="0" borderId="40" xfId="3" applyFont="1" applyBorder="1" applyAlignment="1">
      <alignment horizontal="left" indent="1"/>
    </xf>
    <xf numFmtId="0" fontId="70" fillId="0" borderId="5" xfId="3" applyNumberFormat="1" applyFont="1" applyBorder="1" applyAlignment="1" applyProtection="1">
      <alignment horizontal="left" indent="1"/>
    </xf>
    <xf numFmtId="0" fontId="70" fillId="0" borderId="0" xfId="3" applyFont="1" applyBorder="1" applyAlignment="1" applyProtection="1">
      <alignment horizontal="left" indent="1"/>
    </xf>
    <xf numFmtId="0" fontId="70" fillId="0" borderId="40" xfId="3" applyFont="1" applyBorder="1" applyAlignment="1" applyProtection="1">
      <alignment horizontal="left" indent="1"/>
    </xf>
    <xf numFmtId="0" fontId="62" fillId="0" borderId="50" xfId="3" applyNumberFormat="1" applyFont="1" applyBorder="1" applyAlignment="1" applyProtection="1">
      <alignment horizontal="left" vertical="center" indent="1"/>
    </xf>
    <xf numFmtId="0" fontId="62" fillId="0" borderId="9" xfId="3" applyFont="1" applyBorder="1" applyAlignment="1" applyProtection="1">
      <alignment horizontal="left" vertical="center" indent="1"/>
    </xf>
    <xf numFmtId="0" fontId="62" fillId="0" borderId="59" xfId="3" applyFont="1" applyBorder="1" applyAlignment="1" applyProtection="1">
      <alignment horizontal="left" vertical="center" indent="1"/>
    </xf>
    <xf numFmtId="0" fontId="70" fillId="0" borderId="5" xfId="3" applyNumberFormat="1" applyFont="1" applyBorder="1" applyAlignment="1" applyProtection="1"/>
    <xf numFmtId="0" fontId="70" fillId="0" borderId="0" xfId="3" applyNumberFormat="1" applyFont="1" applyAlignment="1" applyProtection="1">
      <alignment horizontal="center" vertical="center"/>
    </xf>
    <xf numFmtId="0" fontId="60" fillId="0" borderId="143" xfId="3" applyNumberFormat="1" applyFont="1" applyBorder="1" applyProtection="1"/>
    <xf numFmtId="0" fontId="60" fillId="0" borderId="144" xfId="3" applyNumberFormat="1" applyFont="1" applyBorder="1" applyProtection="1"/>
    <xf numFmtId="0" fontId="70" fillId="0" borderId="5" xfId="3" applyNumberFormat="1" applyFont="1" applyBorder="1" applyAlignment="1" applyProtection="1">
      <alignment horizontal="left" vertical="center" indent="1"/>
    </xf>
    <xf numFmtId="0" fontId="70" fillId="0" borderId="0" xfId="3" applyNumberFormat="1" applyFont="1" applyBorder="1" applyAlignment="1" applyProtection="1">
      <alignment horizontal="left" vertical="center" indent="1"/>
    </xf>
    <xf numFmtId="0" fontId="70" fillId="0" borderId="40" xfId="3" applyNumberFormat="1" applyFont="1" applyBorder="1" applyAlignment="1" applyProtection="1">
      <alignment horizontal="left" vertical="center" indent="1"/>
    </xf>
    <xf numFmtId="0" fontId="70" fillId="0" borderId="0" xfId="3" applyNumberFormat="1" applyFont="1" applyBorder="1" applyAlignment="1" applyProtection="1">
      <alignment horizontal="left" indent="1"/>
    </xf>
    <xf numFmtId="0" fontId="70" fillId="0" borderId="40" xfId="3" applyNumberFormat="1" applyFont="1" applyBorder="1" applyAlignment="1" applyProtection="1">
      <alignment horizontal="left" indent="1"/>
    </xf>
    <xf numFmtId="0" fontId="62" fillId="0" borderId="50" xfId="3" applyNumberFormat="1" applyFont="1" applyBorder="1" applyProtection="1"/>
    <xf numFmtId="0" fontId="62" fillId="0" borderId="9" xfId="3" applyNumberFormat="1" applyFont="1" applyBorder="1" applyProtection="1"/>
    <xf numFmtId="0" fontId="62" fillId="0" borderId="59" xfId="3" applyNumberFormat="1" applyFont="1" applyBorder="1" applyProtection="1"/>
    <xf numFmtId="0" fontId="88" fillId="0" borderId="5" xfId="3" applyNumberFormat="1" applyFont="1" applyBorder="1" applyAlignment="1" applyProtection="1"/>
    <xf numFmtId="0" fontId="88" fillId="0" borderId="0" xfId="3" applyFont="1" applyBorder="1" applyAlignment="1" applyProtection="1"/>
    <xf numFmtId="0" fontId="88" fillId="0" borderId="40" xfId="3" applyFont="1" applyBorder="1" applyAlignment="1" applyProtection="1"/>
    <xf numFmtId="0" fontId="70" fillId="0" borderId="144" xfId="3" applyNumberFormat="1" applyFont="1" applyBorder="1" applyAlignment="1" applyProtection="1">
      <alignment horizontal="left" indent="1"/>
      <protection locked="0"/>
    </xf>
    <xf numFmtId="0" fontId="70" fillId="0" borderId="144" xfId="3" applyFont="1" applyBorder="1" applyAlignment="1" applyProtection="1">
      <alignment horizontal="left" indent="1"/>
      <protection locked="0"/>
    </xf>
    <xf numFmtId="0" fontId="70" fillId="0" borderId="145" xfId="3" applyFont="1" applyBorder="1" applyAlignment="1" applyProtection="1">
      <alignment horizontal="left" indent="1"/>
      <protection locked="0"/>
    </xf>
    <xf numFmtId="0" fontId="62" fillId="0" borderId="0" xfId="3" applyFont="1" applyAlignment="1">
      <alignment horizontal="center" vertical="center"/>
    </xf>
    <xf numFmtId="0" fontId="70" fillId="0" borderId="59" xfId="3" applyFont="1" applyBorder="1" applyAlignment="1" applyProtection="1">
      <alignment horizontal="left" indent="1"/>
    </xf>
    <xf numFmtId="165" fontId="70" fillId="0" borderId="50" xfId="3" applyNumberFormat="1" applyFont="1" applyBorder="1" applyAlignment="1" applyProtection="1">
      <alignment horizontal="left" indent="1"/>
    </xf>
    <xf numFmtId="165" fontId="70" fillId="0" borderId="59" xfId="3" applyNumberFormat="1" applyFont="1" applyBorder="1" applyAlignment="1" applyProtection="1">
      <alignment horizontal="left" indent="1"/>
    </xf>
    <xf numFmtId="0" fontId="59" fillId="0" borderId="0" xfId="3" applyFont="1" applyAlignment="1">
      <alignment horizontal="center" vertical="center"/>
    </xf>
    <xf numFmtId="174" fontId="59" fillId="0" borderId="0" xfId="3" applyNumberFormat="1" applyFont="1" applyAlignment="1">
      <alignment horizontal="center" vertical="center"/>
    </xf>
    <xf numFmtId="174" fontId="62" fillId="0" borderId="0" xfId="3" applyNumberFormat="1" applyFont="1" applyAlignment="1">
      <alignment horizontal="center" vertical="center"/>
    </xf>
    <xf numFmtId="0" fontId="62" fillId="0" borderId="69" xfId="3" applyFont="1" applyBorder="1" applyAlignment="1" applyProtection="1">
      <protection locked="0"/>
    </xf>
    <xf numFmtId="0" fontId="70" fillId="0" borderId="0" xfId="3" applyFont="1" applyAlignment="1" applyProtection="1">
      <alignment horizontal="center" vertical="center"/>
    </xf>
    <xf numFmtId="174" fontId="70" fillId="0" borderId="0" xfId="3" applyNumberFormat="1" applyFont="1" applyAlignment="1" applyProtection="1">
      <alignment horizontal="center" vertical="center"/>
    </xf>
    <xf numFmtId="0" fontId="62" fillId="0" borderId="69" xfId="3" applyFont="1" applyBorder="1" applyAlignment="1" applyProtection="1">
      <alignment horizontal="left"/>
      <protection locked="0"/>
    </xf>
    <xf numFmtId="0" fontId="70" fillId="0" borderId="0" xfId="3" quotePrefix="1" applyFont="1" applyAlignment="1" applyProtection="1">
      <alignment horizontal="center" vertical="center"/>
    </xf>
    <xf numFmtId="0" fontId="70" fillId="0" borderId="0" xfId="3" applyNumberFormat="1" applyFont="1" applyAlignment="1">
      <alignment horizontal="center"/>
    </xf>
    <xf numFmtId="165" fontId="70" fillId="0" borderId="0" xfId="3" applyNumberFormat="1" applyFont="1" applyAlignment="1" applyProtection="1">
      <alignment horizontal="center" vertical="center"/>
    </xf>
    <xf numFmtId="165" fontId="59" fillId="0" borderId="0" xfId="3" applyNumberFormat="1" applyFont="1" applyAlignment="1" applyProtection="1">
      <alignment horizontal="center" vertical="center"/>
    </xf>
    <xf numFmtId="0" fontId="59" fillId="0" borderId="0" xfId="3" applyNumberFormat="1" applyFont="1" applyAlignment="1" applyProtection="1">
      <alignment horizontal="center" vertical="center"/>
    </xf>
    <xf numFmtId="0" fontId="60" fillId="0" borderId="0" xfId="3" applyFont="1" applyAlignment="1" applyProtection="1">
      <alignment horizontal="left" vertical="center" wrapText="1"/>
      <protection locked="0"/>
    </xf>
    <xf numFmtId="0" fontId="70" fillId="0" borderId="0" xfId="3" applyNumberFormat="1" applyFont="1" applyBorder="1" applyAlignment="1" applyProtection="1">
      <alignment horizontal="center"/>
    </xf>
    <xf numFmtId="0" fontId="59" fillId="0" borderId="0" xfId="3" applyFont="1" applyAlignment="1" applyProtection="1">
      <alignment horizontal="center" vertical="center" readingOrder="1"/>
    </xf>
    <xf numFmtId="0" fontId="59" fillId="0" borderId="0" xfId="3" applyFont="1" applyAlignment="1" applyProtection="1">
      <alignment horizontal="center" vertical="center"/>
    </xf>
    <xf numFmtId="3" fontId="60" fillId="0" borderId="77" xfId="3" applyNumberFormat="1" applyFont="1" applyBorder="1" applyAlignment="1" applyProtection="1">
      <alignment horizontal="right" indent="1"/>
      <protection locked="0"/>
    </xf>
    <xf numFmtId="0" fontId="59" fillId="0" borderId="0" xfId="3" applyFont="1" applyAlignment="1" applyProtection="1">
      <alignment horizontal="center"/>
    </xf>
    <xf numFmtId="0" fontId="59" fillId="0" borderId="78" xfId="3" applyFont="1" applyBorder="1" applyAlignment="1" applyProtection="1">
      <alignment horizontal="center"/>
    </xf>
    <xf numFmtId="0" fontId="67" fillId="0" borderId="0" xfId="3" applyFont="1" applyAlignment="1" applyProtection="1">
      <alignment horizontal="left" vertical="center" wrapText="1"/>
    </xf>
    <xf numFmtId="0" fontId="60" fillId="0" borderId="0" xfId="3" applyFont="1" applyBorder="1" applyAlignment="1" applyProtection="1">
      <alignment vertical="center" wrapText="1"/>
      <protection locked="0"/>
    </xf>
    <xf numFmtId="5" fontId="70" fillId="0" borderId="146" xfId="3" applyNumberFormat="1" applyFont="1" applyBorder="1" applyAlignment="1" applyProtection="1">
      <protection locked="0"/>
    </xf>
    <xf numFmtId="0" fontId="70" fillId="0" borderId="147" xfId="3" applyFont="1" applyBorder="1" applyAlignment="1" applyProtection="1">
      <protection locked="0"/>
    </xf>
    <xf numFmtId="0" fontId="67" fillId="0" borderId="0" xfId="3" applyFont="1" applyBorder="1" applyAlignment="1" applyProtection="1">
      <alignment horizontal="left" vertical="top" wrapText="1"/>
    </xf>
    <xf numFmtId="0" fontId="67" fillId="0" borderId="146" xfId="3" applyFont="1" applyBorder="1" applyAlignment="1" applyProtection="1">
      <alignment horizontal="left" vertical="center"/>
      <protection locked="0"/>
    </xf>
    <xf numFmtId="0" fontId="67" fillId="0" borderId="76" xfId="3" applyFont="1" applyBorder="1" applyAlignment="1" applyProtection="1">
      <alignment horizontal="left" vertical="center"/>
      <protection locked="0"/>
    </xf>
    <xf numFmtId="0" fontId="67" fillId="0" borderId="147" xfId="3" applyFont="1" applyBorder="1" applyAlignment="1" applyProtection="1">
      <alignment horizontal="left" vertical="center"/>
      <protection locked="0"/>
    </xf>
    <xf numFmtId="38" fontId="67" fillId="0" borderId="77" xfId="3" applyNumberFormat="1" applyFont="1" applyBorder="1" applyAlignment="1" applyProtection="1">
      <alignment horizontal="right" vertical="center"/>
      <protection locked="0"/>
    </xf>
    <xf numFmtId="0" fontId="70" fillId="0" borderId="0" xfId="3" applyNumberFormat="1" applyFont="1" applyBorder="1" applyAlignment="1" applyProtection="1">
      <alignment horizontal="center" vertical="center" wrapText="1"/>
    </xf>
    <xf numFmtId="0" fontId="62" fillId="0" borderId="0" xfId="3" applyNumberFormat="1" applyFont="1" applyAlignment="1">
      <alignment horizontal="center" vertical="center" wrapText="1"/>
    </xf>
    <xf numFmtId="165" fontId="70" fillId="0" borderId="0" xfId="3" applyNumberFormat="1" applyFont="1" applyBorder="1" applyAlignment="1" applyProtection="1">
      <alignment horizontal="center" vertical="center" wrapText="1"/>
    </xf>
    <xf numFmtId="0" fontId="62" fillId="0" borderId="0" xfId="3" applyFont="1" applyAlignment="1">
      <alignment horizontal="center" vertical="center" wrapText="1"/>
    </xf>
    <xf numFmtId="169" fontId="59" fillId="0" borderId="0" xfId="3" applyNumberFormat="1" applyFont="1" applyAlignment="1" applyProtection="1">
      <alignment horizontal="center" vertical="center" wrapText="1"/>
    </xf>
    <xf numFmtId="0" fontId="60" fillId="0" borderId="0" xfId="3" applyFont="1" applyAlignment="1">
      <alignment horizontal="center" vertical="center" wrapText="1"/>
    </xf>
    <xf numFmtId="0" fontId="62" fillId="0" borderId="9" xfId="3"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7" fillId="0" borderId="146" xfId="3" applyFont="1" applyBorder="1" applyAlignment="1" applyProtection="1">
      <alignment horizontal="center"/>
    </xf>
    <xf numFmtId="0" fontId="67" fillId="0" borderId="76" xfId="3" applyFont="1" applyBorder="1" applyAlignment="1" applyProtection="1">
      <alignment horizontal="center"/>
    </xf>
    <xf numFmtId="0" fontId="67" fillId="0" borderId="147" xfId="3" applyFont="1" applyBorder="1" applyAlignment="1" applyProtection="1">
      <alignment horizontal="center"/>
    </xf>
    <xf numFmtId="38" fontId="67" fillId="0" borderId="146" xfId="3" applyNumberFormat="1" applyFont="1" applyBorder="1" applyAlignment="1" applyProtection="1">
      <alignment horizontal="right" vertical="center"/>
      <protection locked="0"/>
    </xf>
    <xf numFmtId="38" fontId="67" fillId="0" borderId="76" xfId="3" applyNumberFormat="1" applyFont="1" applyBorder="1" applyAlignment="1" applyProtection="1">
      <alignment horizontal="right" vertical="center"/>
      <protection locked="0"/>
    </xf>
    <xf numFmtId="38" fontId="67" fillId="0" borderId="147" xfId="3" applyNumberFormat="1" applyFont="1" applyBorder="1" applyAlignment="1" applyProtection="1">
      <alignment horizontal="right" vertical="center"/>
      <protection locked="0"/>
    </xf>
    <xf numFmtId="0" fontId="69" fillId="0" borderId="146" xfId="3" applyFont="1" applyBorder="1" applyAlignment="1" applyProtection="1">
      <alignment horizontal="center" vertical="center"/>
      <protection locked="0"/>
    </xf>
    <xf numFmtId="0" fontId="69" fillId="0" borderId="76" xfId="3" applyFont="1" applyBorder="1" applyAlignment="1" applyProtection="1">
      <alignment horizontal="center" vertical="center"/>
      <protection locked="0"/>
    </xf>
    <xf numFmtId="0" fontId="69" fillId="0" borderId="147" xfId="3" applyFont="1" applyBorder="1" applyAlignment="1" applyProtection="1">
      <alignment horizontal="center" vertical="center"/>
      <protection locked="0"/>
    </xf>
    <xf numFmtId="6" fontId="67" fillId="0" borderId="77" xfId="3" applyNumberFormat="1" applyFont="1" applyBorder="1" applyAlignment="1" applyProtection="1">
      <alignment horizontal="right" vertical="center"/>
      <protection locked="0"/>
    </xf>
    <xf numFmtId="6" fontId="67" fillId="0" borderId="146" xfId="3" applyNumberFormat="1" applyFont="1" applyBorder="1" applyProtection="1">
      <protection locked="0"/>
    </xf>
    <xf numFmtId="6" fontId="67" fillId="0" borderId="147" xfId="3" applyNumberFormat="1" applyFont="1" applyBorder="1" applyProtection="1">
      <protection locked="0"/>
    </xf>
    <xf numFmtId="170" fontId="62" fillId="0" borderId="9" xfId="3" applyNumberFormat="1" applyFont="1" applyBorder="1" applyAlignment="1" applyProtection="1">
      <alignment horizontal="center"/>
      <protection locked="0"/>
    </xf>
    <xf numFmtId="0" fontId="62" fillId="0" borderId="0" xfId="3" applyFont="1" applyAlignment="1" applyProtection="1">
      <alignment horizontal="left" vertical="top" wrapText="1"/>
      <protection locked="0"/>
    </xf>
    <xf numFmtId="0" fontId="59" fillId="0" borderId="0" xfId="3" applyFont="1" applyAlignment="1" applyProtection="1">
      <alignment horizontal="center" vertical="center" wrapText="1"/>
    </xf>
    <xf numFmtId="0" fontId="59" fillId="0" borderId="0" xfId="3" applyFont="1" applyBorder="1" applyAlignment="1" applyProtection="1">
      <alignment horizontal="center" vertical="center" wrapText="1"/>
    </xf>
    <xf numFmtId="0" fontId="62" fillId="0" borderId="0" xfId="3" applyFont="1" applyBorder="1" applyAlignment="1">
      <alignment horizontal="center" vertical="center" wrapText="1"/>
    </xf>
    <xf numFmtId="0" fontId="62" fillId="0" borderId="0" xfId="3" applyFont="1" applyBorder="1" applyAlignment="1" applyProtection="1">
      <alignment horizontal="left" vertical="top" wrapText="1"/>
      <protection locked="0"/>
    </xf>
    <xf numFmtId="0" fontId="59" fillId="0" borderId="0" xfId="3" applyNumberFormat="1" applyFont="1" applyBorder="1" applyAlignment="1" applyProtection="1">
      <alignment horizontal="center" vertical="center" wrapText="1"/>
    </xf>
    <xf numFmtId="165" fontId="59" fillId="0" borderId="0" xfId="3" applyNumberFormat="1" applyFont="1" applyBorder="1" applyAlignment="1" applyProtection="1">
      <alignment horizontal="center" vertical="center" wrapText="1"/>
    </xf>
    <xf numFmtId="0" fontId="59" fillId="0" borderId="141" xfId="3" applyFont="1" applyBorder="1" applyAlignment="1" applyProtection="1">
      <alignment horizontal="center" vertical="center" wrapText="1"/>
    </xf>
    <xf numFmtId="0" fontId="70" fillId="0" borderId="74" xfId="3" applyNumberFormat="1" applyFont="1" applyBorder="1" applyAlignment="1" applyProtection="1">
      <alignment horizontal="center"/>
      <protection locked="0"/>
    </xf>
    <xf numFmtId="0" fontId="70" fillId="0" borderId="74" xfId="3" applyFont="1" applyBorder="1" applyAlignment="1" applyProtection="1">
      <alignment horizontal="center"/>
      <protection locked="0"/>
    </xf>
    <xf numFmtId="0" fontId="70" fillId="0" borderId="74" xfId="3" applyFont="1" applyBorder="1" applyAlignment="1" applyProtection="1">
      <alignment horizontal="center" vertical="center"/>
      <protection locked="0"/>
    </xf>
    <xf numFmtId="0" fontId="59" fillId="0" borderId="0" xfId="3" applyNumberFormat="1" applyFont="1" applyAlignment="1" applyProtection="1">
      <alignment horizontal="center" vertical="center" wrapText="1"/>
    </xf>
  </cellXfs>
  <cellStyles count="10670">
    <cellStyle name="Comma" xfId="1" builtinId="3"/>
    <cellStyle name="Currency 2" xfId="22" xr:uid="{00000000-0005-0000-0000-000001000000}"/>
    <cellStyle name="Currency 2 10" xfId="232" xr:uid="{00000000-0005-0000-0000-000002000000}"/>
    <cellStyle name="Currency 2 10 2" xfId="233" xr:uid="{00000000-0005-0000-0000-000003000000}"/>
    <cellStyle name="Currency 2 10 2 2" xfId="5567" xr:uid="{8DF0C2EE-21F6-4413-B6F0-6DC6CD48F4C7}"/>
    <cellStyle name="Currency 2 10 3" xfId="234" xr:uid="{00000000-0005-0000-0000-000004000000}"/>
    <cellStyle name="Currency 2 10 3 2" xfId="5568" xr:uid="{A188CF20-3224-45AD-9FE0-A8C55171CFF3}"/>
    <cellStyle name="Currency 2 10 4" xfId="5566" xr:uid="{DFCC9B74-9CEA-4BC1-9441-720876C107EC}"/>
    <cellStyle name="Currency 2 11" xfId="235" xr:uid="{00000000-0005-0000-0000-000005000000}"/>
    <cellStyle name="Currency 2 11 2" xfId="236" xr:uid="{00000000-0005-0000-0000-000006000000}"/>
    <cellStyle name="Currency 2 11 2 2" xfId="5570" xr:uid="{4D796BF1-B8A1-4051-A235-C6F76FB2122B}"/>
    <cellStyle name="Currency 2 11 3" xfId="5569" xr:uid="{5A0053CA-CF7E-4634-8294-6755DDE2D4CF}"/>
    <cellStyle name="Currency 2 12" xfId="237" xr:uid="{00000000-0005-0000-0000-000007000000}"/>
    <cellStyle name="Currency 2 12 2" xfId="238" xr:uid="{00000000-0005-0000-0000-000008000000}"/>
    <cellStyle name="Currency 2 12 2 2" xfId="5572" xr:uid="{69009472-93BA-44F8-8E50-B2E993C72CCE}"/>
    <cellStyle name="Currency 2 12 3" xfId="5571" xr:uid="{9B5D10D9-D376-4BDB-BC56-5D3C7F4CCEC7}"/>
    <cellStyle name="Currency 2 13" xfId="239" xr:uid="{00000000-0005-0000-0000-000009000000}"/>
    <cellStyle name="Currency 2 13 2" xfId="5573" xr:uid="{CAF25B8E-C421-46D1-B08F-62EB4B24E428}"/>
    <cellStyle name="Currency 2 14" xfId="240" xr:uid="{00000000-0005-0000-0000-00000A000000}"/>
    <cellStyle name="Currency 2 14 2" xfId="5574" xr:uid="{8D8AF672-0179-496A-885B-33A132D5C4A1}"/>
    <cellStyle name="Currency 2 15" xfId="5357" xr:uid="{5204BB26-84C4-46FD-89EB-D044AB147256}"/>
    <cellStyle name="Currency 2 2" xfId="23" xr:uid="{00000000-0005-0000-0000-00000B000000}"/>
    <cellStyle name="Currency 2 2 10" xfId="241" xr:uid="{00000000-0005-0000-0000-00000C000000}"/>
    <cellStyle name="Currency 2 2 10 2" xfId="242" xr:uid="{00000000-0005-0000-0000-00000D000000}"/>
    <cellStyle name="Currency 2 2 10 2 2" xfId="5576" xr:uid="{0630A1A5-953F-489B-96A2-62100BF7F702}"/>
    <cellStyle name="Currency 2 2 10 3" xfId="5575" xr:uid="{28DA5F3D-BF8E-419D-B607-8BFFD4F05968}"/>
    <cellStyle name="Currency 2 2 11" xfId="243" xr:uid="{00000000-0005-0000-0000-00000E000000}"/>
    <cellStyle name="Currency 2 2 11 2" xfId="244" xr:uid="{00000000-0005-0000-0000-00000F000000}"/>
    <cellStyle name="Currency 2 2 11 2 2" xfId="5578" xr:uid="{5B0AFFF1-EC22-4FD3-8B68-893F24FB4575}"/>
    <cellStyle name="Currency 2 2 11 3" xfId="5577" xr:uid="{1C84C466-BA53-4F4C-BF45-82CA18C0BC2D}"/>
    <cellStyle name="Currency 2 2 12" xfId="245" xr:uid="{00000000-0005-0000-0000-000010000000}"/>
    <cellStyle name="Currency 2 2 12 2" xfId="5579" xr:uid="{9A3C9A9B-C3FF-4CE0-9445-32958928001A}"/>
    <cellStyle name="Currency 2 2 13" xfId="246" xr:uid="{00000000-0005-0000-0000-000011000000}"/>
    <cellStyle name="Currency 2 2 13 2" xfId="5580" xr:uid="{CCC7B842-04DC-48F1-B88B-291619A17C5D}"/>
    <cellStyle name="Currency 2 2 14" xfId="5358" xr:uid="{1E56463E-CFE2-40F5-89EC-D04DAF61F884}"/>
    <cellStyle name="Currency 2 2 2" xfId="24" xr:uid="{00000000-0005-0000-0000-000012000000}"/>
    <cellStyle name="Currency 2 2 2 10" xfId="247" xr:uid="{00000000-0005-0000-0000-000013000000}"/>
    <cellStyle name="Currency 2 2 2 10 2" xfId="5581" xr:uid="{1CA66B3C-E7A6-4718-87B0-EA95FBF3CD92}"/>
    <cellStyle name="Currency 2 2 2 11" xfId="248" xr:uid="{00000000-0005-0000-0000-000014000000}"/>
    <cellStyle name="Currency 2 2 2 11 2" xfId="5582" xr:uid="{9FB50330-44A8-44C5-A357-6650E8F1D4DD}"/>
    <cellStyle name="Currency 2 2 2 12" xfId="5359" xr:uid="{37E5AA1C-BE41-4927-9EDC-C62391BD40AA}"/>
    <cellStyle name="Currency 2 2 2 2" xfId="25" xr:uid="{00000000-0005-0000-0000-000015000000}"/>
    <cellStyle name="Currency 2 2 2 2 10" xfId="249" xr:uid="{00000000-0005-0000-0000-000016000000}"/>
    <cellStyle name="Currency 2 2 2 2 10 2" xfId="5583" xr:uid="{ABCCE596-960C-4BA0-A2B3-5A990390B308}"/>
    <cellStyle name="Currency 2 2 2 2 11" xfId="5360" xr:uid="{03EE8A77-1D0F-4F5A-92B4-0902D0856C80}"/>
    <cellStyle name="Currency 2 2 2 2 2" xfId="26" xr:uid="{00000000-0005-0000-0000-000017000000}"/>
    <cellStyle name="Currency 2 2 2 2 2 10" xfId="5361" xr:uid="{DBF144D4-3E80-44DB-A0C0-9BDED08C71E7}"/>
    <cellStyle name="Currency 2 2 2 2 2 2" xfId="27" xr:uid="{00000000-0005-0000-0000-000018000000}"/>
    <cellStyle name="Currency 2 2 2 2 2 2 2" xfId="250" xr:uid="{00000000-0005-0000-0000-000019000000}"/>
    <cellStyle name="Currency 2 2 2 2 2 2 2 2" xfId="251" xr:uid="{00000000-0005-0000-0000-00001A000000}"/>
    <cellStyle name="Currency 2 2 2 2 2 2 2 2 2" xfId="252" xr:uid="{00000000-0005-0000-0000-00001B000000}"/>
    <cellStyle name="Currency 2 2 2 2 2 2 2 2 2 2" xfId="5586" xr:uid="{F075B54E-D066-4C6C-BE7E-13195201A508}"/>
    <cellStyle name="Currency 2 2 2 2 2 2 2 2 3" xfId="253" xr:uid="{00000000-0005-0000-0000-00001C000000}"/>
    <cellStyle name="Currency 2 2 2 2 2 2 2 2 3 2" xfId="5587" xr:uid="{69100384-A060-40C5-8634-D2EB1725A71B}"/>
    <cellStyle name="Currency 2 2 2 2 2 2 2 2 4" xfId="5585" xr:uid="{89898A0B-AB32-495C-A57E-91936AC0FB33}"/>
    <cellStyle name="Currency 2 2 2 2 2 2 2 3" xfId="254" xr:uid="{00000000-0005-0000-0000-00001D000000}"/>
    <cellStyle name="Currency 2 2 2 2 2 2 2 3 2" xfId="5588" xr:uid="{84FEF1EA-C2DC-43CE-AFF8-7C740EA4AE81}"/>
    <cellStyle name="Currency 2 2 2 2 2 2 2 4" xfId="255" xr:uid="{00000000-0005-0000-0000-00001E000000}"/>
    <cellStyle name="Currency 2 2 2 2 2 2 2 4 2" xfId="5589" xr:uid="{CF38946E-DB1B-4B93-BAB6-577384277A41}"/>
    <cellStyle name="Currency 2 2 2 2 2 2 2 5" xfId="5584" xr:uid="{9DB0A642-D266-4BE6-B966-37003BAA328A}"/>
    <cellStyle name="Currency 2 2 2 2 2 2 3" xfId="256" xr:uid="{00000000-0005-0000-0000-00001F000000}"/>
    <cellStyle name="Currency 2 2 2 2 2 2 3 2" xfId="257" xr:uid="{00000000-0005-0000-0000-000020000000}"/>
    <cellStyle name="Currency 2 2 2 2 2 2 3 2 2" xfId="258" xr:uid="{00000000-0005-0000-0000-000021000000}"/>
    <cellStyle name="Currency 2 2 2 2 2 2 3 2 2 2" xfId="5592" xr:uid="{6EEF1E9B-8B47-4BB5-918E-DF4515AA3C2A}"/>
    <cellStyle name="Currency 2 2 2 2 2 2 3 2 3" xfId="5591" xr:uid="{6632EAE7-053E-41B2-BFFF-179C2B7B05B6}"/>
    <cellStyle name="Currency 2 2 2 2 2 2 3 3" xfId="259" xr:uid="{00000000-0005-0000-0000-000022000000}"/>
    <cellStyle name="Currency 2 2 2 2 2 2 3 3 2" xfId="5593" xr:uid="{F5EF6A28-EA7C-4358-A1EE-9790EECAEB13}"/>
    <cellStyle name="Currency 2 2 2 2 2 2 3 4" xfId="260" xr:uid="{00000000-0005-0000-0000-000023000000}"/>
    <cellStyle name="Currency 2 2 2 2 2 2 3 4 2" xfId="5594" xr:uid="{5B7C947C-70B7-4712-89BE-8DD74BB8F8B6}"/>
    <cellStyle name="Currency 2 2 2 2 2 2 3 5" xfId="5590" xr:uid="{22C1CCA6-C8A7-47F6-BD3F-8EFA005CA6DF}"/>
    <cellStyle name="Currency 2 2 2 2 2 2 4" xfId="261" xr:uid="{00000000-0005-0000-0000-000024000000}"/>
    <cellStyle name="Currency 2 2 2 2 2 2 4 2" xfId="262" xr:uid="{00000000-0005-0000-0000-000025000000}"/>
    <cellStyle name="Currency 2 2 2 2 2 2 4 2 2" xfId="5596" xr:uid="{62BCB270-4AEF-4634-A26D-7FF5EF194EF2}"/>
    <cellStyle name="Currency 2 2 2 2 2 2 4 3" xfId="5595" xr:uid="{CCB34287-BC47-4EFD-9A75-A96ECEE7882A}"/>
    <cellStyle name="Currency 2 2 2 2 2 2 5" xfId="263" xr:uid="{00000000-0005-0000-0000-000026000000}"/>
    <cellStyle name="Currency 2 2 2 2 2 2 5 2" xfId="264" xr:uid="{00000000-0005-0000-0000-000027000000}"/>
    <cellStyle name="Currency 2 2 2 2 2 2 5 2 2" xfId="5598" xr:uid="{2F0CFF99-F216-4940-B22A-19E3D79EC05B}"/>
    <cellStyle name="Currency 2 2 2 2 2 2 5 3" xfId="5597" xr:uid="{4EBA4C46-4800-4DCB-A1FF-FA72BE2AA0B7}"/>
    <cellStyle name="Currency 2 2 2 2 2 2 6" xfId="265" xr:uid="{00000000-0005-0000-0000-000028000000}"/>
    <cellStyle name="Currency 2 2 2 2 2 2 6 2" xfId="266" xr:uid="{00000000-0005-0000-0000-000029000000}"/>
    <cellStyle name="Currency 2 2 2 2 2 2 6 2 2" xfId="5600" xr:uid="{8E3C6F0E-A19E-4A7E-8424-C78D28DF5FD2}"/>
    <cellStyle name="Currency 2 2 2 2 2 2 6 3" xfId="5599" xr:uid="{F3F41A11-5275-4E88-B821-BD5AE6C57E3B}"/>
    <cellStyle name="Currency 2 2 2 2 2 2 7" xfId="267" xr:uid="{00000000-0005-0000-0000-00002A000000}"/>
    <cellStyle name="Currency 2 2 2 2 2 2 7 2" xfId="5601" xr:uid="{A80439CB-3964-44E4-9951-CD1F73A47E9F}"/>
    <cellStyle name="Currency 2 2 2 2 2 2 8" xfId="268" xr:uid="{00000000-0005-0000-0000-00002B000000}"/>
    <cellStyle name="Currency 2 2 2 2 2 2 8 2" xfId="5602" xr:uid="{3C7F6989-F8D7-42F7-8EBA-73B772919C3F}"/>
    <cellStyle name="Currency 2 2 2 2 2 2 9" xfId="5362" xr:uid="{386A9900-CF26-4A88-B8AB-F03522C7661A}"/>
    <cellStyle name="Currency 2 2 2 2 2 3" xfId="269" xr:uid="{00000000-0005-0000-0000-00002C000000}"/>
    <cellStyle name="Currency 2 2 2 2 2 3 2" xfId="270" xr:uid="{00000000-0005-0000-0000-00002D000000}"/>
    <cellStyle name="Currency 2 2 2 2 2 3 2 2" xfId="271" xr:uid="{00000000-0005-0000-0000-00002E000000}"/>
    <cellStyle name="Currency 2 2 2 2 2 3 2 2 2" xfId="5605" xr:uid="{832FE5C8-C61A-400A-B6A9-FB8AA71091F5}"/>
    <cellStyle name="Currency 2 2 2 2 2 3 2 3" xfId="272" xr:uid="{00000000-0005-0000-0000-00002F000000}"/>
    <cellStyle name="Currency 2 2 2 2 2 3 2 3 2" xfId="5606" xr:uid="{293D5E60-E4AB-4F3C-9B58-7870D73B968A}"/>
    <cellStyle name="Currency 2 2 2 2 2 3 2 4" xfId="5604" xr:uid="{B78C49BA-4CDF-4934-A4DB-30899730C0FB}"/>
    <cellStyle name="Currency 2 2 2 2 2 3 3" xfId="273" xr:uid="{00000000-0005-0000-0000-000030000000}"/>
    <cellStyle name="Currency 2 2 2 2 2 3 3 2" xfId="5607" xr:uid="{7487D127-CD61-47B9-9698-2ED52807BD8D}"/>
    <cellStyle name="Currency 2 2 2 2 2 3 4" xfId="274" xr:uid="{00000000-0005-0000-0000-000031000000}"/>
    <cellStyle name="Currency 2 2 2 2 2 3 4 2" xfId="5608" xr:uid="{C7601E37-1A4E-4E3E-AB24-90AE4C0B3E2F}"/>
    <cellStyle name="Currency 2 2 2 2 2 3 5" xfId="5603" xr:uid="{76BDB943-3292-40EB-A574-F3E6A44C5F13}"/>
    <cellStyle name="Currency 2 2 2 2 2 4" xfId="275" xr:uid="{00000000-0005-0000-0000-000032000000}"/>
    <cellStyle name="Currency 2 2 2 2 2 4 2" xfId="276" xr:uid="{00000000-0005-0000-0000-000033000000}"/>
    <cellStyle name="Currency 2 2 2 2 2 4 2 2" xfId="277" xr:uid="{00000000-0005-0000-0000-000034000000}"/>
    <cellStyle name="Currency 2 2 2 2 2 4 2 2 2" xfId="5611" xr:uid="{197C52A9-89B6-490E-A20C-3CEDA0C52AA1}"/>
    <cellStyle name="Currency 2 2 2 2 2 4 2 3" xfId="5610" xr:uid="{3A3EDEB8-0D82-4F1C-B75D-DB01C072114D}"/>
    <cellStyle name="Currency 2 2 2 2 2 4 3" xfId="278" xr:uid="{00000000-0005-0000-0000-000035000000}"/>
    <cellStyle name="Currency 2 2 2 2 2 4 3 2" xfId="5612" xr:uid="{7C9DE1C5-0A8B-4682-9680-81D9277E8538}"/>
    <cellStyle name="Currency 2 2 2 2 2 4 4" xfId="279" xr:uid="{00000000-0005-0000-0000-000036000000}"/>
    <cellStyle name="Currency 2 2 2 2 2 4 4 2" xfId="5613" xr:uid="{B280FED4-B1B8-465F-9BA4-90CC4B45CEA1}"/>
    <cellStyle name="Currency 2 2 2 2 2 4 5" xfId="5609" xr:uid="{28213DAD-4B96-48A2-8A70-506145B35C65}"/>
    <cellStyle name="Currency 2 2 2 2 2 5" xfId="280" xr:uid="{00000000-0005-0000-0000-000037000000}"/>
    <cellStyle name="Currency 2 2 2 2 2 5 2" xfId="281" xr:uid="{00000000-0005-0000-0000-000038000000}"/>
    <cellStyle name="Currency 2 2 2 2 2 5 2 2" xfId="5615" xr:uid="{2EB69329-2465-43A3-82CB-46B697478DB3}"/>
    <cellStyle name="Currency 2 2 2 2 2 5 3" xfId="5614" xr:uid="{F546753F-EABE-47B3-A21D-4A0EB46D9EEB}"/>
    <cellStyle name="Currency 2 2 2 2 2 6" xfId="282" xr:uid="{00000000-0005-0000-0000-000039000000}"/>
    <cellStyle name="Currency 2 2 2 2 2 6 2" xfId="283" xr:uid="{00000000-0005-0000-0000-00003A000000}"/>
    <cellStyle name="Currency 2 2 2 2 2 6 2 2" xfId="5617" xr:uid="{4E4AE6CF-FED9-4822-9131-5F3F0A76D717}"/>
    <cellStyle name="Currency 2 2 2 2 2 6 3" xfId="5616" xr:uid="{50E33269-4084-4936-BF8E-4C8D3D54043F}"/>
    <cellStyle name="Currency 2 2 2 2 2 7" xfId="284" xr:uid="{00000000-0005-0000-0000-00003B000000}"/>
    <cellStyle name="Currency 2 2 2 2 2 7 2" xfId="285" xr:uid="{00000000-0005-0000-0000-00003C000000}"/>
    <cellStyle name="Currency 2 2 2 2 2 7 2 2" xfId="5619" xr:uid="{FA0DFAB9-2569-4048-811B-890BC3B27340}"/>
    <cellStyle name="Currency 2 2 2 2 2 7 3" xfId="5618" xr:uid="{4263AE12-9C00-4EDF-BEB6-F315FBFB8D79}"/>
    <cellStyle name="Currency 2 2 2 2 2 8" xfId="286" xr:uid="{00000000-0005-0000-0000-00003D000000}"/>
    <cellStyle name="Currency 2 2 2 2 2 8 2" xfId="5620" xr:uid="{E1139746-D185-481A-949B-B6B00B0AF137}"/>
    <cellStyle name="Currency 2 2 2 2 2 9" xfId="287" xr:uid="{00000000-0005-0000-0000-00003E000000}"/>
    <cellStyle name="Currency 2 2 2 2 2 9 2" xfId="5621" xr:uid="{E1E7DE93-2926-42A4-9FD1-53EAC205D36A}"/>
    <cellStyle name="Currency 2 2 2 2 3" xfId="28" xr:uid="{00000000-0005-0000-0000-00003F000000}"/>
    <cellStyle name="Currency 2 2 2 2 3 2" xfId="288" xr:uid="{00000000-0005-0000-0000-000040000000}"/>
    <cellStyle name="Currency 2 2 2 2 3 2 2" xfId="289" xr:uid="{00000000-0005-0000-0000-000041000000}"/>
    <cellStyle name="Currency 2 2 2 2 3 2 2 2" xfId="290" xr:uid="{00000000-0005-0000-0000-000042000000}"/>
    <cellStyle name="Currency 2 2 2 2 3 2 2 2 2" xfId="5624" xr:uid="{98922A93-04B2-4303-B088-CFDAF41882BC}"/>
    <cellStyle name="Currency 2 2 2 2 3 2 2 3" xfId="291" xr:uid="{00000000-0005-0000-0000-000043000000}"/>
    <cellStyle name="Currency 2 2 2 2 3 2 2 3 2" xfId="5625" xr:uid="{DDB54979-0FF1-4C40-A257-CB2A28C7B0D7}"/>
    <cellStyle name="Currency 2 2 2 2 3 2 2 4" xfId="5623" xr:uid="{83460678-C203-4913-8399-B65471BE2395}"/>
    <cellStyle name="Currency 2 2 2 2 3 2 3" xfId="292" xr:uid="{00000000-0005-0000-0000-000044000000}"/>
    <cellStyle name="Currency 2 2 2 2 3 2 3 2" xfId="5626" xr:uid="{851EAF7D-C485-4F4A-B0CC-E1F862B1CDB1}"/>
    <cellStyle name="Currency 2 2 2 2 3 2 4" xfId="293" xr:uid="{00000000-0005-0000-0000-000045000000}"/>
    <cellStyle name="Currency 2 2 2 2 3 2 4 2" xfId="5627" xr:uid="{E4EE7121-DCAA-4F20-B5B9-EB33FF67029F}"/>
    <cellStyle name="Currency 2 2 2 2 3 2 5" xfId="5622" xr:uid="{30F22892-F486-4A63-BF41-087A0FCDBC0A}"/>
    <cellStyle name="Currency 2 2 2 2 3 3" xfId="294" xr:uid="{00000000-0005-0000-0000-000046000000}"/>
    <cellStyle name="Currency 2 2 2 2 3 3 2" xfId="295" xr:uid="{00000000-0005-0000-0000-000047000000}"/>
    <cellStyle name="Currency 2 2 2 2 3 3 2 2" xfId="296" xr:uid="{00000000-0005-0000-0000-000048000000}"/>
    <cellStyle name="Currency 2 2 2 2 3 3 2 2 2" xfId="5630" xr:uid="{FA24BAB9-03FD-49C1-819C-33F3CF017EA5}"/>
    <cellStyle name="Currency 2 2 2 2 3 3 2 3" xfId="5629" xr:uid="{73554CD6-6A06-420B-B9F5-D225AEC0AB4C}"/>
    <cellStyle name="Currency 2 2 2 2 3 3 3" xfId="297" xr:uid="{00000000-0005-0000-0000-000049000000}"/>
    <cellStyle name="Currency 2 2 2 2 3 3 3 2" xfId="5631" xr:uid="{A2AFA9AD-5F97-48CD-8FDA-EA2671D4A214}"/>
    <cellStyle name="Currency 2 2 2 2 3 3 4" xfId="298" xr:uid="{00000000-0005-0000-0000-00004A000000}"/>
    <cellStyle name="Currency 2 2 2 2 3 3 4 2" xfId="5632" xr:uid="{5384952B-4A1E-4F9F-B001-4A23F0EE4C12}"/>
    <cellStyle name="Currency 2 2 2 2 3 3 5" xfId="5628" xr:uid="{54E9302D-5FB6-41B5-B6AC-5F24C882A014}"/>
    <cellStyle name="Currency 2 2 2 2 3 4" xfId="299" xr:uid="{00000000-0005-0000-0000-00004B000000}"/>
    <cellStyle name="Currency 2 2 2 2 3 4 2" xfId="300" xr:uid="{00000000-0005-0000-0000-00004C000000}"/>
    <cellStyle name="Currency 2 2 2 2 3 4 2 2" xfId="5634" xr:uid="{B191376F-2322-49B5-8E13-A3C28237BAA6}"/>
    <cellStyle name="Currency 2 2 2 2 3 4 3" xfId="5633" xr:uid="{00C6583C-038D-4486-A84E-7F28CE7EFCAC}"/>
    <cellStyle name="Currency 2 2 2 2 3 5" xfId="301" xr:uid="{00000000-0005-0000-0000-00004D000000}"/>
    <cellStyle name="Currency 2 2 2 2 3 5 2" xfId="302" xr:uid="{00000000-0005-0000-0000-00004E000000}"/>
    <cellStyle name="Currency 2 2 2 2 3 5 2 2" xfId="5636" xr:uid="{63FAF033-85CC-4FFF-B84E-98AF7B44460D}"/>
    <cellStyle name="Currency 2 2 2 2 3 5 3" xfId="5635" xr:uid="{AA4C00A5-D338-46F9-808A-AB55C50A717D}"/>
    <cellStyle name="Currency 2 2 2 2 3 6" xfId="303" xr:uid="{00000000-0005-0000-0000-00004F000000}"/>
    <cellStyle name="Currency 2 2 2 2 3 6 2" xfId="304" xr:uid="{00000000-0005-0000-0000-000050000000}"/>
    <cellStyle name="Currency 2 2 2 2 3 6 2 2" xfId="5638" xr:uid="{6336EBC8-FD0F-408D-9165-43C0137D5D6B}"/>
    <cellStyle name="Currency 2 2 2 2 3 6 3" xfId="5637" xr:uid="{435717CA-79F2-44DC-96C1-978A1C0D4061}"/>
    <cellStyle name="Currency 2 2 2 2 3 7" xfId="305" xr:uid="{00000000-0005-0000-0000-000051000000}"/>
    <cellStyle name="Currency 2 2 2 2 3 7 2" xfId="5639" xr:uid="{B97CB4CD-1834-4240-A43C-C088234159A4}"/>
    <cellStyle name="Currency 2 2 2 2 3 8" xfId="306" xr:uid="{00000000-0005-0000-0000-000052000000}"/>
    <cellStyle name="Currency 2 2 2 2 3 8 2" xfId="5640" xr:uid="{20AA1844-EB3B-4570-B5F6-52BA360242BF}"/>
    <cellStyle name="Currency 2 2 2 2 3 9" xfId="5363" xr:uid="{5022D910-61E6-4ED9-9471-2C21FD57218A}"/>
    <cellStyle name="Currency 2 2 2 2 4" xfId="307" xr:uid="{00000000-0005-0000-0000-000053000000}"/>
    <cellStyle name="Currency 2 2 2 2 4 2" xfId="308" xr:uid="{00000000-0005-0000-0000-000054000000}"/>
    <cellStyle name="Currency 2 2 2 2 4 2 2" xfId="309" xr:uid="{00000000-0005-0000-0000-000055000000}"/>
    <cellStyle name="Currency 2 2 2 2 4 2 2 2" xfId="5643" xr:uid="{AC75FE36-0C27-4641-969B-F537829E2D91}"/>
    <cellStyle name="Currency 2 2 2 2 4 2 3" xfId="310" xr:uid="{00000000-0005-0000-0000-000056000000}"/>
    <cellStyle name="Currency 2 2 2 2 4 2 3 2" xfId="5644" xr:uid="{0D38A34B-4015-4329-B80C-272D5902D09A}"/>
    <cellStyle name="Currency 2 2 2 2 4 2 4" xfId="5642" xr:uid="{4CC4ADD4-5CD8-4CBE-915B-97B5D92FB2B9}"/>
    <cellStyle name="Currency 2 2 2 2 4 3" xfId="311" xr:uid="{00000000-0005-0000-0000-000057000000}"/>
    <cellStyle name="Currency 2 2 2 2 4 3 2" xfId="5645" xr:uid="{089698C2-A4C1-488D-BCCE-07FB22F6CD15}"/>
    <cellStyle name="Currency 2 2 2 2 4 4" xfId="312" xr:uid="{00000000-0005-0000-0000-000058000000}"/>
    <cellStyle name="Currency 2 2 2 2 4 4 2" xfId="5646" xr:uid="{18F9B512-E6DC-493C-A052-A738EB1BC833}"/>
    <cellStyle name="Currency 2 2 2 2 4 5" xfId="5641" xr:uid="{1279548B-D69B-450A-9820-1AB25B16545C}"/>
    <cellStyle name="Currency 2 2 2 2 5" xfId="313" xr:uid="{00000000-0005-0000-0000-000059000000}"/>
    <cellStyle name="Currency 2 2 2 2 5 2" xfId="314" xr:uid="{00000000-0005-0000-0000-00005A000000}"/>
    <cellStyle name="Currency 2 2 2 2 5 2 2" xfId="315" xr:uid="{00000000-0005-0000-0000-00005B000000}"/>
    <cellStyle name="Currency 2 2 2 2 5 2 2 2" xfId="5649" xr:uid="{7ABC1B5C-B614-4F4A-93E4-E4C9ECB3B20A}"/>
    <cellStyle name="Currency 2 2 2 2 5 2 3" xfId="5648" xr:uid="{B5BFB7CD-EBAB-495C-8E3A-99C6DCD5AEED}"/>
    <cellStyle name="Currency 2 2 2 2 5 3" xfId="316" xr:uid="{00000000-0005-0000-0000-00005C000000}"/>
    <cellStyle name="Currency 2 2 2 2 5 3 2" xfId="5650" xr:uid="{D3D061C4-05A8-436B-84D3-F31BB92C59C8}"/>
    <cellStyle name="Currency 2 2 2 2 5 4" xfId="317" xr:uid="{00000000-0005-0000-0000-00005D000000}"/>
    <cellStyle name="Currency 2 2 2 2 5 4 2" xfId="5651" xr:uid="{2490DC23-66BD-4388-9D51-6629C7656EB7}"/>
    <cellStyle name="Currency 2 2 2 2 5 5" xfId="5647" xr:uid="{0A6513E0-F583-4CE6-B11F-F53C2588B325}"/>
    <cellStyle name="Currency 2 2 2 2 6" xfId="318" xr:uid="{00000000-0005-0000-0000-00005E000000}"/>
    <cellStyle name="Currency 2 2 2 2 6 2" xfId="319" xr:uid="{00000000-0005-0000-0000-00005F000000}"/>
    <cellStyle name="Currency 2 2 2 2 6 2 2" xfId="5653" xr:uid="{9988DB89-6562-45F4-8105-8C8F2F14A260}"/>
    <cellStyle name="Currency 2 2 2 2 6 3" xfId="5652" xr:uid="{F3F091C7-64FA-47D6-97B6-FC5C78E73D5E}"/>
    <cellStyle name="Currency 2 2 2 2 7" xfId="320" xr:uid="{00000000-0005-0000-0000-000060000000}"/>
    <cellStyle name="Currency 2 2 2 2 7 2" xfId="321" xr:uid="{00000000-0005-0000-0000-000061000000}"/>
    <cellStyle name="Currency 2 2 2 2 7 2 2" xfId="5655" xr:uid="{733F2D23-3E41-4E2B-A283-CF64EC010AB1}"/>
    <cellStyle name="Currency 2 2 2 2 7 3" xfId="5654" xr:uid="{96628D09-8F97-4798-8D84-0BD7DD2C11DB}"/>
    <cellStyle name="Currency 2 2 2 2 8" xfId="322" xr:uid="{00000000-0005-0000-0000-000062000000}"/>
    <cellStyle name="Currency 2 2 2 2 8 2" xfId="323" xr:uid="{00000000-0005-0000-0000-000063000000}"/>
    <cellStyle name="Currency 2 2 2 2 8 2 2" xfId="5657" xr:uid="{FC8363EA-9BDB-459A-B44A-E53CFC361346}"/>
    <cellStyle name="Currency 2 2 2 2 8 3" xfId="5656" xr:uid="{229E5CDD-2C46-4B58-8773-53DBB5760BCE}"/>
    <cellStyle name="Currency 2 2 2 2 9" xfId="324" xr:uid="{00000000-0005-0000-0000-000064000000}"/>
    <cellStyle name="Currency 2 2 2 2 9 2" xfId="5658" xr:uid="{13351766-C0FC-42D6-8749-AD392FFCA8A0}"/>
    <cellStyle name="Currency 2 2 2 3" xfId="29" xr:uid="{00000000-0005-0000-0000-000065000000}"/>
    <cellStyle name="Currency 2 2 2 3 10" xfId="5364" xr:uid="{84B3DB43-D450-47B7-A96B-6D95437103AE}"/>
    <cellStyle name="Currency 2 2 2 3 2" xfId="30" xr:uid="{00000000-0005-0000-0000-000066000000}"/>
    <cellStyle name="Currency 2 2 2 3 2 2" xfId="325" xr:uid="{00000000-0005-0000-0000-000067000000}"/>
    <cellStyle name="Currency 2 2 2 3 2 2 2" xfId="326" xr:uid="{00000000-0005-0000-0000-000068000000}"/>
    <cellStyle name="Currency 2 2 2 3 2 2 2 2" xfId="327" xr:uid="{00000000-0005-0000-0000-000069000000}"/>
    <cellStyle name="Currency 2 2 2 3 2 2 2 2 2" xfId="5661" xr:uid="{18549BE6-C36D-44F0-A325-3D113869458A}"/>
    <cellStyle name="Currency 2 2 2 3 2 2 2 3" xfId="328" xr:uid="{00000000-0005-0000-0000-00006A000000}"/>
    <cellStyle name="Currency 2 2 2 3 2 2 2 3 2" xfId="5662" xr:uid="{64576788-1F28-4419-9C29-7072315054D9}"/>
    <cellStyle name="Currency 2 2 2 3 2 2 2 4" xfId="5660" xr:uid="{0D4D1E11-40F3-419D-97CD-29BEEAC0DBAD}"/>
    <cellStyle name="Currency 2 2 2 3 2 2 3" xfId="329" xr:uid="{00000000-0005-0000-0000-00006B000000}"/>
    <cellStyle name="Currency 2 2 2 3 2 2 3 2" xfId="5663" xr:uid="{C0AD26AA-0B12-4911-82E0-C4740086BF2E}"/>
    <cellStyle name="Currency 2 2 2 3 2 2 4" xfId="330" xr:uid="{00000000-0005-0000-0000-00006C000000}"/>
    <cellStyle name="Currency 2 2 2 3 2 2 4 2" xfId="5664" xr:uid="{236DBD93-FA1D-4455-BD34-0A637E7B19BD}"/>
    <cellStyle name="Currency 2 2 2 3 2 2 5" xfId="5659" xr:uid="{FB65A80D-0B7E-4085-A54B-94580268A926}"/>
    <cellStyle name="Currency 2 2 2 3 2 3" xfId="331" xr:uid="{00000000-0005-0000-0000-00006D000000}"/>
    <cellStyle name="Currency 2 2 2 3 2 3 2" xfId="332" xr:uid="{00000000-0005-0000-0000-00006E000000}"/>
    <cellStyle name="Currency 2 2 2 3 2 3 2 2" xfId="333" xr:uid="{00000000-0005-0000-0000-00006F000000}"/>
    <cellStyle name="Currency 2 2 2 3 2 3 2 2 2" xfId="5667" xr:uid="{C1F0BB15-9BDF-4524-9368-0BBD91207AF6}"/>
    <cellStyle name="Currency 2 2 2 3 2 3 2 3" xfId="5666" xr:uid="{30D69925-81A2-4103-8E5C-DD5EA50CEE0A}"/>
    <cellStyle name="Currency 2 2 2 3 2 3 3" xfId="334" xr:uid="{00000000-0005-0000-0000-000070000000}"/>
    <cellStyle name="Currency 2 2 2 3 2 3 3 2" xfId="5668" xr:uid="{C8148116-1FEF-46A4-B15B-BC9531873765}"/>
    <cellStyle name="Currency 2 2 2 3 2 3 4" xfId="335" xr:uid="{00000000-0005-0000-0000-000071000000}"/>
    <cellStyle name="Currency 2 2 2 3 2 3 4 2" xfId="5669" xr:uid="{D0F5CAEB-5B84-4665-AE8D-F507BBF562AD}"/>
    <cellStyle name="Currency 2 2 2 3 2 3 5" xfId="5665" xr:uid="{87E7F4D8-0F8D-41BA-8F0B-151B1BE8EF6E}"/>
    <cellStyle name="Currency 2 2 2 3 2 4" xfId="336" xr:uid="{00000000-0005-0000-0000-000072000000}"/>
    <cellStyle name="Currency 2 2 2 3 2 4 2" xfId="337" xr:uid="{00000000-0005-0000-0000-000073000000}"/>
    <cellStyle name="Currency 2 2 2 3 2 4 2 2" xfId="5671" xr:uid="{8EB86053-5B6D-4E17-9EF9-0AE1ED79EC2D}"/>
    <cellStyle name="Currency 2 2 2 3 2 4 3" xfId="5670" xr:uid="{79AE7FD5-591D-44AB-9006-0F007EB5F530}"/>
    <cellStyle name="Currency 2 2 2 3 2 5" xfId="338" xr:uid="{00000000-0005-0000-0000-000074000000}"/>
    <cellStyle name="Currency 2 2 2 3 2 5 2" xfId="339" xr:uid="{00000000-0005-0000-0000-000075000000}"/>
    <cellStyle name="Currency 2 2 2 3 2 5 2 2" xfId="5673" xr:uid="{EF3720FD-5A31-4C14-9B4C-A951F3A1F959}"/>
    <cellStyle name="Currency 2 2 2 3 2 5 3" xfId="5672" xr:uid="{B9905A4F-EA1C-44B1-B099-283EEC881371}"/>
    <cellStyle name="Currency 2 2 2 3 2 6" xfId="340" xr:uid="{00000000-0005-0000-0000-000076000000}"/>
    <cellStyle name="Currency 2 2 2 3 2 6 2" xfId="341" xr:uid="{00000000-0005-0000-0000-000077000000}"/>
    <cellStyle name="Currency 2 2 2 3 2 6 2 2" xfId="5675" xr:uid="{7AA3C8A4-B01C-4D3B-8756-5E366DABA328}"/>
    <cellStyle name="Currency 2 2 2 3 2 6 3" xfId="5674" xr:uid="{A51FBE5E-70EB-46CF-8630-D24168E26DF4}"/>
    <cellStyle name="Currency 2 2 2 3 2 7" xfId="342" xr:uid="{00000000-0005-0000-0000-000078000000}"/>
    <cellStyle name="Currency 2 2 2 3 2 7 2" xfId="5676" xr:uid="{7E2AAD98-D276-40F8-8CE1-5AB05BA39BDF}"/>
    <cellStyle name="Currency 2 2 2 3 2 8" xfId="343" xr:uid="{00000000-0005-0000-0000-000079000000}"/>
    <cellStyle name="Currency 2 2 2 3 2 8 2" xfId="5677" xr:uid="{36E02C68-36D9-4CE4-B195-392FE487F61B}"/>
    <cellStyle name="Currency 2 2 2 3 2 9" xfId="5365" xr:uid="{524577BF-D68A-4A66-83D6-C2C79EBD90E7}"/>
    <cellStyle name="Currency 2 2 2 3 3" xfId="344" xr:uid="{00000000-0005-0000-0000-00007A000000}"/>
    <cellStyle name="Currency 2 2 2 3 3 2" xfId="345" xr:uid="{00000000-0005-0000-0000-00007B000000}"/>
    <cellStyle name="Currency 2 2 2 3 3 2 2" xfId="346" xr:uid="{00000000-0005-0000-0000-00007C000000}"/>
    <cellStyle name="Currency 2 2 2 3 3 2 2 2" xfId="5680" xr:uid="{6626F450-F93D-4668-A5C6-C4324168C18A}"/>
    <cellStyle name="Currency 2 2 2 3 3 2 3" xfId="347" xr:uid="{00000000-0005-0000-0000-00007D000000}"/>
    <cellStyle name="Currency 2 2 2 3 3 2 3 2" xfId="5681" xr:uid="{C564A362-84B9-40E1-AC62-CCACC4DA1DE2}"/>
    <cellStyle name="Currency 2 2 2 3 3 2 4" xfId="5679" xr:uid="{5F365865-19AF-47B5-B225-66082BC1A291}"/>
    <cellStyle name="Currency 2 2 2 3 3 3" xfId="348" xr:uid="{00000000-0005-0000-0000-00007E000000}"/>
    <cellStyle name="Currency 2 2 2 3 3 3 2" xfId="5682" xr:uid="{861C8803-2070-4920-A9F3-698DF50ACC7F}"/>
    <cellStyle name="Currency 2 2 2 3 3 4" xfId="349" xr:uid="{00000000-0005-0000-0000-00007F000000}"/>
    <cellStyle name="Currency 2 2 2 3 3 4 2" xfId="5683" xr:uid="{7581128F-1875-40BE-8DF3-A1A09ABF936F}"/>
    <cellStyle name="Currency 2 2 2 3 3 5" xfId="5678" xr:uid="{D15C691E-E67C-4B30-973F-C5B876A2108E}"/>
    <cellStyle name="Currency 2 2 2 3 4" xfId="350" xr:uid="{00000000-0005-0000-0000-000080000000}"/>
    <cellStyle name="Currency 2 2 2 3 4 2" xfId="351" xr:uid="{00000000-0005-0000-0000-000081000000}"/>
    <cellStyle name="Currency 2 2 2 3 4 2 2" xfId="352" xr:uid="{00000000-0005-0000-0000-000082000000}"/>
    <cellStyle name="Currency 2 2 2 3 4 2 2 2" xfId="5686" xr:uid="{CFAEDD58-54E1-4393-877C-0C15049C5E29}"/>
    <cellStyle name="Currency 2 2 2 3 4 2 3" xfId="5685" xr:uid="{A413F24F-B035-4E08-82BD-179C192D4EBA}"/>
    <cellStyle name="Currency 2 2 2 3 4 3" xfId="353" xr:uid="{00000000-0005-0000-0000-000083000000}"/>
    <cellStyle name="Currency 2 2 2 3 4 3 2" xfId="5687" xr:uid="{83AFB6A7-C6CC-4CD7-A874-5E4EE28E3192}"/>
    <cellStyle name="Currency 2 2 2 3 4 4" xfId="354" xr:uid="{00000000-0005-0000-0000-000084000000}"/>
    <cellStyle name="Currency 2 2 2 3 4 4 2" xfId="5688" xr:uid="{B641E3F0-64A6-48CC-AB46-BC72E33ED280}"/>
    <cellStyle name="Currency 2 2 2 3 4 5" xfId="5684" xr:uid="{B220AE6C-9CAA-4B2C-A293-9D7899720EF9}"/>
    <cellStyle name="Currency 2 2 2 3 5" xfId="355" xr:uid="{00000000-0005-0000-0000-000085000000}"/>
    <cellStyle name="Currency 2 2 2 3 5 2" xfId="356" xr:uid="{00000000-0005-0000-0000-000086000000}"/>
    <cellStyle name="Currency 2 2 2 3 5 2 2" xfId="5690" xr:uid="{AA96B1EE-224E-446B-A542-0E41FD72F327}"/>
    <cellStyle name="Currency 2 2 2 3 5 3" xfId="5689" xr:uid="{D4E5F57E-C7DE-4C87-92C3-FEA4221F119C}"/>
    <cellStyle name="Currency 2 2 2 3 6" xfId="357" xr:uid="{00000000-0005-0000-0000-000087000000}"/>
    <cellStyle name="Currency 2 2 2 3 6 2" xfId="358" xr:uid="{00000000-0005-0000-0000-000088000000}"/>
    <cellStyle name="Currency 2 2 2 3 6 2 2" xfId="5692" xr:uid="{27E35822-7B9E-4289-A9C4-C6040C956A53}"/>
    <cellStyle name="Currency 2 2 2 3 6 3" xfId="5691" xr:uid="{4D56974D-1E6C-43BB-A7BB-5DC7F6623AA5}"/>
    <cellStyle name="Currency 2 2 2 3 7" xfId="359" xr:uid="{00000000-0005-0000-0000-000089000000}"/>
    <cellStyle name="Currency 2 2 2 3 7 2" xfId="360" xr:uid="{00000000-0005-0000-0000-00008A000000}"/>
    <cellStyle name="Currency 2 2 2 3 7 2 2" xfId="5694" xr:uid="{ED7748B4-48C0-4FBF-848F-D10CA771D398}"/>
    <cellStyle name="Currency 2 2 2 3 7 3" xfId="5693" xr:uid="{3E0150EC-2D2A-4AFB-9445-8F5411681FA7}"/>
    <cellStyle name="Currency 2 2 2 3 8" xfId="361" xr:uid="{00000000-0005-0000-0000-00008B000000}"/>
    <cellStyle name="Currency 2 2 2 3 8 2" xfId="5695" xr:uid="{FE4D9D60-D41F-4BD5-885E-99BE58DE372A}"/>
    <cellStyle name="Currency 2 2 2 3 9" xfId="362" xr:uid="{00000000-0005-0000-0000-00008C000000}"/>
    <cellStyle name="Currency 2 2 2 3 9 2" xfId="5696" xr:uid="{8E902BDB-7A48-4853-8C95-1BE2A322D25F}"/>
    <cellStyle name="Currency 2 2 2 4" xfId="31" xr:uid="{00000000-0005-0000-0000-00008D000000}"/>
    <cellStyle name="Currency 2 2 2 4 2" xfId="363" xr:uid="{00000000-0005-0000-0000-00008E000000}"/>
    <cellStyle name="Currency 2 2 2 4 2 2" xfId="364" xr:uid="{00000000-0005-0000-0000-00008F000000}"/>
    <cellStyle name="Currency 2 2 2 4 2 2 2" xfId="365" xr:uid="{00000000-0005-0000-0000-000090000000}"/>
    <cellStyle name="Currency 2 2 2 4 2 2 2 2" xfId="5699" xr:uid="{FAEDDA02-0AC9-480F-9F6D-7FE7C6E8C342}"/>
    <cellStyle name="Currency 2 2 2 4 2 2 3" xfId="366" xr:uid="{00000000-0005-0000-0000-000091000000}"/>
    <cellStyle name="Currency 2 2 2 4 2 2 3 2" xfId="5700" xr:uid="{29853631-0DDB-417D-A9E3-1B381220D499}"/>
    <cellStyle name="Currency 2 2 2 4 2 2 4" xfId="5698" xr:uid="{BCA24C58-E5EA-4FE8-845B-9740973EDAB7}"/>
    <cellStyle name="Currency 2 2 2 4 2 3" xfId="367" xr:uid="{00000000-0005-0000-0000-000092000000}"/>
    <cellStyle name="Currency 2 2 2 4 2 3 2" xfId="5701" xr:uid="{1A850D05-FC58-4AA2-A386-99DB5C99AAFC}"/>
    <cellStyle name="Currency 2 2 2 4 2 4" xfId="368" xr:uid="{00000000-0005-0000-0000-000093000000}"/>
    <cellStyle name="Currency 2 2 2 4 2 4 2" xfId="5702" xr:uid="{C911A7E4-60ED-4D16-AE94-E5B25B335EAD}"/>
    <cellStyle name="Currency 2 2 2 4 2 5" xfId="5697" xr:uid="{3DB9F977-018E-40B9-A007-6262556FE306}"/>
    <cellStyle name="Currency 2 2 2 4 3" xfId="369" xr:uid="{00000000-0005-0000-0000-000094000000}"/>
    <cellStyle name="Currency 2 2 2 4 3 2" xfId="370" xr:uid="{00000000-0005-0000-0000-000095000000}"/>
    <cellStyle name="Currency 2 2 2 4 3 2 2" xfId="371" xr:uid="{00000000-0005-0000-0000-000096000000}"/>
    <cellStyle name="Currency 2 2 2 4 3 2 2 2" xfId="5705" xr:uid="{F95689E7-918E-4D15-9C89-1B1503FF95D7}"/>
    <cellStyle name="Currency 2 2 2 4 3 2 3" xfId="5704" xr:uid="{61A47BE4-739E-4BDB-81EE-8A0E14DBD55D}"/>
    <cellStyle name="Currency 2 2 2 4 3 3" xfId="372" xr:uid="{00000000-0005-0000-0000-000097000000}"/>
    <cellStyle name="Currency 2 2 2 4 3 3 2" xfId="5706" xr:uid="{17F8B98C-AB7F-4031-B591-EA47672A4EA3}"/>
    <cellStyle name="Currency 2 2 2 4 3 4" xfId="373" xr:uid="{00000000-0005-0000-0000-000098000000}"/>
    <cellStyle name="Currency 2 2 2 4 3 4 2" xfId="5707" xr:uid="{6D0EC71C-EA3F-4A75-B889-0090D8273C12}"/>
    <cellStyle name="Currency 2 2 2 4 3 5" xfId="5703" xr:uid="{86628800-542E-47CF-BE1A-D52CD990A969}"/>
    <cellStyle name="Currency 2 2 2 4 4" xfId="374" xr:uid="{00000000-0005-0000-0000-000099000000}"/>
    <cellStyle name="Currency 2 2 2 4 4 2" xfId="375" xr:uid="{00000000-0005-0000-0000-00009A000000}"/>
    <cellStyle name="Currency 2 2 2 4 4 2 2" xfId="5709" xr:uid="{3F81C4C2-B5D0-4918-9CAA-A5F5B5E12445}"/>
    <cellStyle name="Currency 2 2 2 4 4 3" xfId="5708" xr:uid="{BDBBC0FC-BF33-4E6B-83BC-5ACDC3722101}"/>
    <cellStyle name="Currency 2 2 2 4 5" xfId="376" xr:uid="{00000000-0005-0000-0000-00009B000000}"/>
    <cellStyle name="Currency 2 2 2 4 5 2" xfId="377" xr:uid="{00000000-0005-0000-0000-00009C000000}"/>
    <cellStyle name="Currency 2 2 2 4 5 2 2" xfId="5711" xr:uid="{941BBE57-8D8F-4CF8-941C-1E89BC6CA2F9}"/>
    <cellStyle name="Currency 2 2 2 4 5 3" xfId="5710" xr:uid="{AB9EFCE8-F0F7-47A9-A14D-29DD31726450}"/>
    <cellStyle name="Currency 2 2 2 4 6" xfId="378" xr:uid="{00000000-0005-0000-0000-00009D000000}"/>
    <cellStyle name="Currency 2 2 2 4 6 2" xfId="379" xr:uid="{00000000-0005-0000-0000-00009E000000}"/>
    <cellStyle name="Currency 2 2 2 4 6 2 2" xfId="5713" xr:uid="{5FED0EF9-02B1-4A56-B5C5-69D5B9DB507E}"/>
    <cellStyle name="Currency 2 2 2 4 6 3" xfId="5712" xr:uid="{A6E948DA-6BF1-47BA-A992-093F383D07AA}"/>
    <cellStyle name="Currency 2 2 2 4 7" xfId="380" xr:uid="{00000000-0005-0000-0000-00009F000000}"/>
    <cellStyle name="Currency 2 2 2 4 7 2" xfId="5714" xr:uid="{08ACC4CC-21D8-4C81-AA47-02E5BC642428}"/>
    <cellStyle name="Currency 2 2 2 4 8" xfId="381" xr:uid="{00000000-0005-0000-0000-0000A0000000}"/>
    <cellStyle name="Currency 2 2 2 4 8 2" xfId="5715" xr:uid="{574EBFDF-3471-4EA4-A94B-82413ADBD5A4}"/>
    <cellStyle name="Currency 2 2 2 4 9" xfId="5366" xr:uid="{8F297D4F-C583-477C-8F1A-D7C7A1A54C0C}"/>
    <cellStyle name="Currency 2 2 2 5" xfId="382" xr:uid="{00000000-0005-0000-0000-0000A1000000}"/>
    <cellStyle name="Currency 2 2 2 5 2" xfId="383" xr:uid="{00000000-0005-0000-0000-0000A2000000}"/>
    <cellStyle name="Currency 2 2 2 5 2 2" xfId="384" xr:uid="{00000000-0005-0000-0000-0000A3000000}"/>
    <cellStyle name="Currency 2 2 2 5 2 2 2" xfId="5718" xr:uid="{B68A56F5-F83B-4BA0-8CCF-6674E3154649}"/>
    <cellStyle name="Currency 2 2 2 5 2 3" xfId="385" xr:uid="{00000000-0005-0000-0000-0000A4000000}"/>
    <cellStyle name="Currency 2 2 2 5 2 3 2" xfId="5719" xr:uid="{2BD49129-FB90-4C44-A622-929C38D3436D}"/>
    <cellStyle name="Currency 2 2 2 5 2 4" xfId="5717" xr:uid="{38F7B6AF-C6A1-44B1-84DE-34790CF49385}"/>
    <cellStyle name="Currency 2 2 2 5 3" xfId="386" xr:uid="{00000000-0005-0000-0000-0000A5000000}"/>
    <cellStyle name="Currency 2 2 2 5 3 2" xfId="387" xr:uid="{00000000-0005-0000-0000-0000A6000000}"/>
    <cellStyle name="Currency 2 2 2 5 3 2 2" xfId="5721" xr:uid="{68E7AF4F-CE0B-49E4-A133-0F42ACE93044}"/>
    <cellStyle name="Currency 2 2 2 5 3 3" xfId="5720" xr:uid="{0D62A128-985E-4346-84A0-DC72C3D63A01}"/>
    <cellStyle name="Currency 2 2 2 5 4" xfId="388" xr:uid="{00000000-0005-0000-0000-0000A7000000}"/>
    <cellStyle name="Currency 2 2 2 5 4 2" xfId="5722" xr:uid="{06890DEC-9C33-40FA-88D6-D2E5456D02B3}"/>
    <cellStyle name="Currency 2 2 2 5 5" xfId="5716" xr:uid="{614EB760-D5BE-4A6E-896C-D9B205BA78A5}"/>
    <cellStyle name="Currency 2 2 2 6" xfId="389" xr:uid="{00000000-0005-0000-0000-0000A8000000}"/>
    <cellStyle name="Currency 2 2 2 6 2" xfId="390" xr:uid="{00000000-0005-0000-0000-0000A9000000}"/>
    <cellStyle name="Currency 2 2 2 6 2 2" xfId="391" xr:uid="{00000000-0005-0000-0000-0000AA000000}"/>
    <cellStyle name="Currency 2 2 2 6 2 2 2" xfId="5725" xr:uid="{07846D77-6E88-4D98-A931-0274E4981F8E}"/>
    <cellStyle name="Currency 2 2 2 6 2 3" xfId="5724" xr:uid="{86FBB8C5-E252-4799-A745-A975C20C06C3}"/>
    <cellStyle name="Currency 2 2 2 6 3" xfId="392" xr:uid="{00000000-0005-0000-0000-0000AB000000}"/>
    <cellStyle name="Currency 2 2 2 6 3 2" xfId="5726" xr:uid="{EAD8508B-0047-4A09-9573-1F6298402566}"/>
    <cellStyle name="Currency 2 2 2 6 4" xfId="393" xr:uid="{00000000-0005-0000-0000-0000AC000000}"/>
    <cellStyle name="Currency 2 2 2 6 4 2" xfId="5727" xr:uid="{02763019-E4DE-467E-862B-3B2131EB0A59}"/>
    <cellStyle name="Currency 2 2 2 6 5" xfId="5723" xr:uid="{6D593D92-91E0-42C4-91C6-5255E15AE58D}"/>
    <cellStyle name="Currency 2 2 2 7" xfId="394" xr:uid="{00000000-0005-0000-0000-0000AD000000}"/>
    <cellStyle name="Currency 2 2 2 7 2" xfId="395" xr:uid="{00000000-0005-0000-0000-0000AE000000}"/>
    <cellStyle name="Currency 2 2 2 7 2 2" xfId="5729" xr:uid="{7D783565-4BCD-4883-91CE-D2386EB18B95}"/>
    <cellStyle name="Currency 2 2 2 7 3" xfId="396" xr:uid="{00000000-0005-0000-0000-0000AF000000}"/>
    <cellStyle name="Currency 2 2 2 7 3 2" xfId="5730" xr:uid="{7CD59F7D-4B4E-419C-BC29-C97ACBBEC3CA}"/>
    <cellStyle name="Currency 2 2 2 7 4" xfId="5728" xr:uid="{8B18BEE0-69B4-4A30-B6C6-F99711200054}"/>
    <cellStyle name="Currency 2 2 2 8" xfId="397" xr:uid="{00000000-0005-0000-0000-0000B0000000}"/>
    <cellStyle name="Currency 2 2 2 8 2" xfId="398" xr:uid="{00000000-0005-0000-0000-0000B1000000}"/>
    <cellStyle name="Currency 2 2 2 8 2 2" xfId="5732" xr:uid="{597AAFEE-1FEC-4BF7-A2DB-E8353727F3EE}"/>
    <cellStyle name="Currency 2 2 2 8 3" xfId="5731" xr:uid="{CC338A13-FBF9-4F68-88F9-EE2645B82B72}"/>
    <cellStyle name="Currency 2 2 2 9" xfId="399" xr:uid="{00000000-0005-0000-0000-0000B2000000}"/>
    <cellStyle name="Currency 2 2 2 9 2" xfId="400" xr:uid="{00000000-0005-0000-0000-0000B3000000}"/>
    <cellStyle name="Currency 2 2 2 9 2 2" xfId="5734" xr:uid="{5325111A-861D-4C7C-88F8-10034D125447}"/>
    <cellStyle name="Currency 2 2 2 9 3" xfId="5733" xr:uid="{E2B156D1-2381-43F1-ABB4-4D92A555B360}"/>
    <cellStyle name="Currency 2 2 3" xfId="32" xr:uid="{00000000-0005-0000-0000-0000B4000000}"/>
    <cellStyle name="Currency 2 2 3 10" xfId="401" xr:uid="{00000000-0005-0000-0000-0000B5000000}"/>
    <cellStyle name="Currency 2 2 3 10 2" xfId="5735" xr:uid="{003FD87A-30F2-45B3-9B29-61922D43AC44}"/>
    <cellStyle name="Currency 2 2 3 11" xfId="5367" xr:uid="{364D3817-C0E4-483E-ACC4-F187685C40B5}"/>
    <cellStyle name="Currency 2 2 3 2" xfId="33" xr:uid="{00000000-0005-0000-0000-0000B6000000}"/>
    <cellStyle name="Currency 2 2 3 2 10" xfId="5368" xr:uid="{E14E977A-83BD-4B85-BBEF-DCCB600CCFFC}"/>
    <cellStyle name="Currency 2 2 3 2 2" xfId="34" xr:uid="{00000000-0005-0000-0000-0000B7000000}"/>
    <cellStyle name="Currency 2 2 3 2 2 2" xfId="402" xr:uid="{00000000-0005-0000-0000-0000B8000000}"/>
    <cellStyle name="Currency 2 2 3 2 2 2 2" xfId="403" xr:uid="{00000000-0005-0000-0000-0000B9000000}"/>
    <cellStyle name="Currency 2 2 3 2 2 2 2 2" xfId="404" xr:uid="{00000000-0005-0000-0000-0000BA000000}"/>
    <cellStyle name="Currency 2 2 3 2 2 2 2 2 2" xfId="5738" xr:uid="{92BA9010-151C-4F4B-8B11-782E93CBE73F}"/>
    <cellStyle name="Currency 2 2 3 2 2 2 2 3" xfId="405" xr:uid="{00000000-0005-0000-0000-0000BB000000}"/>
    <cellStyle name="Currency 2 2 3 2 2 2 2 3 2" xfId="5739" xr:uid="{3BFF7EEC-6609-49E0-AD32-6204FB1381D0}"/>
    <cellStyle name="Currency 2 2 3 2 2 2 2 4" xfId="5737" xr:uid="{F6DDB904-7E09-4EAA-BA66-01E5CB879480}"/>
    <cellStyle name="Currency 2 2 3 2 2 2 3" xfId="406" xr:uid="{00000000-0005-0000-0000-0000BC000000}"/>
    <cellStyle name="Currency 2 2 3 2 2 2 3 2" xfId="5740" xr:uid="{ED574933-2536-46CD-B6C6-F35C66222C25}"/>
    <cellStyle name="Currency 2 2 3 2 2 2 4" xfId="407" xr:uid="{00000000-0005-0000-0000-0000BD000000}"/>
    <cellStyle name="Currency 2 2 3 2 2 2 4 2" xfId="5741" xr:uid="{384EDC61-E241-40D4-AF6F-456EDB50CE61}"/>
    <cellStyle name="Currency 2 2 3 2 2 2 5" xfId="5736" xr:uid="{FBD7DF87-094F-419A-B80C-5F3204097896}"/>
    <cellStyle name="Currency 2 2 3 2 2 3" xfId="408" xr:uid="{00000000-0005-0000-0000-0000BE000000}"/>
    <cellStyle name="Currency 2 2 3 2 2 3 2" xfId="409" xr:uid="{00000000-0005-0000-0000-0000BF000000}"/>
    <cellStyle name="Currency 2 2 3 2 2 3 2 2" xfId="410" xr:uid="{00000000-0005-0000-0000-0000C0000000}"/>
    <cellStyle name="Currency 2 2 3 2 2 3 2 2 2" xfId="5744" xr:uid="{795B746C-0D7E-4B24-8ADE-C779F8200CF3}"/>
    <cellStyle name="Currency 2 2 3 2 2 3 2 3" xfId="5743" xr:uid="{A449A710-DFC4-4306-A2AC-CF50B91E9281}"/>
    <cellStyle name="Currency 2 2 3 2 2 3 3" xfId="411" xr:uid="{00000000-0005-0000-0000-0000C1000000}"/>
    <cellStyle name="Currency 2 2 3 2 2 3 3 2" xfId="5745" xr:uid="{EA4034DE-C8AE-49A3-A358-1F1839FAD8EA}"/>
    <cellStyle name="Currency 2 2 3 2 2 3 4" xfId="412" xr:uid="{00000000-0005-0000-0000-0000C2000000}"/>
    <cellStyle name="Currency 2 2 3 2 2 3 4 2" xfId="5746" xr:uid="{0E67EDD8-59D0-4E69-A7C6-72C9BACAC4D7}"/>
    <cellStyle name="Currency 2 2 3 2 2 3 5" xfId="5742" xr:uid="{CFAC896F-D2F1-453A-9605-5C1B2A913943}"/>
    <cellStyle name="Currency 2 2 3 2 2 4" xfId="413" xr:uid="{00000000-0005-0000-0000-0000C3000000}"/>
    <cellStyle name="Currency 2 2 3 2 2 4 2" xfId="414" xr:uid="{00000000-0005-0000-0000-0000C4000000}"/>
    <cellStyle name="Currency 2 2 3 2 2 4 2 2" xfId="5748" xr:uid="{F02144B7-9670-46A2-89A9-2E17085FD113}"/>
    <cellStyle name="Currency 2 2 3 2 2 4 3" xfId="5747" xr:uid="{FEAA82A5-50D7-426F-ACC3-4703C2FFBDDE}"/>
    <cellStyle name="Currency 2 2 3 2 2 5" xfId="415" xr:uid="{00000000-0005-0000-0000-0000C5000000}"/>
    <cellStyle name="Currency 2 2 3 2 2 5 2" xfId="416" xr:uid="{00000000-0005-0000-0000-0000C6000000}"/>
    <cellStyle name="Currency 2 2 3 2 2 5 2 2" xfId="5750" xr:uid="{64E1A8EE-EB9D-44DF-BF5F-55F90E7DEDCE}"/>
    <cellStyle name="Currency 2 2 3 2 2 5 3" xfId="5749" xr:uid="{32F22D80-9867-4CA3-B8FF-C2A6A01CC9FD}"/>
    <cellStyle name="Currency 2 2 3 2 2 6" xfId="417" xr:uid="{00000000-0005-0000-0000-0000C7000000}"/>
    <cellStyle name="Currency 2 2 3 2 2 6 2" xfId="418" xr:uid="{00000000-0005-0000-0000-0000C8000000}"/>
    <cellStyle name="Currency 2 2 3 2 2 6 2 2" xfId="5752" xr:uid="{E49B4EB1-B185-4316-8C7B-614111EB8A80}"/>
    <cellStyle name="Currency 2 2 3 2 2 6 3" xfId="5751" xr:uid="{E4A08137-8CBB-4CCA-86EA-CE21DE8400B1}"/>
    <cellStyle name="Currency 2 2 3 2 2 7" xfId="419" xr:uid="{00000000-0005-0000-0000-0000C9000000}"/>
    <cellStyle name="Currency 2 2 3 2 2 7 2" xfId="5753" xr:uid="{340F8376-2B87-4403-94E5-50CC54A4BDD1}"/>
    <cellStyle name="Currency 2 2 3 2 2 8" xfId="420" xr:uid="{00000000-0005-0000-0000-0000CA000000}"/>
    <cellStyle name="Currency 2 2 3 2 2 8 2" xfId="5754" xr:uid="{D0BA5C44-AA8A-4930-BFFA-EF92EFE03D78}"/>
    <cellStyle name="Currency 2 2 3 2 2 9" xfId="5369" xr:uid="{BF9BA152-C6FE-469F-8E53-D3ADE020CDC2}"/>
    <cellStyle name="Currency 2 2 3 2 3" xfId="421" xr:uid="{00000000-0005-0000-0000-0000CB000000}"/>
    <cellStyle name="Currency 2 2 3 2 3 2" xfId="422" xr:uid="{00000000-0005-0000-0000-0000CC000000}"/>
    <cellStyle name="Currency 2 2 3 2 3 2 2" xfId="423" xr:uid="{00000000-0005-0000-0000-0000CD000000}"/>
    <cellStyle name="Currency 2 2 3 2 3 2 2 2" xfId="5757" xr:uid="{D61C13B2-88E8-4A4F-BC5E-ECDBAD6F1392}"/>
    <cellStyle name="Currency 2 2 3 2 3 2 3" xfId="424" xr:uid="{00000000-0005-0000-0000-0000CE000000}"/>
    <cellStyle name="Currency 2 2 3 2 3 2 3 2" xfId="5758" xr:uid="{797F5968-1FC6-4E40-8E3D-E44C8B5EF313}"/>
    <cellStyle name="Currency 2 2 3 2 3 2 4" xfId="5756" xr:uid="{3FB1B6AA-E1F5-4ED4-841E-748D41594304}"/>
    <cellStyle name="Currency 2 2 3 2 3 3" xfId="425" xr:uid="{00000000-0005-0000-0000-0000CF000000}"/>
    <cellStyle name="Currency 2 2 3 2 3 3 2" xfId="5759" xr:uid="{085576C8-109E-443D-9235-B07AFECB4857}"/>
    <cellStyle name="Currency 2 2 3 2 3 4" xfId="426" xr:uid="{00000000-0005-0000-0000-0000D0000000}"/>
    <cellStyle name="Currency 2 2 3 2 3 4 2" xfId="5760" xr:uid="{B361C742-A71E-4291-AE32-4BFF46DC78C9}"/>
    <cellStyle name="Currency 2 2 3 2 3 5" xfId="5755" xr:uid="{5D9F5CDE-7D85-4FBA-8C31-469FFFED9C22}"/>
    <cellStyle name="Currency 2 2 3 2 4" xfId="427" xr:uid="{00000000-0005-0000-0000-0000D1000000}"/>
    <cellStyle name="Currency 2 2 3 2 4 2" xfId="428" xr:uid="{00000000-0005-0000-0000-0000D2000000}"/>
    <cellStyle name="Currency 2 2 3 2 4 2 2" xfId="429" xr:uid="{00000000-0005-0000-0000-0000D3000000}"/>
    <cellStyle name="Currency 2 2 3 2 4 2 2 2" xfId="5763" xr:uid="{C115FFFE-1FDE-4A36-BF6B-009000703100}"/>
    <cellStyle name="Currency 2 2 3 2 4 2 3" xfId="5762" xr:uid="{F00D84C1-D044-4D05-A319-26D2EF1A5810}"/>
    <cellStyle name="Currency 2 2 3 2 4 3" xfId="430" xr:uid="{00000000-0005-0000-0000-0000D4000000}"/>
    <cellStyle name="Currency 2 2 3 2 4 3 2" xfId="5764" xr:uid="{B638E405-1F02-4F34-988E-B00B69E25766}"/>
    <cellStyle name="Currency 2 2 3 2 4 4" xfId="431" xr:uid="{00000000-0005-0000-0000-0000D5000000}"/>
    <cellStyle name="Currency 2 2 3 2 4 4 2" xfId="5765" xr:uid="{1D9BD72A-BAFE-4FC1-BC79-1603A782D004}"/>
    <cellStyle name="Currency 2 2 3 2 4 5" xfId="5761" xr:uid="{5BF77E7C-DA3F-4157-9C47-BE5A644702C9}"/>
    <cellStyle name="Currency 2 2 3 2 5" xfId="432" xr:uid="{00000000-0005-0000-0000-0000D6000000}"/>
    <cellStyle name="Currency 2 2 3 2 5 2" xfId="433" xr:uid="{00000000-0005-0000-0000-0000D7000000}"/>
    <cellStyle name="Currency 2 2 3 2 5 2 2" xfId="5767" xr:uid="{33FC7B42-D560-403E-9623-5342AED4042A}"/>
    <cellStyle name="Currency 2 2 3 2 5 3" xfId="5766" xr:uid="{CA6F6D0F-9966-4DF4-A0B8-61DC3FB2A20B}"/>
    <cellStyle name="Currency 2 2 3 2 6" xfId="434" xr:uid="{00000000-0005-0000-0000-0000D8000000}"/>
    <cellStyle name="Currency 2 2 3 2 6 2" xfId="435" xr:uid="{00000000-0005-0000-0000-0000D9000000}"/>
    <cellStyle name="Currency 2 2 3 2 6 2 2" xfId="5769" xr:uid="{0900569E-058C-4AEF-AEBD-783FEF2CC27F}"/>
    <cellStyle name="Currency 2 2 3 2 6 3" xfId="5768" xr:uid="{43A19478-35FC-4F12-A5B2-4FFADCB75BDB}"/>
    <cellStyle name="Currency 2 2 3 2 7" xfId="436" xr:uid="{00000000-0005-0000-0000-0000DA000000}"/>
    <cellStyle name="Currency 2 2 3 2 7 2" xfId="437" xr:uid="{00000000-0005-0000-0000-0000DB000000}"/>
    <cellStyle name="Currency 2 2 3 2 7 2 2" xfId="5771" xr:uid="{6AC4199D-FEC2-4E11-8A6D-70B3D61571B3}"/>
    <cellStyle name="Currency 2 2 3 2 7 3" xfId="5770" xr:uid="{A8F2BDDE-943A-4CD8-BC70-B839134E06B7}"/>
    <cellStyle name="Currency 2 2 3 2 8" xfId="438" xr:uid="{00000000-0005-0000-0000-0000DC000000}"/>
    <cellStyle name="Currency 2 2 3 2 8 2" xfId="5772" xr:uid="{FE23E077-DDB4-4CF3-B4A6-986B4B069D36}"/>
    <cellStyle name="Currency 2 2 3 2 9" xfId="439" xr:uid="{00000000-0005-0000-0000-0000DD000000}"/>
    <cellStyle name="Currency 2 2 3 2 9 2" xfId="5773" xr:uid="{78D0C211-F4AE-41BE-BA10-E1F89A5BDF2B}"/>
    <cellStyle name="Currency 2 2 3 3" xfId="35" xr:uid="{00000000-0005-0000-0000-0000DE000000}"/>
    <cellStyle name="Currency 2 2 3 3 2" xfId="440" xr:uid="{00000000-0005-0000-0000-0000DF000000}"/>
    <cellStyle name="Currency 2 2 3 3 2 2" xfId="441" xr:uid="{00000000-0005-0000-0000-0000E0000000}"/>
    <cellStyle name="Currency 2 2 3 3 2 2 2" xfId="442" xr:uid="{00000000-0005-0000-0000-0000E1000000}"/>
    <cellStyle name="Currency 2 2 3 3 2 2 2 2" xfId="5776" xr:uid="{420D383E-24DA-447B-A065-4AE4B8B45CBA}"/>
    <cellStyle name="Currency 2 2 3 3 2 2 3" xfId="443" xr:uid="{00000000-0005-0000-0000-0000E2000000}"/>
    <cellStyle name="Currency 2 2 3 3 2 2 3 2" xfId="5777" xr:uid="{2E16E610-29EF-4C94-84DF-EF571C3A828E}"/>
    <cellStyle name="Currency 2 2 3 3 2 2 4" xfId="5775" xr:uid="{24CBF311-A79F-457B-8E11-083DDF65F759}"/>
    <cellStyle name="Currency 2 2 3 3 2 3" xfId="444" xr:uid="{00000000-0005-0000-0000-0000E3000000}"/>
    <cellStyle name="Currency 2 2 3 3 2 3 2" xfId="5778" xr:uid="{A6224AFE-9540-4878-AABC-6AB077361A2A}"/>
    <cellStyle name="Currency 2 2 3 3 2 4" xfId="445" xr:uid="{00000000-0005-0000-0000-0000E4000000}"/>
    <cellStyle name="Currency 2 2 3 3 2 4 2" xfId="5779" xr:uid="{4EFB23D3-EA60-4670-88AC-B0467125158A}"/>
    <cellStyle name="Currency 2 2 3 3 2 5" xfId="5774" xr:uid="{B8251517-9286-41FF-B000-7C05410B49C5}"/>
    <cellStyle name="Currency 2 2 3 3 3" xfId="446" xr:uid="{00000000-0005-0000-0000-0000E5000000}"/>
    <cellStyle name="Currency 2 2 3 3 3 2" xfId="447" xr:uid="{00000000-0005-0000-0000-0000E6000000}"/>
    <cellStyle name="Currency 2 2 3 3 3 2 2" xfId="448" xr:uid="{00000000-0005-0000-0000-0000E7000000}"/>
    <cellStyle name="Currency 2 2 3 3 3 2 2 2" xfId="5782" xr:uid="{9B06C880-FA9A-485E-8BEC-2111DAF71164}"/>
    <cellStyle name="Currency 2 2 3 3 3 2 3" xfId="5781" xr:uid="{17BEF2B4-1609-4A2B-8F30-A38780B505CC}"/>
    <cellStyle name="Currency 2 2 3 3 3 3" xfId="449" xr:uid="{00000000-0005-0000-0000-0000E8000000}"/>
    <cellStyle name="Currency 2 2 3 3 3 3 2" xfId="5783" xr:uid="{95CBBEAD-1F03-4F8A-A0B9-0F236105446F}"/>
    <cellStyle name="Currency 2 2 3 3 3 4" xfId="450" xr:uid="{00000000-0005-0000-0000-0000E9000000}"/>
    <cellStyle name="Currency 2 2 3 3 3 4 2" xfId="5784" xr:uid="{92F0D0BF-165E-4D4E-B8BE-D55F24E2444E}"/>
    <cellStyle name="Currency 2 2 3 3 3 5" xfId="5780" xr:uid="{CB90B392-E782-405D-B547-5684B55ABB9B}"/>
    <cellStyle name="Currency 2 2 3 3 4" xfId="451" xr:uid="{00000000-0005-0000-0000-0000EA000000}"/>
    <cellStyle name="Currency 2 2 3 3 4 2" xfId="452" xr:uid="{00000000-0005-0000-0000-0000EB000000}"/>
    <cellStyle name="Currency 2 2 3 3 4 2 2" xfId="5786" xr:uid="{246D7202-72F5-424A-986F-ABF86E37C635}"/>
    <cellStyle name="Currency 2 2 3 3 4 3" xfId="5785" xr:uid="{E64B1410-9CBF-41FE-94A4-66A3C073A8E4}"/>
    <cellStyle name="Currency 2 2 3 3 5" xfId="453" xr:uid="{00000000-0005-0000-0000-0000EC000000}"/>
    <cellStyle name="Currency 2 2 3 3 5 2" xfId="454" xr:uid="{00000000-0005-0000-0000-0000ED000000}"/>
    <cellStyle name="Currency 2 2 3 3 5 2 2" xfId="5788" xr:uid="{B41F8510-C2F5-46C4-B972-602AFDCA1665}"/>
    <cellStyle name="Currency 2 2 3 3 5 3" xfId="5787" xr:uid="{30F1D34C-49D4-4265-9415-7933D3F2318D}"/>
    <cellStyle name="Currency 2 2 3 3 6" xfId="455" xr:uid="{00000000-0005-0000-0000-0000EE000000}"/>
    <cellStyle name="Currency 2 2 3 3 6 2" xfId="456" xr:uid="{00000000-0005-0000-0000-0000EF000000}"/>
    <cellStyle name="Currency 2 2 3 3 6 2 2" xfId="5790" xr:uid="{66DB5DDC-C9C7-4C9C-B6A6-62A339020523}"/>
    <cellStyle name="Currency 2 2 3 3 6 3" xfId="5789" xr:uid="{EA854C01-A1C5-4B1F-92BE-C31F3E1BF835}"/>
    <cellStyle name="Currency 2 2 3 3 7" xfId="457" xr:uid="{00000000-0005-0000-0000-0000F0000000}"/>
    <cellStyle name="Currency 2 2 3 3 7 2" xfId="5791" xr:uid="{BDC24C01-12A0-4BA0-BD16-282479D80E72}"/>
    <cellStyle name="Currency 2 2 3 3 8" xfId="458" xr:uid="{00000000-0005-0000-0000-0000F1000000}"/>
    <cellStyle name="Currency 2 2 3 3 8 2" xfId="5792" xr:uid="{5AD59483-DD42-4D41-9CA6-A172AFDD9C02}"/>
    <cellStyle name="Currency 2 2 3 3 9" xfId="5370" xr:uid="{A07B68EC-E6DE-4BF3-8550-ED3CAA0848EB}"/>
    <cellStyle name="Currency 2 2 3 4" xfId="459" xr:uid="{00000000-0005-0000-0000-0000F2000000}"/>
    <cellStyle name="Currency 2 2 3 4 2" xfId="460" xr:uid="{00000000-0005-0000-0000-0000F3000000}"/>
    <cellStyle name="Currency 2 2 3 4 2 2" xfId="461" xr:uid="{00000000-0005-0000-0000-0000F4000000}"/>
    <cellStyle name="Currency 2 2 3 4 2 2 2" xfId="5795" xr:uid="{5493FD1C-F0C6-41D1-B641-A0D1A60D7F12}"/>
    <cellStyle name="Currency 2 2 3 4 2 3" xfId="462" xr:uid="{00000000-0005-0000-0000-0000F5000000}"/>
    <cellStyle name="Currency 2 2 3 4 2 3 2" xfId="5796" xr:uid="{5DF56206-D6F2-4579-96ED-97F5FC205AC4}"/>
    <cellStyle name="Currency 2 2 3 4 2 4" xfId="5794" xr:uid="{2277DD75-5597-417D-A1C7-01B955A0D5ED}"/>
    <cellStyle name="Currency 2 2 3 4 3" xfId="463" xr:uid="{00000000-0005-0000-0000-0000F6000000}"/>
    <cellStyle name="Currency 2 2 3 4 3 2" xfId="5797" xr:uid="{65722FFE-690E-4752-BF6A-FD7D70A1C61E}"/>
    <cellStyle name="Currency 2 2 3 4 4" xfId="464" xr:uid="{00000000-0005-0000-0000-0000F7000000}"/>
    <cellStyle name="Currency 2 2 3 4 4 2" xfId="5798" xr:uid="{856E41DA-76B6-4AEE-92BB-2E64B9707FA7}"/>
    <cellStyle name="Currency 2 2 3 4 5" xfId="5793" xr:uid="{17F2FC70-5413-4671-9D55-F5E230035539}"/>
    <cellStyle name="Currency 2 2 3 5" xfId="465" xr:uid="{00000000-0005-0000-0000-0000F8000000}"/>
    <cellStyle name="Currency 2 2 3 5 2" xfId="466" xr:uid="{00000000-0005-0000-0000-0000F9000000}"/>
    <cellStyle name="Currency 2 2 3 5 2 2" xfId="467" xr:uid="{00000000-0005-0000-0000-0000FA000000}"/>
    <cellStyle name="Currency 2 2 3 5 2 2 2" xfId="5801" xr:uid="{2F580C23-FCC9-4F98-99EC-64C66F68BAAD}"/>
    <cellStyle name="Currency 2 2 3 5 2 3" xfId="5800" xr:uid="{C9B4DC68-B69F-4054-8580-0A9B41F89994}"/>
    <cellStyle name="Currency 2 2 3 5 3" xfId="468" xr:uid="{00000000-0005-0000-0000-0000FB000000}"/>
    <cellStyle name="Currency 2 2 3 5 3 2" xfId="5802" xr:uid="{F1833C78-B614-446B-8CE1-071A90B6EF0F}"/>
    <cellStyle name="Currency 2 2 3 5 4" xfId="469" xr:uid="{00000000-0005-0000-0000-0000FC000000}"/>
    <cellStyle name="Currency 2 2 3 5 4 2" xfId="5803" xr:uid="{EF72724E-30E3-441A-AE25-AE4A07FCE86C}"/>
    <cellStyle name="Currency 2 2 3 5 5" xfId="5799" xr:uid="{2E1288EB-35EE-4F37-843F-DC58AB11AE93}"/>
    <cellStyle name="Currency 2 2 3 6" xfId="470" xr:uid="{00000000-0005-0000-0000-0000FD000000}"/>
    <cellStyle name="Currency 2 2 3 6 2" xfId="471" xr:uid="{00000000-0005-0000-0000-0000FE000000}"/>
    <cellStyle name="Currency 2 2 3 6 2 2" xfId="5805" xr:uid="{64026F30-4FA4-4DDF-A187-178E0ED33765}"/>
    <cellStyle name="Currency 2 2 3 6 3" xfId="5804" xr:uid="{5295B1F9-2F4B-4017-8093-B29FB7159B9D}"/>
    <cellStyle name="Currency 2 2 3 7" xfId="472" xr:uid="{00000000-0005-0000-0000-0000FF000000}"/>
    <cellStyle name="Currency 2 2 3 7 2" xfId="473" xr:uid="{00000000-0005-0000-0000-000000010000}"/>
    <cellStyle name="Currency 2 2 3 7 2 2" xfId="5807" xr:uid="{5ECAFDD0-689B-4E55-8733-B708B89E8CE5}"/>
    <cellStyle name="Currency 2 2 3 7 3" xfId="5806" xr:uid="{3E770CDE-3F05-4AB7-851C-EAE542B1C2C7}"/>
    <cellStyle name="Currency 2 2 3 8" xfId="474" xr:uid="{00000000-0005-0000-0000-000001010000}"/>
    <cellStyle name="Currency 2 2 3 8 2" xfId="475" xr:uid="{00000000-0005-0000-0000-000002010000}"/>
    <cellStyle name="Currency 2 2 3 8 2 2" xfId="5809" xr:uid="{F21A52A2-5701-484B-996E-F2F467754F90}"/>
    <cellStyle name="Currency 2 2 3 8 3" xfId="5808" xr:uid="{A1BC79ED-92C2-4845-9E0A-DF14A04FA1DB}"/>
    <cellStyle name="Currency 2 2 3 9" xfId="476" xr:uid="{00000000-0005-0000-0000-000003010000}"/>
    <cellStyle name="Currency 2 2 3 9 2" xfId="5810" xr:uid="{E437334A-14BE-4CE2-9DD5-B296451DFAD3}"/>
    <cellStyle name="Currency 2 2 4" xfId="36" xr:uid="{00000000-0005-0000-0000-000004010000}"/>
    <cellStyle name="Currency 2 2 4 10" xfId="5371" xr:uid="{862CE2F9-213A-40DD-BDC6-838C39693C5D}"/>
    <cellStyle name="Currency 2 2 4 2" xfId="37" xr:uid="{00000000-0005-0000-0000-000005010000}"/>
    <cellStyle name="Currency 2 2 4 2 2" xfId="477" xr:uid="{00000000-0005-0000-0000-000006010000}"/>
    <cellStyle name="Currency 2 2 4 2 2 2" xfId="478" xr:uid="{00000000-0005-0000-0000-000007010000}"/>
    <cellStyle name="Currency 2 2 4 2 2 2 2" xfId="479" xr:uid="{00000000-0005-0000-0000-000008010000}"/>
    <cellStyle name="Currency 2 2 4 2 2 2 2 2" xfId="5813" xr:uid="{7887010A-4E28-4053-99BB-15FD0F5A9718}"/>
    <cellStyle name="Currency 2 2 4 2 2 2 3" xfId="480" xr:uid="{00000000-0005-0000-0000-000009010000}"/>
    <cellStyle name="Currency 2 2 4 2 2 2 3 2" xfId="5814" xr:uid="{8593A655-0E92-4372-B935-E18A680E5DB1}"/>
    <cellStyle name="Currency 2 2 4 2 2 2 4" xfId="5812" xr:uid="{6DA28106-7465-4ED2-90A7-5B133B337FF7}"/>
    <cellStyle name="Currency 2 2 4 2 2 3" xfId="481" xr:uid="{00000000-0005-0000-0000-00000A010000}"/>
    <cellStyle name="Currency 2 2 4 2 2 3 2" xfId="5815" xr:uid="{844803C0-38BC-4C25-B883-3EE170648E00}"/>
    <cellStyle name="Currency 2 2 4 2 2 4" xfId="482" xr:uid="{00000000-0005-0000-0000-00000B010000}"/>
    <cellStyle name="Currency 2 2 4 2 2 4 2" xfId="5816" xr:uid="{FB9F7FD1-3DE7-4E5E-9C31-FE5CFFD46E11}"/>
    <cellStyle name="Currency 2 2 4 2 2 5" xfId="5811" xr:uid="{2176D4B1-39D3-4327-B494-A22AE6C96909}"/>
    <cellStyle name="Currency 2 2 4 2 3" xfId="483" xr:uid="{00000000-0005-0000-0000-00000C010000}"/>
    <cellStyle name="Currency 2 2 4 2 3 2" xfId="484" xr:uid="{00000000-0005-0000-0000-00000D010000}"/>
    <cellStyle name="Currency 2 2 4 2 3 2 2" xfId="485" xr:uid="{00000000-0005-0000-0000-00000E010000}"/>
    <cellStyle name="Currency 2 2 4 2 3 2 2 2" xfId="5819" xr:uid="{1BFED653-C470-4298-8590-2C2972F0654B}"/>
    <cellStyle name="Currency 2 2 4 2 3 2 3" xfId="5818" xr:uid="{A3CACB37-F955-4A7D-BA1B-6CDA143CC05A}"/>
    <cellStyle name="Currency 2 2 4 2 3 3" xfId="486" xr:uid="{00000000-0005-0000-0000-00000F010000}"/>
    <cellStyle name="Currency 2 2 4 2 3 3 2" xfId="5820" xr:uid="{66734F04-A308-4688-A3CC-988105FC9AD5}"/>
    <cellStyle name="Currency 2 2 4 2 3 4" xfId="487" xr:uid="{00000000-0005-0000-0000-000010010000}"/>
    <cellStyle name="Currency 2 2 4 2 3 4 2" xfId="5821" xr:uid="{C53AE1E6-052A-4030-847F-E5A6E1DE472A}"/>
    <cellStyle name="Currency 2 2 4 2 3 5" xfId="5817" xr:uid="{37F97044-0864-40B6-85E3-7B6DCBD6FBE4}"/>
    <cellStyle name="Currency 2 2 4 2 4" xfId="488" xr:uid="{00000000-0005-0000-0000-000011010000}"/>
    <cellStyle name="Currency 2 2 4 2 4 2" xfId="489" xr:uid="{00000000-0005-0000-0000-000012010000}"/>
    <cellStyle name="Currency 2 2 4 2 4 2 2" xfId="5823" xr:uid="{0F60E23D-5B88-4DC4-BDCB-8DDB4C52BCED}"/>
    <cellStyle name="Currency 2 2 4 2 4 3" xfId="5822" xr:uid="{8E779424-AEAD-4390-8D91-1CCA6C69C7AC}"/>
    <cellStyle name="Currency 2 2 4 2 5" xfId="490" xr:uid="{00000000-0005-0000-0000-000013010000}"/>
    <cellStyle name="Currency 2 2 4 2 5 2" xfId="491" xr:uid="{00000000-0005-0000-0000-000014010000}"/>
    <cellStyle name="Currency 2 2 4 2 5 2 2" xfId="5825" xr:uid="{13BB2BA1-CD20-43BE-B602-9D31B63BFF84}"/>
    <cellStyle name="Currency 2 2 4 2 5 3" xfId="5824" xr:uid="{9CD4754A-F1B5-4405-944E-A23A1D60C1C0}"/>
    <cellStyle name="Currency 2 2 4 2 6" xfId="492" xr:uid="{00000000-0005-0000-0000-000015010000}"/>
    <cellStyle name="Currency 2 2 4 2 6 2" xfId="493" xr:uid="{00000000-0005-0000-0000-000016010000}"/>
    <cellStyle name="Currency 2 2 4 2 6 2 2" xfId="5827" xr:uid="{0287A6B1-0864-486F-AEAE-5715B32860FD}"/>
    <cellStyle name="Currency 2 2 4 2 6 3" xfId="5826" xr:uid="{6A52DC03-3496-4F69-ABCE-3861BD16DA22}"/>
    <cellStyle name="Currency 2 2 4 2 7" xfId="494" xr:uid="{00000000-0005-0000-0000-000017010000}"/>
    <cellStyle name="Currency 2 2 4 2 7 2" xfId="5828" xr:uid="{B24C6454-A5F9-45C4-A179-928E2DD35AE0}"/>
    <cellStyle name="Currency 2 2 4 2 8" xfId="495" xr:uid="{00000000-0005-0000-0000-000018010000}"/>
    <cellStyle name="Currency 2 2 4 2 8 2" xfId="5829" xr:uid="{E7DBA3F0-365B-459D-BBDC-89E0B7421593}"/>
    <cellStyle name="Currency 2 2 4 2 9" xfId="5372" xr:uid="{80D79C04-5B4F-4E40-B7DE-21569CE66176}"/>
    <cellStyle name="Currency 2 2 4 3" xfId="496" xr:uid="{00000000-0005-0000-0000-000019010000}"/>
    <cellStyle name="Currency 2 2 4 3 2" xfId="497" xr:uid="{00000000-0005-0000-0000-00001A010000}"/>
    <cellStyle name="Currency 2 2 4 3 2 2" xfId="498" xr:uid="{00000000-0005-0000-0000-00001B010000}"/>
    <cellStyle name="Currency 2 2 4 3 2 2 2" xfId="5832" xr:uid="{3359D46B-CF17-4C07-93F7-3CA179DF8FC9}"/>
    <cellStyle name="Currency 2 2 4 3 2 3" xfId="499" xr:uid="{00000000-0005-0000-0000-00001C010000}"/>
    <cellStyle name="Currency 2 2 4 3 2 3 2" xfId="5833" xr:uid="{C9005185-B37F-4E96-B4DB-6C1572341655}"/>
    <cellStyle name="Currency 2 2 4 3 2 4" xfId="5831" xr:uid="{C440D20D-4147-44E2-9720-333642799F94}"/>
    <cellStyle name="Currency 2 2 4 3 3" xfId="500" xr:uid="{00000000-0005-0000-0000-00001D010000}"/>
    <cellStyle name="Currency 2 2 4 3 3 2" xfId="5834" xr:uid="{45C9AAB8-7C42-492D-8D67-0F8D5DA6EFAB}"/>
    <cellStyle name="Currency 2 2 4 3 4" xfId="501" xr:uid="{00000000-0005-0000-0000-00001E010000}"/>
    <cellStyle name="Currency 2 2 4 3 4 2" xfId="5835" xr:uid="{5622D3B1-9ABF-4CDD-AD55-F1CDDD3E8CFD}"/>
    <cellStyle name="Currency 2 2 4 3 5" xfId="5830" xr:uid="{F2813481-DB23-4027-A72B-0C6801FA87EF}"/>
    <cellStyle name="Currency 2 2 4 4" xfId="502" xr:uid="{00000000-0005-0000-0000-00001F010000}"/>
    <cellStyle name="Currency 2 2 4 4 2" xfId="503" xr:uid="{00000000-0005-0000-0000-000020010000}"/>
    <cellStyle name="Currency 2 2 4 4 2 2" xfId="504" xr:uid="{00000000-0005-0000-0000-000021010000}"/>
    <cellStyle name="Currency 2 2 4 4 2 2 2" xfId="5838" xr:uid="{85D44545-3B4E-41D3-BE92-52C8610E1509}"/>
    <cellStyle name="Currency 2 2 4 4 2 3" xfId="5837" xr:uid="{0B29FCCE-06BD-4D38-94CF-446A7BDAF29F}"/>
    <cellStyle name="Currency 2 2 4 4 3" xfId="505" xr:uid="{00000000-0005-0000-0000-000022010000}"/>
    <cellStyle name="Currency 2 2 4 4 3 2" xfId="5839" xr:uid="{69130D4C-E182-4B61-A366-E6C49C1B13AE}"/>
    <cellStyle name="Currency 2 2 4 4 4" xfId="506" xr:uid="{00000000-0005-0000-0000-000023010000}"/>
    <cellStyle name="Currency 2 2 4 4 4 2" xfId="5840" xr:uid="{C3680B7C-6018-4E20-AEB1-63494896494A}"/>
    <cellStyle name="Currency 2 2 4 4 5" xfId="5836" xr:uid="{1AE7C291-5866-4FF1-808E-30816D618D7B}"/>
    <cellStyle name="Currency 2 2 4 5" xfId="507" xr:uid="{00000000-0005-0000-0000-000024010000}"/>
    <cellStyle name="Currency 2 2 4 5 2" xfId="508" xr:uid="{00000000-0005-0000-0000-000025010000}"/>
    <cellStyle name="Currency 2 2 4 5 2 2" xfId="5842" xr:uid="{6818E291-9243-4184-9009-30AD63F67297}"/>
    <cellStyle name="Currency 2 2 4 5 3" xfId="5841" xr:uid="{11DF573B-5EF2-412B-944C-0367DF12A97E}"/>
    <cellStyle name="Currency 2 2 4 6" xfId="509" xr:uid="{00000000-0005-0000-0000-000026010000}"/>
    <cellStyle name="Currency 2 2 4 6 2" xfId="510" xr:uid="{00000000-0005-0000-0000-000027010000}"/>
    <cellStyle name="Currency 2 2 4 6 2 2" xfId="5844" xr:uid="{F88E86C5-6018-417C-AC50-A2719CAE98FA}"/>
    <cellStyle name="Currency 2 2 4 6 3" xfId="5843" xr:uid="{F5614547-C877-43D7-95ED-07FE2ADC71DE}"/>
    <cellStyle name="Currency 2 2 4 7" xfId="511" xr:uid="{00000000-0005-0000-0000-000028010000}"/>
    <cellStyle name="Currency 2 2 4 7 2" xfId="512" xr:uid="{00000000-0005-0000-0000-000029010000}"/>
    <cellStyle name="Currency 2 2 4 7 2 2" xfId="5846" xr:uid="{629397FD-937F-4AB8-B455-B9D62EFE18EB}"/>
    <cellStyle name="Currency 2 2 4 7 3" xfId="5845" xr:uid="{2C209CC9-1A23-4F91-870D-9D65B1480FE4}"/>
    <cellStyle name="Currency 2 2 4 8" xfId="513" xr:uid="{00000000-0005-0000-0000-00002A010000}"/>
    <cellStyle name="Currency 2 2 4 8 2" xfId="5847" xr:uid="{B7BF3055-67DF-419C-B585-31A1CD13A763}"/>
    <cellStyle name="Currency 2 2 4 9" xfId="514" xr:uid="{00000000-0005-0000-0000-00002B010000}"/>
    <cellStyle name="Currency 2 2 4 9 2" xfId="5848" xr:uid="{66F22408-39D1-4EA0-8B52-E9BD118F0C1A}"/>
    <cellStyle name="Currency 2 2 5" xfId="38" xr:uid="{00000000-0005-0000-0000-00002C010000}"/>
    <cellStyle name="Currency 2 2 5 10" xfId="5373" xr:uid="{8E3645B4-BD6A-488E-93B1-8238DB584465}"/>
    <cellStyle name="Currency 2 2 5 2" xfId="515" xr:uid="{00000000-0005-0000-0000-00002D010000}"/>
    <cellStyle name="Currency 2 2 5 2 2" xfId="516" xr:uid="{00000000-0005-0000-0000-00002E010000}"/>
    <cellStyle name="Currency 2 2 5 2 2 2" xfId="517" xr:uid="{00000000-0005-0000-0000-00002F010000}"/>
    <cellStyle name="Currency 2 2 5 2 2 2 2" xfId="518" xr:uid="{00000000-0005-0000-0000-000030010000}"/>
    <cellStyle name="Currency 2 2 5 2 2 2 2 2" xfId="5852" xr:uid="{4B5AB950-494F-4716-9E1C-E8AE3087776F}"/>
    <cellStyle name="Currency 2 2 5 2 2 2 3" xfId="519" xr:uid="{00000000-0005-0000-0000-000031010000}"/>
    <cellStyle name="Currency 2 2 5 2 2 2 3 2" xfId="5853" xr:uid="{B2AB3916-52B2-4A55-8436-E93254DA8691}"/>
    <cellStyle name="Currency 2 2 5 2 2 2 4" xfId="5851" xr:uid="{2B216DD5-EA76-4863-9F00-36E202C292B0}"/>
    <cellStyle name="Currency 2 2 5 2 2 3" xfId="520" xr:uid="{00000000-0005-0000-0000-000032010000}"/>
    <cellStyle name="Currency 2 2 5 2 2 3 2" xfId="5854" xr:uid="{527622F0-8D30-4C26-B230-FBB7F83FA31A}"/>
    <cellStyle name="Currency 2 2 5 2 2 4" xfId="521" xr:uid="{00000000-0005-0000-0000-000033010000}"/>
    <cellStyle name="Currency 2 2 5 2 2 4 2" xfId="5855" xr:uid="{41C687A2-5DD0-4A90-A9A6-29D116916E67}"/>
    <cellStyle name="Currency 2 2 5 2 2 5" xfId="5850" xr:uid="{63D0DF60-6EB4-4C40-8AA5-17AE117A2B73}"/>
    <cellStyle name="Currency 2 2 5 2 3" xfId="522" xr:uid="{00000000-0005-0000-0000-000034010000}"/>
    <cellStyle name="Currency 2 2 5 2 3 2" xfId="523" xr:uid="{00000000-0005-0000-0000-000035010000}"/>
    <cellStyle name="Currency 2 2 5 2 3 2 2" xfId="524" xr:uid="{00000000-0005-0000-0000-000036010000}"/>
    <cellStyle name="Currency 2 2 5 2 3 2 2 2" xfId="5858" xr:uid="{CA4340D0-98B0-4212-A593-02DE1A89B553}"/>
    <cellStyle name="Currency 2 2 5 2 3 2 3" xfId="5857" xr:uid="{2D99CF89-400F-4E14-A7F8-BA137C80651A}"/>
    <cellStyle name="Currency 2 2 5 2 3 3" xfId="525" xr:uid="{00000000-0005-0000-0000-000037010000}"/>
    <cellStyle name="Currency 2 2 5 2 3 3 2" xfId="5859" xr:uid="{3B070F9F-AC9B-4799-AACA-1CE9ADD37541}"/>
    <cellStyle name="Currency 2 2 5 2 3 4" xfId="526" xr:uid="{00000000-0005-0000-0000-000038010000}"/>
    <cellStyle name="Currency 2 2 5 2 3 4 2" xfId="5860" xr:uid="{440B7363-F988-4B9B-9AE3-BF1BE1A59A90}"/>
    <cellStyle name="Currency 2 2 5 2 3 5" xfId="5856" xr:uid="{B14D3768-6299-42C5-A90C-C698AE9BA3BD}"/>
    <cellStyle name="Currency 2 2 5 2 4" xfId="527" xr:uid="{00000000-0005-0000-0000-000039010000}"/>
    <cellStyle name="Currency 2 2 5 2 4 2" xfId="528" xr:uid="{00000000-0005-0000-0000-00003A010000}"/>
    <cellStyle name="Currency 2 2 5 2 4 2 2" xfId="5862" xr:uid="{E335EBBA-93F1-4FCD-A72F-9023680A65E4}"/>
    <cellStyle name="Currency 2 2 5 2 4 3" xfId="5861" xr:uid="{52B24E49-6F3A-463D-AE40-BE897D65D849}"/>
    <cellStyle name="Currency 2 2 5 2 5" xfId="529" xr:uid="{00000000-0005-0000-0000-00003B010000}"/>
    <cellStyle name="Currency 2 2 5 2 5 2" xfId="5863" xr:uid="{BB1B677F-DAD0-43FE-B350-B2B0080F3974}"/>
    <cellStyle name="Currency 2 2 5 2 6" xfId="530" xr:uid="{00000000-0005-0000-0000-00003C010000}"/>
    <cellStyle name="Currency 2 2 5 2 6 2" xfId="5864" xr:uid="{9ACE5BA1-79A9-410F-A8C7-D6345EA60746}"/>
    <cellStyle name="Currency 2 2 5 2 7" xfId="5849" xr:uid="{CD12601D-9F0A-4888-AFBC-E74237B90AFC}"/>
    <cellStyle name="Currency 2 2 5 3" xfId="531" xr:uid="{00000000-0005-0000-0000-00003D010000}"/>
    <cellStyle name="Currency 2 2 5 3 2" xfId="532" xr:uid="{00000000-0005-0000-0000-00003E010000}"/>
    <cellStyle name="Currency 2 2 5 3 2 2" xfId="533" xr:uid="{00000000-0005-0000-0000-00003F010000}"/>
    <cellStyle name="Currency 2 2 5 3 2 2 2" xfId="5867" xr:uid="{8126F9C5-1EF2-40AB-BA67-442A1B06965F}"/>
    <cellStyle name="Currency 2 2 5 3 2 3" xfId="534" xr:uid="{00000000-0005-0000-0000-000040010000}"/>
    <cellStyle name="Currency 2 2 5 3 2 3 2" xfId="5868" xr:uid="{5913EB92-BCE4-4B2F-BF05-2ED488AA7131}"/>
    <cellStyle name="Currency 2 2 5 3 2 4" xfId="5866" xr:uid="{D7AB28C0-5F45-4518-B0CF-4DD829585671}"/>
    <cellStyle name="Currency 2 2 5 3 3" xfId="535" xr:uid="{00000000-0005-0000-0000-000041010000}"/>
    <cellStyle name="Currency 2 2 5 3 3 2" xfId="5869" xr:uid="{26AADDC5-14AE-4099-9AB7-CF0CD900E9DF}"/>
    <cellStyle name="Currency 2 2 5 3 4" xfId="536" xr:uid="{00000000-0005-0000-0000-000042010000}"/>
    <cellStyle name="Currency 2 2 5 3 4 2" xfId="5870" xr:uid="{94C7D46F-F54B-46E3-806E-B27CF7C6B07B}"/>
    <cellStyle name="Currency 2 2 5 3 5" xfId="5865" xr:uid="{E7A20905-B3E0-48F3-BC7F-DE8C4102B676}"/>
    <cellStyle name="Currency 2 2 5 4" xfId="537" xr:uid="{00000000-0005-0000-0000-000043010000}"/>
    <cellStyle name="Currency 2 2 5 4 2" xfId="538" xr:uid="{00000000-0005-0000-0000-000044010000}"/>
    <cellStyle name="Currency 2 2 5 4 2 2" xfId="539" xr:uid="{00000000-0005-0000-0000-000045010000}"/>
    <cellStyle name="Currency 2 2 5 4 2 2 2" xfId="5873" xr:uid="{D551B3D3-8168-4CC8-AE1E-E32D13C7DE4A}"/>
    <cellStyle name="Currency 2 2 5 4 2 3" xfId="5872" xr:uid="{A14FC8CD-9D6F-4A01-8E36-06BCCEBBEA07}"/>
    <cellStyle name="Currency 2 2 5 4 3" xfId="540" xr:uid="{00000000-0005-0000-0000-000046010000}"/>
    <cellStyle name="Currency 2 2 5 4 3 2" xfId="5874" xr:uid="{B86E917A-65D9-484C-B7D5-B690AA7414A9}"/>
    <cellStyle name="Currency 2 2 5 4 4" xfId="541" xr:uid="{00000000-0005-0000-0000-000047010000}"/>
    <cellStyle name="Currency 2 2 5 4 4 2" xfId="5875" xr:uid="{A4C0A834-7239-4CBA-A5DE-0FE444560F0A}"/>
    <cellStyle name="Currency 2 2 5 4 5" xfId="5871" xr:uid="{341F9EB4-A415-4B5B-A467-A52699BCB7CC}"/>
    <cellStyle name="Currency 2 2 5 5" xfId="542" xr:uid="{00000000-0005-0000-0000-000048010000}"/>
    <cellStyle name="Currency 2 2 5 5 2" xfId="543" xr:uid="{00000000-0005-0000-0000-000049010000}"/>
    <cellStyle name="Currency 2 2 5 5 2 2" xfId="5877" xr:uid="{71DE39BD-0070-4DAD-818B-F3901D2681BC}"/>
    <cellStyle name="Currency 2 2 5 5 3" xfId="5876" xr:uid="{DF7EB814-525C-4966-A213-D4EA1B9C3B18}"/>
    <cellStyle name="Currency 2 2 5 6" xfId="544" xr:uid="{00000000-0005-0000-0000-00004A010000}"/>
    <cellStyle name="Currency 2 2 5 6 2" xfId="545" xr:uid="{00000000-0005-0000-0000-00004B010000}"/>
    <cellStyle name="Currency 2 2 5 6 2 2" xfId="5879" xr:uid="{EBFF530A-8F8C-45F2-9F12-807C3966BF73}"/>
    <cellStyle name="Currency 2 2 5 6 3" xfId="5878" xr:uid="{21867A39-7F49-426B-A9DB-2FC677A556FC}"/>
    <cellStyle name="Currency 2 2 5 7" xfId="546" xr:uid="{00000000-0005-0000-0000-00004C010000}"/>
    <cellStyle name="Currency 2 2 5 7 2" xfId="547" xr:uid="{00000000-0005-0000-0000-00004D010000}"/>
    <cellStyle name="Currency 2 2 5 7 2 2" xfId="5881" xr:uid="{BDFA6997-9662-47BD-8C6F-240985887855}"/>
    <cellStyle name="Currency 2 2 5 7 3" xfId="5880" xr:uid="{76DB49E3-DE35-4C6F-A444-6C289BFC0EF5}"/>
    <cellStyle name="Currency 2 2 5 8" xfId="548" xr:uid="{00000000-0005-0000-0000-00004E010000}"/>
    <cellStyle name="Currency 2 2 5 8 2" xfId="5882" xr:uid="{B1B3EAF6-1080-4C30-9C06-320E36CF5EEA}"/>
    <cellStyle name="Currency 2 2 5 9" xfId="549" xr:uid="{00000000-0005-0000-0000-00004F010000}"/>
    <cellStyle name="Currency 2 2 5 9 2" xfId="5883" xr:uid="{FDDF81F4-97D4-487F-96AA-C08493FA080A}"/>
    <cellStyle name="Currency 2 2 6" xfId="550" xr:uid="{00000000-0005-0000-0000-000050010000}"/>
    <cellStyle name="Currency 2 2 6 2" xfId="551" xr:uid="{00000000-0005-0000-0000-000051010000}"/>
    <cellStyle name="Currency 2 2 6 2 2" xfId="552" xr:uid="{00000000-0005-0000-0000-000052010000}"/>
    <cellStyle name="Currency 2 2 6 2 2 2" xfId="553" xr:uid="{00000000-0005-0000-0000-000053010000}"/>
    <cellStyle name="Currency 2 2 6 2 2 2 2" xfId="5887" xr:uid="{12346628-ABE6-4B7C-ADB0-7563F35B31A4}"/>
    <cellStyle name="Currency 2 2 6 2 2 3" xfId="554" xr:uid="{00000000-0005-0000-0000-000054010000}"/>
    <cellStyle name="Currency 2 2 6 2 2 3 2" xfId="5888" xr:uid="{94996348-D383-4A9B-9EA1-BF048F35D886}"/>
    <cellStyle name="Currency 2 2 6 2 2 4" xfId="5886" xr:uid="{5931792E-2D57-408F-BFC1-C0DD0CB59C5F}"/>
    <cellStyle name="Currency 2 2 6 2 3" xfId="555" xr:uid="{00000000-0005-0000-0000-000055010000}"/>
    <cellStyle name="Currency 2 2 6 2 3 2" xfId="5889" xr:uid="{F3B175BE-D60A-4DCE-B1C5-D1A73BDC6AAF}"/>
    <cellStyle name="Currency 2 2 6 2 4" xfId="556" xr:uid="{00000000-0005-0000-0000-000056010000}"/>
    <cellStyle name="Currency 2 2 6 2 4 2" xfId="5890" xr:uid="{449A8A7A-8FCA-44E7-8C73-6061C35CD8DF}"/>
    <cellStyle name="Currency 2 2 6 2 5" xfId="5885" xr:uid="{32CCC9FD-FE78-4CD2-89E9-8B4D2A868DA7}"/>
    <cellStyle name="Currency 2 2 6 3" xfId="557" xr:uid="{00000000-0005-0000-0000-000057010000}"/>
    <cellStyle name="Currency 2 2 6 3 2" xfId="558" xr:uid="{00000000-0005-0000-0000-000058010000}"/>
    <cellStyle name="Currency 2 2 6 3 2 2" xfId="559" xr:uid="{00000000-0005-0000-0000-000059010000}"/>
    <cellStyle name="Currency 2 2 6 3 2 2 2" xfId="5893" xr:uid="{742CF6DC-99EB-4EF7-A0B8-494DBE78FF55}"/>
    <cellStyle name="Currency 2 2 6 3 2 3" xfId="5892" xr:uid="{E4D6B82F-062E-464A-92AB-DC990457FFB9}"/>
    <cellStyle name="Currency 2 2 6 3 3" xfId="560" xr:uid="{00000000-0005-0000-0000-00005A010000}"/>
    <cellStyle name="Currency 2 2 6 3 3 2" xfId="5894" xr:uid="{9BF8C438-3253-4ED9-AC60-D4AFD3031A96}"/>
    <cellStyle name="Currency 2 2 6 3 4" xfId="561" xr:uid="{00000000-0005-0000-0000-00005B010000}"/>
    <cellStyle name="Currency 2 2 6 3 4 2" xfId="5895" xr:uid="{6BF3B97C-ADD3-458F-8CA4-8C0E857E3D7A}"/>
    <cellStyle name="Currency 2 2 6 3 5" xfId="5891" xr:uid="{7113C5FA-151D-455C-8F74-71C8EC838D79}"/>
    <cellStyle name="Currency 2 2 6 4" xfId="562" xr:uid="{00000000-0005-0000-0000-00005C010000}"/>
    <cellStyle name="Currency 2 2 6 4 2" xfId="563" xr:uid="{00000000-0005-0000-0000-00005D010000}"/>
    <cellStyle name="Currency 2 2 6 4 2 2" xfId="5897" xr:uid="{801D621A-5148-4724-96FE-65245FD6FCEC}"/>
    <cellStyle name="Currency 2 2 6 4 3" xfId="5896" xr:uid="{39F2D0EB-166A-4B8B-84FE-DB36A0CC203D}"/>
    <cellStyle name="Currency 2 2 6 5" xfId="564" xr:uid="{00000000-0005-0000-0000-00005E010000}"/>
    <cellStyle name="Currency 2 2 6 5 2" xfId="5898" xr:uid="{440DF273-1DE0-4FA2-B1CB-1F03919E5786}"/>
    <cellStyle name="Currency 2 2 6 6" xfId="565" xr:uid="{00000000-0005-0000-0000-00005F010000}"/>
    <cellStyle name="Currency 2 2 6 6 2" xfId="5899" xr:uid="{2175A271-7625-46AC-8256-D5CBD7F329D3}"/>
    <cellStyle name="Currency 2 2 6 7" xfId="5884" xr:uid="{01EE5B63-C683-478D-82C7-629D764727C4}"/>
    <cellStyle name="Currency 2 2 7" xfId="566" xr:uid="{00000000-0005-0000-0000-000060010000}"/>
    <cellStyle name="Currency 2 2 7 2" xfId="567" xr:uid="{00000000-0005-0000-0000-000061010000}"/>
    <cellStyle name="Currency 2 2 7 2 2" xfId="568" xr:uid="{00000000-0005-0000-0000-000062010000}"/>
    <cellStyle name="Currency 2 2 7 2 2 2" xfId="5902" xr:uid="{6316348E-6391-441F-8019-3B1CAB1CC222}"/>
    <cellStyle name="Currency 2 2 7 2 3" xfId="569" xr:uid="{00000000-0005-0000-0000-000063010000}"/>
    <cellStyle name="Currency 2 2 7 2 3 2" xfId="5903" xr:uid="{AFA6F7AB-3A76-4582-A650-7048DCDC10C4}"/>
    <cellStyle name="Currency 2 2 7 2 4" xfId="5901" xr:uid="{CD704C10-C5F7-4A86-B306-7ABB69D12595}"/>
    <cellStyle name="Currency 2 2 7 3" xfId="570" xr:uid="{00000000-0005-0000-0000-000064010000}"/>
    <cellStyle name="Currency 2 2 7 3 2" xfId="571" xr:uid="{00000000-0005-0000-0000-000065010000}"/>
    <cellStyle name="Currency 2 2 7 3 2 2" xfId="5905" xr:uid="{A19AEC17-136C-42E2-BAD2-75BF72E744D6}"/>
    <cellStyle name="Currency 2 2 7 3 3" xfId="5904" xr:uid="{29BD82E4-97A4-4A9F-83BD-9DFFF5620A6B}"/>
    <cellStyle name="Currency 2 2 7 4" xfId="572" xr:uid="{00000000-0005-0000-0000-000066010000}"/>
    <cellStyle name="Currency 2 2 7 4 2" xfId="5906" xr:uid="{270B5648-FCA7-455A-9B5F-6F4C3CC34B9E}"/>
    <cellStyle name="Currency 2 2 7 5" xfId="5900" xr:uid="{F84ACC27-5DEB-481A-A192-D10AF38917D8}"/>
    <cellStyle name="Currency 2 2 8" xfId="573" xr:uid="{00000000-0005-0000-0000-000067010000}"/>
    <cellStyle name="Currency 2 2 8 2" xfId="574" xr:uid="{00000000-0005-0000-0000-000068010000}"/>
    <cellStyle name="Currency 2 2 8 2 2" xfId="575" xr:uid="{00000000-0005-0000-0000-000069010000}"/>
    <cellStyle name="Currency 2 2 8 2 2 2" xfId="5909" xr:uid="{D0C3EA74-DB25-48C7-A828-92253806E8FD}"/>
    <cellStyle name="Currency 2 2 8 2 3" xfId="5908" xr:uid="{2D2DD336-5925-4E95-B6A3-F2A86844F33A}"/>
    <cellStyle name="Currency 2 2 8 3" xfId="576" xr:uid="{00000000-0005-0000-0000-00006A010000}"/>
    <cellStyle name="Currency 2 2 8 3 2" xfId="5910" xr:uid="{23A2E6DB-10F4-45C1-A063-4CFA395827F1}"/>
    <cellStyle name="Currency 2 2 8 4" xfId="577" xr:uid="{00000000-0005-0000-0000-00006B010000}"/>
    <cellStyle name="Currency 2 2 8 4 2" xfId="5911" xr:uid="{2F9FEE16-687D-4E17-9FE4-D0F000053FD2}"/>
    <cellStyle name="Currency 2 2 8 5" xfId="5907" xr:uid="{ECB03089-A7FC-4E91-8EF2-3DC0395050D7}"/>
    <cellStyle name="Currency 2 2 9" xfId="578" xr:uid="{00000000-0005-0000-0000-00006C010000}"/>
    <cellStyle name="Currency 2 2 9 2" xfId="579" xr:uid="{00000000-0005-0000-0000-00006D010000}"/>
    <cellStyle name="Currency 2 2 9 2 2" xfId="5913" xr:uid="{74C986D3-F6E1-4DFE-AAB9-5A26E6931C70}"/>
    <cellStyle name="Currency 2 2 9 3" xfId="580" xr:uid="{00000000-0005-0000-0000-00006E010000}"/>
    <cellStyle name="Currency 2 2 9 3 2" xfId="5914" xr:uid="{DA0BDAA5-EF3B-4E79-AEFA-F79A0E43D090}"/>
    <cellStyle name="Currency 2 2 9 4" xfId="5912" xr:uid="{5BA500A1-2A82-40FF-BF30-1AE7B9013EA5}"/>
    <cellStyle name="Currency 2 3" xfId="39" xr:uid="{00000000-0005-0000-0000-00006F010000}"/>
    <cellStyle name="Currency 2 3 10" xfId="581" xr:uid="{00000000-0005-0000-0000-000070010000}"/>
    <cellStyle name="Currency 2 3 10 2" xfId="582" xr:uid="{00000000-0005-0000-0000-000071010000}"/>
    <cellStyle name="Currency 2 3 10 2 2" xfId="5916" xr:uid="{20EC8DFE-CE81-4FC1-AFBF-70D9493F14E1}"/>
    <cellStyle name="Currency 2 3 10 3" xfId="5915" xr:uid="{A4F490D5-A7DB-4D9B-9899-C2825047B6BE}"/>
    <cellStyle name="Currency 2 3 11" xfId="583" xr:uid="{00000000-0005-0000-0000-000072010000}"/>
    <cellStyle name="Currency 2 3 11 2" xfId="5917" xr:uid="{88BCBB27-6259-443B-9177-588357F876C0}"/>
    <cellStyle name="Currency 2 3 12" xfId="584" xr:uid="{00000000-0005-0000-0000-000073010000}"/>
    <cellStyle name="Currency 2 3 12 2" xfId="5918" xr:uid="{DAB262FA-CF13-4F0A-924B-77DB35999766}"/>
    <cellStyle name="Currency 2 3 13" xfId="5374" xr:uid="{4118541E-18AC-4CC8-9353-3D90C349B6C7}"/>
    <cellStyle name="Currency 2 3 2" xfId="40" xr:uid="{00000000-0005-0000-0000-000074010000}"/>
    <cellStyle name="Currency 2 3 2 10" xfId="585" xr:uid="{00000000-0005-0000-0000-000075010000}"/>
    <cellStyle name="Currency 2 3 2 10 2" xfId="5919" xr:uid="{B50B1E00-D115-4065-8AC0-E610C50E4802}"/>
    <cellStyle name="Currency 2 3 2 11" xfId="5375" xr:uid="{D069945A-333E-43C6-925F-B3D2560D8286}"/>
    <cellStyle name="Currency 2 3 2 2" xfId="41" xr:uid="{00000000-0005-0000-0000-000076010000}"/>
    <cellStyle name="Currency 2 3 2 2 10" xfId="5376" xr:uid="{AF06A774-4BC2-4A43-B5FB-52A4AD3E8031}"/>
    <cellStyle name="Currency 2 3 2 2 2" xfId="42" xr:uid="{00000000-0005-0000-0000-000077010000}"/>
    <cellStyle name="Currency 2 3 2 2 2 2" xfId="586" xr:uid="{00000000-0005-0000-0000-000078010000}"/>
    <cellStyle name="Currency 2 3 2 2 2 2 2" xfId="587" xr:uid="{00000000-0005-0000-0000-000079010000}"/>
    <cellStyle name="Currency 2 3 2 2 2 2 2 2" xfId="588" xr:uid="{00000000-0005-0000-0000-00007A010000}"/>
    <cellStyle name="Currency 2 3 2 2 2 2 2 2 2" xfId="5922" xr:uid="{C0060C65-1625-46B2-9397-0EE9DD78A43C}"/>
    <cellStyle name="Currency 2 3 2 2 2 2 2 3" xfId="589" xr:uid="{00000000-0005-0000-0000-00007B010000}"/>
    <cellStyle name="Currency 2 3 2 2 2 2 2 3 2" xfId="5923" xr:uid="{44A62826-0B49-4D61-8B9D-D552440A644E}"/>
    <cellStyle name="Currency 2 3 2 2 2 2 2 4" xfId="5921" xr:uid="{40682FDD-5B39-4431-A987-E7B5A93C0E38}"/>
    <cellStyle name="Currency 2 3 2 2 2 2 3" xfId="590" xr:uid="{00000000-0005-0000-0000-00007C010000}"/>
    <cellStyle name="Currency 2 3 2 2 2 2 3 2" xfId="5924" xr:uid="{39F95D7E-6E16-450E-9306-CCF2D8146EED}"/>
    <cellStyle name="Currency 2 3 2 2 2 2 4" xfId="591" xr:uid="{00000000-0005-0000-0000-00007D010000}"/>
    <cellStyle name="Currency 2 3 2 2 2 2 4 2" xfId="5925" xr:uid="{0B584020-8FB1-428F-B329-DBAC0EC6F265}"/>
    <cellStyle name="Currency 2 3 2 2 2 2 5" xfId="5920" xr:uid="{134082E5-12EE-400E-A0D1-178910B104DC}"/>
    <cellStyle name="Currency 2 3 2 2 2 3" xfId="592" xr:uid="{00000000-0005-0000-0000-00007E010000}"/>
    <cellStyle name="Currency 2 3 2 2 2 3 2" xfId="593" xr:uid="{00000000-0005-0000-0000-00007F010000}"/>
    <cellStyle name="Currency 2 3 2 2 2 3 2 2" xfId="594" xr:uid="{00000000-0005-0000-0000-000080010000}"/>
    <cellStyle name="Currency 2 3 2 2 2 3 2 2 2" xfId="5928" xr:uid="{040FF6F5-41BB-45C6-B102-B27E1F26B12E}"/>
    <cellStyle name="Currency 2 3 2 2 2 3 2 3" xfId="5927" xr:uid="{34037453-6591-484D-A0AC-CD4943C01254}"/>
    <cellStyle name="Currency 2 3 2 2 2 3 3" xfId="595" xr:uid="{00000000-0005-0000-0000-000081010000}"/>
    <cellStyle name="Currency 2 3 2 2 2 3 3 2" xfId="5929" xr:uid="{AB92F80E-BE98-4BF3-9C3F-DF4E8CE742BE}"/>
    <cellStyle name="Currency 2 3 2 2 2 3 4" xfId="596" xr:uid="{00000000-0005-0000-0000-000082010000}"/>
    <cellStyle name="Currency 2 3 2 2 2 3 4 2" xfId="5930" xr:uid="{2B05C070-C4C7-4CB8-BF20-C798E03199EB}"/>
    <cellStyle name="Currency 2 3 2 2 2 3 5" xfId="5926" xr:uid="{40E73FC4-8D4F-479E-B27B-B04A7EAF2418}"/>
    <cellStyle name="Currency 2 3 2 2 2 4" xfId="597" xr:uid="{00000000-0005-0000-0000-000083010000}"/>
    <cellStyle name="Currency 2 3 2 2 2 4 2" xfId="598" xr:uid="{00000000-0005-0000-0000-000084010000}"/>
    <cellStyle name="Currency 2 3 2 2 2 4 2 2" xfId="5932" xr:uid="{22CF0976-63D7-4FCC-B78A-5B59FF54995B}"/>
    <cellStyle name="Currency 2 3 2 2 2 4 3" xfId="5931" xr:uid="{D3E484B9-266C-4C5C-BE5A-ED6DC93EB468}"/>
    <cellStyle name="Currency 2 3 2 2 2 5" xfId="599" xr:uid="{00000000-0005-0000-0000-000085010000}"/>
    <cellStyle name="Currency 2 3 2 2 2 5 2" xfId="600" xr:uid="{00000000-0005-0000-0000-000086010000}"/>
    <cellStyle name="Currency 2 3 2 2 2 5 2 2" xfId="5934" xr:uid="{5F5A6E47-401A-48B1-B700-8B9E4005A957}"/>
    <cellStyle name="Currency 2 3 2 2 2 5 3" xfId="5933" xr:uid="{4DC0F263-2875-41B7-9E83-F086ABB596DD}"/>
    <cellStyle name="Currency 2 3 2 2 2 6" xfId="601" xr:uid="{00000000-0005-0000-0000-000087010000}"/>
    <cellStyle name="Currency 2 3 2 2 2 6 2" xfId="602" xr:uid="{00000000-0005-0000-0000-000088010000}"/>
    <cellStyle name="Currency 2 3 2 2 2 6 2 2" xfId="5936" xr:uid="{E2100086-966F-4C50-8F02-5C2107CD8B9C}"/>
    <cellStyle name="Currency 2 3 2 2 2 6 3" xfId="5935" xr:uid="{372C3F2F-F6E3-49FE-A99F-5B3E2A26461C}"/>
    <cellStyle name="Currency 2 3 2 2 2 7" xfId="603" xr:uid="{00000000-0005-0000-0000-000089010000}"/>
    <cellStyle name="Currency 2 3 2 2 2 7 2" xfId="5937" xr:uid="{D74C2BB3-541A-442E-A981-49AE5D7C2A27}"/>
    <cellStyle name="Currency 2 3 2 2 2 8" xfId="604" xr:uid="{00000000-0005-0000-0000-00008A010000}"/>
    <cellStyle name="Currency 2 3 2 2 2 8 2" xfId="5938" xr:uid="{3939E3E8-2B84-4432-9FBF-A7B4759A045F}"/>
    <cellStyle name="Currency 2 3 2 2 2 9" xfId="5377" xr:uid="{C48F47F8-A04F-4266-90FE-217F401CF252}"/>
    <cellStyle name="Currency 2 3 2 2 3" xfId="605" xr:uid="{00000000-0005-0000-0000-00008B010000}"/>
    <cellStyle name="Currency 2 3 2 2 3 2" xfId="606" xr:uid="{00000000-0005-0000-0000-00008C010000}"/>
    <cellStyle name="Currency 2 3 2 2 3 2 2" xfId="607" xr:uid="{00000000-0005-0000-0000-00008D010000}"/>
    <cellStyle name="Currency 2 3 2 2 3 2 2 2" xfId="5941" xr:uid="{E97DE3DE-09D4-44C7-8FE8-4A31FCFD8EB8}"/>
    <cellStyle name="Currency 2 3 2 2 3 2 3" xfId="608" xr:uid="{00000000-0005-0000-0000-00008E010000}"/>
    <cellStyle name="Currency 2 3 2 2 3 2 3 2" xfId="5942" xr:uid="{36DA084B-5A69-483D-92AA-08477F2EE197}"/>
    <cellStyle name="Currency 2 3 2 2 3 2 4" xfId="5940" xr:uid="{4D712DBB-79A0-4075-ADC8-5A084A15FDBE}"/>
    <cellStyle name="Currency 2 3 2 2 3 3" xfId="609" xr:uid="{00000000-0005-0000-0000-00008F010000}"/>
    <cellStyle name="Currency 2 3 2 2 3 3 2" xfId="5943" xr:uid="{90965D09-5984-47A5-84A9-D794CBACD558}"/>
    <cellStyle name="Currency 2 3 2 2 3 4" xfId="610" xr:uid="{00000000-0005-0000-0000-000090010000}"/>
    <cellStyle name="Currency 2 3 2 2 3 4 2" xfId="5944" xr:uid="{0357ADFF-AB2B-4EB2-85F8-CC0C14AD86E7}"/>
    <cellStyle name="Currency 2 3 2 2 3 5" xfId="5939" xr:uid="{58C3A8F6-F370-465F-BCDA-439259A6EA48}"/>
    <cellStyle name="Currency 2 3 2 2 4" xfId="611" xr:uid="{00000000-0005-0000-0000-000091010000}"/>
    <cellStyle name="Currency 2 3 2 2 4 2" xfId="612" xr:uid="{00000000-0005-0000-0000-000092010000}"/>
    <cellStyle name="Currency 2 3 2 2 4 2 2" xfId="613" xr:uid="{00000000-0005-0000-0000-000093010000}"/>
    <cellStyle name="Currency 2 3 2 2 4 2 2 2" xfId="5947" xr:uid="{91F85257-65FF-4EE7-AD89-D3FA0CE92998}"/>
    <cellStyle name="Currency 2 3 2 2 4 2 3" xfId="5946" xr:uid="{A71ABD91-86CC-4082-B8C6-C896166784B1}"/>
    <cellStyle name="Currency 2 3 2 2 4 3" xfId="614" xr:uid="{00000000-0005-0000-0000-000094010000}"/>
    <cellStyle name="Currency 2 3 2 2 4 3 2" xfId="5948" xr:uid="{DC0E7F1C-2762-47DC-9D63-6244F85CDC6A}"/>
    <cellStyle name="Currency 2 3 2 2 4 4" xfId="615" xr:uid="{00000000-0005-0000-0000-000095010000}"/>
    <cellStyle name="Currency 2 3 2 2 4 4 2" xfId="5949" xr:uid="{4123E4A0-1F2E-4FAB-9ADF-C1DECE58B7A4}"/>
    <cellStyle name="Currency 2 3 2 2 4 5" xfId="5945" xr:uid="{0731FEF2-9322-443E-9433-AED12EB3BB7C}"/>
    <cellStyle name="Currency 2 3 2 2 5" xfId="616" xr:uid="{00000000-0005-0000-0000-000096010000}"/>
    <cellStyle name="Currency 2 3 2 2 5 2" xfId="617" xr:uid="{00000000-0005-0000-0000-000097010000}"/>
    <cellStyle name="Currency 2 3 2 2 5 2 2" xfId="5951" xr:uid="{723031C2-08BB-4CA0-912B-72814556D4FD}"/>
    <cellStyle name="Currency 2 3 2 2 5 3" xfId="5950" xr:uid="{B4311389-CF5C-4EC0-89CC-44D3585BB834}"/>
    <cellStyle name="Currency 2 3 2 2 6" xfId="618" xr:uid="{00000000-0005-0000-0000-000098010000}"/>
    <cellStyle name="Currency 2 3 2 2 6 2" xfId="619" xr:uid="{00000000-0005-0000-0000-000099010000}"/>
    <cellStyle name="Currency 2 3 2 2 6 2 2" xfId="5953" xr:uid="{7E82FF88-B9F9-439B-972A-D2C654E700F6}"/>
    <cellStyle name="Currency 2 3 2 2 6 3" xfId="5952" xr:uid="{AC5DB552-1A49-4B7B-B5B0-A62B68C4BF20}"/>
    <cellStyle name="Currency 2 3 2 2 7" xfId="620" xr:uid="{00000000-0005-0000-0000-00009A010000}"/>
    <cellStyle name="Currency 2 3 2 2 7 2" xfId="621" xr:uid="{00000000-0005-0000-0000-00009B010000}"/>
    <cellStyle name="Currency 2 3 2 2 7 2 2" xfId="5955" xr:uid="{E19E6FF9-12F7-4560-BDD5-E5C7EB3D6A00}"/>
    <cellStyle name="Currency 2 3 2 2 7 3" xfId="5954" xr:uid="{F41D785F-7123-4152-B545-AB6AC0F9A25C}"/>
    <cellStyle name="Currency 2 3 2 2 8" xfId="622" xr:uid="{00000000-0005-0000-0000-00009C010000}"/>
    <cellStyle name="Currency 2 3 2 2 8 2" xfId="5956" xr:uid="{810E0348-0C68-45FE-AF51-CFDC5990CAD1}"/>
    <cellStyle name="Currency 2 3 2 2 9" xfId="623" xr:uid="{00000000-0005-0000-0000-00009D010000}"/>
    <cellStyle name="Currency 2 3 2 2 9 2" xfId="5957" xr:uid="{F9C79E19-C3A6-472C-B532-6670C1E57A44}"/>
    <cellStyle name="Currency 2 3 2 3" xfId="43" xr:uid="{00000000-0005-0000-0000-00009E010000}"/>
    <cellStyle name="Currency 2 3 2 3 2" xfId="624" xr:uid="{00000000-0005-0000-0000-00009F010000}"/>
    <cellStyle name="Currency 2 3 2 3 2 2" xfId="625" xr:uid="{00000000-0005-0000-0000-0000A0010000}"/>
    <cellStyle name="Currency 2 3 2 3 2 2 2" xfId="626" xr:uid="{00000000-0005-0000-0000-0000A1010000}"/>
    <cellStyle name="Currency 2 3 2 3 2 2 2 2" xfId="5960" xr:uid="{EC4C1CA5-5654-4204-86E7-0478DCB80426}"/>
    <cellStyle name="Currency 2 3 2 3 2 2 3" xfId="627" xr:uid="{00000000-0005-0000-0000-0000A2010000}"/>
    <cellStyle name="Currency 2 3 2 3 2 2 3 2" xfId="5961" xr:uid="{31C5844A-F964-4DE3-9C13-1065A6215410}"/>
    <cellStyle name="Currency 2 3 2 3 2 2 4" xfId="5959" xr:uid="{95A2F40A-9151-43EC-B0C6-20A88AA24DDB}"/>
    <cellStyle name="Currency 2 3 2 3 2 3" xfId="628" xr:uid="{00000000-0005-0000-0000-0000A3010000}"/>
    <cellStyle name="Currency 2 3 2 3 2 3 2" xfId="5962" xr:uid="{02F67150-9063-4FDE-9101-6214D614409F}"/>
    <cellStyle name="Currency 2 3 2 3 2 4" xfId="629" xr:uid="{00000000-0005-0000-0000-0000A4010000}"/>
    <cellStyle name="Currency 2 3 2 3 2 4 2" xfId="5963" xr:uid="{B98CD797-849A-4AE7-AAAC-ACB17C31BBCD}"/>
    <cellStyle name="Currency 2 3 2 3 2 5" xfId="5958" xr:uid="{901CD7CB-2762-4919-9B46-A5C4BB4129D9}"/>
    <cellStyle name="Currency 2 3 2 3 3" xfId="630" xr:uid="{00000000-0005-0000-0000-0000A5010000}"/>
    <cellStyle name="Currency 2 3 2 3 3 2" xfId="631" xr:uid="{00000000-0005-0000-0000-0000A6010000}"/>
    <cellStyle name="Currency 2 3 2 3 3 2 2" xfId="632" xr:uid="{00000000-0005-0000-0000-0000A7010000}"/>
    <cellStyle name="Currency 2 3 2 3 3 2 2 2" xfId="5966" xr:uid="{348D9B4F-FEDC-4A49-961F-892FA57BD7ED}"/>
    <cellStyle name="Currency 2 3 2 3 3 2 3" xfId="5965" xr:uid="{3077C7D6-0273-4F72-87B0-23A8198C6613}"/>
    <cellStyle name="Currency 2 3 2 3 3 3" xfId="633" xr:uid="{00000000-0005-0000-0000-0000A8010000}"/>
    <cellStyle name="Currency 2 3 2 3 3 3 2" xfId="5967" xr:uid="{9321FAF3-E499-4D47-918F-3241FD761D4F}"/>
    <cellStyle name="Currency 2 3 2 3 3 4" xfId="634" xr:uid="{00000000-0005-0000-0000-0000A9010000}"/>
    <cellStyle name="Currency 2 3 2 3 3 4 2" xfId="5968" xr:uid="{ED0A90C1-1DED-4C39-800D-8CE8CC69FC4C}"/>
    <cellStyle name="Currency 2 3 2 3 3 5" xfId="5964" xr:uid="{21F97B16-EE06-4687-8C06-4CDB409BD941}"/>
    <cellStyle name="Currency 2 3 2 3 4" xfId="635" xr:uid="{00000000-0005-0000-0000-0000AA010000}"/>
    <cellStyle name="Currency 2 3 2 3 4 2" xfId="636" xr:uid="{00000000-0005-0000-0000-0000AB010000}"/>
    <cellStyle name="Currency 2 3 2 3 4 2 2" xfId="5970" xr:uid="{30C07563-07F3-457D-ABFC-A6FC71E81DC4}"/>
    <cellStyle name="Currency 2 3 2 3 4 3" xfId="5969" xr:uid="{2E096DAF-6504-4D7E-9FF4-31EB5C86C48F}"/>
    <cellStyle name="Currency 2 3 2 3 5" xfId="637" xr:uid="{00000000-0005-0000-0000-0000AC010000}"/>
    <cellStyle name="Currency 2 3 2 3 5 2" xfId="638" xr:uid="{00000000-0005-0000-0000-0000AD010000}"/>
    <cellStyle name="Currency 2 3 2 3 5 2 2" xfId="5972" xr:uid="{1DA74802-70FD-4E3C-AB8A-20123361CADD}"/>
    <cellStyle name="Currency 2 3 2 3 5 3" xfId="5971" xr:uid="{80A42FA7-632E-4FD6-BBAA-21BDE9FB37F1}"/>
    <cellStyle name="Currency 2 3 2 3 6" xfId="639" xr:uid="{00000000-0005-0000-0000-0000AE010000}"/>
    <cellStyle name="Currency 2 3 2 3 6 2" xfId="640" xr:uid="{00000000-0005-0000-0000-0000AF010000}"/>
    <cellStyle name="Currency 2 3 2 3 6 2 2" xfId="5974" xr:uid="{5D4159C8-4889-4ED5-AE03-A1E0965F30B7}"/>
    <cellStyle name="Currency 2 3 2 3 6 3" xfId="5973" xr:uid="{A9183962-3FAB-4ED1-B3E5-46181B4FE220}"/>
    <cellStyle name="Currency 2 3 2 3 7" xfId="641" xr:uid="{00000000-0005-0000-0000-0000B0010000}"/>
    <cellStyle name="Currency 2 3 2 3 7 2" xfId="5975" xr:uid="{E78D0C5A-E7A4-4656-BBEB-B8C8708DD311}"/>
    <cellStyle name="Currency 2 3 2 3 8" xfId="642" xr:uid="{00000000-0005-0000-0000-0000B1010000}"/>
    <cellStyle name="Currency 2 3 2 3 8 2" xfId="5976" xr:uid="{293A91C6-626C-45A2-8926-CC3097997E8C}"/>
    <cellStyle name="Currency 2 3 2 3 9" xfId="5378" xr:uid="{44ADFE65-A146-4A17-9654-4298AA60D190}"/>
    <cellStyle name="Currency 2 3 2 4" xfId="643" xr:uid="{00000000-0005-0000-0000-0000B2010000}"/>
    <cellStyle name="Currency 2 3 2 4 2" xfId="644" xr:uid="{00000000-0005-0000-0000-0000B3010000}"/>
    <cellStyle name="Currency 2 3 2 4 2 2" xfId="645" xr:uid="{00000000-0005-0000-0000-0000B4010000}"/>
    <cellStyle name="Currency 2 3 2 4 2 2 2" xfId="5979" xr:uid="{5823FA23-7F13-4A0A-94C6-FEAB7AE882DC}"/>
    <cellStyle name="Currency 2 3 2 4 2 3" xfId="646" xr:uid="{00000000-0005-0000-0000-0000B5010000}"/>
    <cellStyle name="Currency 2 3 2 4 2 3 2" xfId="5980" xr:uid="{2EF3767E-981A-4E10-954F-171E847D056F}"/>
    <cellStyle name="Currency 2 3 2 4 2 4" xfId="5978" xr:uid="{8253055C-9650-4133-94CF-65C028A11904}"/>
    <cellStyle name="Currency 2 3 2 4 3" xfId="647" xr:uid="{00000000-0005-0000-0000-0000B6010000}"/>
    <cellStyle name="Currency 2 3 2 4 3 2" xfId="5981" xr:uid="{C6E53E23-719A-4B9D-A0B1-CD8BD09C7A00}"/>
    <cellStyle name="Currency 2 3 2 4 4" xfId="648" xr:uid="{00000000-0005-0000-0000-0000B7010000}"/>
    <cellStyle name="Currency 2 3 2 4 4 2" xfId="5982" xr:uid="{A5CEB589-D181-40E4-987B-83C864847B83}"/>
    <cellStyle name="Currency 2 3 2 4 5" xfId="5977" xr:uid="{458D7BE0-D63A-4C49-9C70-C6B630421324}"/>
    <cellStyle name="Currency 2 3 2 5" xfId="649" xr:uid="{00000000-0005-0000-0000-0000B8010000}"/>
    <cellStyle name="Currency 2 3 2 5 2" xfId="650" xr:uid="{00000000-0005-0000-0000-0000B9010000}"/>
    <cellStyle name="Currency 2 3 2 5 2 2" xfId="651" xr:uid="{00000000-0005-0000-0000-0000BA010000}"/>
    <cellStyle name="Currency 2 3 2 5 2 2 2" xfId="5985" xr:uid="{39A08AA3-3DAF-412F-9F5B-D20BB87C3B3F}"/>
    <cellStyle name="Currency 2 3 2 5 2 3" xfId="5984" xr:uid="{18F2C412-1292-4DDE-B770-30845D736703}"/>
    <cellStyle name="Currency 2 3 2 5 3" xfId="652" xr:uid="{00000000-0005-0000-0000-0000BB010000}"/>
    <cellStyle name="Currency 2 3 2 5 3 2" xfId="5986" xr:uid="{D5460595-441E-412C-B2FF-FA23D4019A11}"/>
    <cellStyle name="Currency 2 3 2 5 4" xfId="653" xr:uid="{00000000-0005-0000-0000-0000BC010000}"/>
    <cellStyle name="Currency 2 3 2 5 4 2" xfId="5987" xr:uid="{6D673BC1-91C1-4D5C-A850-216C4F268BC6}"/>
    <cellStyle name="Currency 2 3 2 5 5" xfId="5983" xr:uid="{11707FB6-7C45-4498-9D33-EC582ACE3431}"/>
    <cellStyle name="Currency 2 3 2 6" xfId="654" xr:uid="{00000000-0005-0000-0000-0000BD010000}"/>
    <cellStyle name="Currency 2 3 2 6 2" xfId="655" xr:uid="{00000000-0005-0000-0000-0000BE010000}"/>
    <cellStyle name="Currency 2 3 2 6 2 2" xfId="5989" xr:uid="{BB1552FE-014D-4272-881F-D2A1A2146DDA}"/>
    <cellStyle name="Currency 2 3 2 6 3" xfId="5988" xr:uid="{2B0C3D5C-137A-4FB7-9F22-B6E08FAD0FAD}"/>
    <cellStyle name="Currency 2 3 2 7" xfId="656" xr:uid="{00000000-0005-0000-0000-0000BF010000}"/>
    <cellStyle name="Currency 2 3 2 7 2" xfId="657" xr:uid="{00000000-0005-0000-0000-0000C0010000}"/>
    <cellStyle name="Currency 2 3 2 7 2 2" xfId="5991" xr:uid="{0E09BCB3-23E0-4A91-B38B-346F70C8AAE3}"/>
    <cellStyle name="Currency 2 3 2 7 3" xfId="5990" xr:uid="{F9BE976A-607F-4153-B6C2-B38A3BD26C79}"/>
    <cellStyle name="Currency 2 3 2 8" xfId="658" xr:uid="{00000000-0005-0000-0000-0000C1010000}"/>
    <cellStyle name="Currency 2 3 2 8 2" xfId="659" xr:uid="{00000000-0005-0000-0000-0000C2010000}"/>
    <cellStyle name="Currency 2 3 2 8 2 2" xfId="5993" xr:uid="{61ADE55E-4D5B-431A-9EE0-A146340879C6}"/>
    <cellStyle name="Currency 2 3 2 8 3" xfId="5992" xr:uid="{F7401115-5632-47AA-9ADA-33F10276DF40}"/>
    <cellStyle name="Currency 2 3 2 9" xfId="660" xr:uid="{00000000-0005-0000-0000-0000C3010000}"/>
    <cellStyle name="Currency 2 3 2 9 2" xfId="5994" xr:uid="{405E7115-9472-4F9E-9D8E-1914F87785EB}"/>
    <cellStyle name="Currency 2 3 3" xfId="44" xr:uid="{00000000-0005-0000-0000-0000C4010000}"/>
    <cellStyle name="Currency 2 3 3 10" xfId="5379" xr:uid="{795589C0-821D-44B4-A351-4B88E20BC2B1}"/>
    <cellStyle name="Currency 2 3 3 2" xfId="45" xr:uid="{00000000-0005-0000-0000-0000C5010000}"/>
    <cellStyle name="Currency 2 3 3 2 2" xfId="661" xr:uid="{00000000-0005-0000-0000-0000C6010000}"/>
    <cellStyle name="Currency 2 3 3 2 2 2" xfId="662" xr:uid="{00000000-0005-0000-0000-0000C7010000}"/>
    <cellStyle name="Currency 2 3 3 2 2 2 2" xfId="663" xr:uid="{00000000-0005-0000-0000-0000C8010000}"/>
    <cellStyle name="Currency 2 3 3 2 2 2 2 2" xfId="5997" xr:uid="{C7B884C9-1523-4B2E-B53A-C3A23C39281B}"/>
    <cellStyle name="Currency 2 3 3 2 2 2 3" xfId="664" xr:uid="{00000000-0005-0000-0000-0000C9010000}"/>
    <cellStyle name="Currency 2 3 3 2 2 2 3 2" xfId="5998" xr:uid="{70B44632-A0A8-462D-A7CB-40DA68140D69}"/>
    <cellStyle name="Currency 2 3 3 2 2 2 4" xfId="5996" xr:uid="{E7B46146-0B1A-46D7-ABEA-AE716F315606}"/>
    <cellStyle name="Currency 2 3 3 2 2 3" xfId="665" xr:uid="{00000000-0005-0000-0000-0000CA010000}"/>
    <cellStyle name="Currency 2 3 3 2 2 3 2" xfId="5999" xr:uid="{376C954C-ADB1-4AB0-A71E-E475E2D0FFEC}"/>
    <cellStyle name="Currency 2 3 3 2 2 4" xfId="666" xr:uid="{00000000-0005-0000-0000-0000CB010000}"/>
    <cellStyle name="Currency 2 3 3 2 2 4 2" xfId="6000" xr:uid="{44EAAE7F-153F-4EC8-97BC-0569527E2055}"/>
    <cellStyle name="Currency 2 3 3 2 2 5" xfId="5995" xr:uid="{4BB745BB-5F64-4EF5-A93A-86279B23C024}"/>
    <cellStyle name="Currency 2 3 3 2 3" xfId="667" xr:uid="{00000000-0005-0000-0000-0000CC010000}"/>
    <cellStyle name="Currency 2 3 3 2 3 2" xfId="668" xr:uid="{00000000-0005-0000-0000-0000CD010000}"/>
    <cellStyle name="Currency 2 3 3 2 3 2 2" xfId="669" xr:uid="{00000000-0005-0000-0000-0000CE010000}"/>
    <cellStyle name="Currency 2 3 3 2 3 2 2 2" xfId="6003" xr:uid="{283AE425-64E1-4823-BE71-8509153B1641}"/>
    <cellStyle name="Currency 2 3 3 2 3 2 3" xfId="6002" xr:uid="{F7136567-2405-427C-B838-ABCFF5F3ABD6}"/>
    <cellStyle name="Currency 2 3 3 2 3 3" xfId="670" xr:uid="{00000000-0005-0000-0000-0000CF010000}"/>
    <cellStyle name="Currency 2 3 3 2 3 3 2" xfId="6004" xr:uid="{2234F9DF-5330-4807-B77F-193D3449768D}"/>
    <cellStyle name="Currency 2 3 3 2 3 4" xfId="671" xr:uid="{00000000-0005-0000-0000-0000D0010000}"/>
    <cellStyle name="Currency 2 3 3 2 3 4 2" xfId="6005" xr:uid="{FCA64257-C234-471E-90DB-234FD7D59A5B}"/>
    <cellStyle name="Currency 2 3 3 2 3 5" xfId="6001" xr:uid="{ABBD4E3C-9494-43DD-86BA-051D9C9CAD58}"/>
    <cellStyle name="Currency 2 3 3 2 4" xfId="672" xr:uid="{00000000-0005-0000-0000-0000D1010000}"/>
    <cellStyle name="Currency 2 3 3 2 4 2" xfId="673" xr:uid="{00000000-0005-0000-0000-0000D2010000}"/>
    <cellStyle name="Currency 2 3 3 2 4 2 2" xfId="6007" xr:uid="{F320D857-B5B1-4657-8929-63CA45AA5C8A}"/>
    <cellStyle name="Currency 2 3 3 2 4 3" xfId="6006" xr:uid="{2CBC86E0-723E-41B5-B3BA-A07FFF3514CD}"/>
    <cellStyle name="Currency 2 3 3 2 5" xfId="674" xr:uid="{00000000-0005-0000-0000-0000D3010000}"/>
    <cellStyle name="Currency 2 3 3 2 5 2" xfId="675" xr:uid="{00000000-0005-0000-0000-0000D4010000}"/>
    <cellStyle name="Currency 2 3 3 2 5 2 2" xfId="6009" xr:uid="{A035F06D-2F18-40DC-9B6D-90749A467BD6}"/>
    <cellStyle name="Currency 2 3 3 2 5 3" xfId="6008" xr:uid="{34097B36-4B83-431E-B8F9-9298B93C7FE0}"/>
    <cellStyle name="Currency 2 3 3 2 6" xfId="676" xr:uid="{00000000-0005-0000-0000-0000D5010000}"/>
    <cellStyle name="Currency 2 3 3 2 6 2" xfId="677" xr:uid="{00000000-0005-0000-0000-0000D6010000}"/>
    <cellStyle name="Currency 2 3 3 2 6 2 2" xfId="6011" xr:uid="{E8CDCA14-F16B-4615-B750-30D898421E16}"/>
    <cellStyle name="Currency 2 3 3 2 6 3" xfId="6010" xr:uid="{04E0CBB2-2CA6-4058-BE62-CDC8E1B9A32F}"/>
    <cellStyle name="Currency 2 3 3 2 7" xfId="678" xr:uid="{00000000-0005-0000-0000-0000D7010000}"/>
    <cellStyle name="Currency 2 3 3 2 7 2" xfId="6012" xr:uid="{5852E6C7-1C29-4D51-BBE2-24580D7CC9C1}"/>
    <cellStyle name="Currency 2 3 3 2 8" xfId="679" xr:uid="{00000000-0005-0000-0000-0000D8010000}"/>
    <cellStyle name="Currency 2 3 3 2 8 2" xfId="6013" xr:uid="{F817F1C1-7223-4A13-8A9A-2F9D3EC3F291}"/>
    <cellStyle name="Currency 2 3 3 2 9" xfId="5380" xr:uid="{8AB0FD1A-44A3-402C-AE55-07AE2D86E7B9}"/>
    <cellStyle name="Currency 2 3 3 3" xfId="680" xr:uid="{00000000-0005-0000-0000-0000D9010000}"/>
    <cellStyle name="Currency 2 3 3 3 2" xfId="681" xr:uid="{00000000-0005-0000-0000-0000DA010000}"/>
    <cellStyle name="Currency 2 3 3 3 2 2" xfId="682" xr:uid="{00000000-0005-0000-0000-0000DB010000}"/>
    <cellStyle name="Currency 2 3 3 3 2 2 2" xfId="6016" xr:uid="{6CE4F677-D3E9-4F81-BF5B-BE9EB4EB33E7}"/>
    <cellStyle name="Currency 2 3 3 3 2 3" xfId="683" xr:uid="{00000000-0005-0000-0000-0000DC010000}"/>
    <cellStyle name="Currency 2 3 3 3 2 3 2" xfId="6017" xr:uid="{05CE5C5E-A880-4174-AC11-8232D544A663}"/>
    <cellStyle name="Currency 2 3 3 3 2 4" xfId="6015" xr:uid="{9DE41DDC-74A3-4A1E-955A-4BBD72285127}"/>
    <cellStyle name="Currency 2 3 3 3 3" xfId="684" xr:uid="{00000000-0005-0000-0000-0000DD010000}"/>
    <cellStyle name="Currency 2 3 3 3 3 2" xfId="6018" xr:uid="{F8B71FED-4BEF-4653-8270-A89AEB4AB186}"/>
    <cellStyle name="Currency 2 3 3 3 4" xfId="685" xr:uid="{00000000-0005-0000-0000-0000DE010000}"/>
    <cellStyle name="Currency 2 3 3 3 4 2" xfId="6019" xr:uid="{E70A5498-EB17-4821-AB8A-D35DDCECBC47}"/>
    <cellStyle name="Currency 2 3 3 3 5" xfId="6014" xr:uid="{7581191F-C527-4654-929E-60B07158C57C}"/>
    <cellStyle name="Currency 2 3 3 4" xfId="686" xr:uid="{00000000-0005-0000-0000-0000DF010000}"/>
    <cellStyle name="Currency 2 3 3 4 2" xfId="687" xr:uid="{00000000-0005-0000-0000-0000E0010000}"/>
    <cellStyle name="Currency 2 3 3 4 2 2" xfId="688" xr:uid="{00000000-0005-0000-0000-0000E1010000}"/>
    <cellStyle name="Currency 2 3 3 4 2 2 2" xfId="6022" xr:uid="{6C825A71-0D06-4483-B01E-B36EE38A12B9}"/>
    <cellStyle name="Currency 2 3 3 4 2 3" xfId="6021" xr:uid="{3E07EB6B-C9F7-4B74-9865-40847883D449}"/>
    <cellStyle name="Currency 2 3 3 4 3" xfId="689" xr:uid="{00000000-0005-0000-0000-0000E2010000}"/>
    <cellStyle name="Currency 2 3 3 4 3 2" xfId="6023" xr:uid="{90F5A234-E23F-413A-8BB0-D385B209910E}"/>
    <cellStyle name="Currency 2 3 3 4 4" xfId="690" xr:uid="{00000000-0005-0000-0000-0000E3010000}"/>
    <cellStyle name="Currency 2 3 3 4 4 2" xfId="6024" xr:uid="{EDA8A62F-B5AA-4D0A-9EF6-CE8B1AA7BDDE}"/>
    <cellStyle name="Currency 2 3 3 4 5" xfId="6020" xr:uid="{CE9606D3-F0CD-40E9-BCC0-EAD4C3E22252}"/>
    <cellStyle name="Currency 2 3 3 5" xfId="691" xr:uid="{00000000-0005-0000-0000-0000E4010000}"/>
    <cellStyle name="Currency 2 3 3 5 2" xfId="692" xr:uid="{00000000-0005-0000-0000-0000E5010000}"/>
    <cellStyle name="Currency 2 3 3 5 2 2" xfId="6026" xr:uid="{ED2A184C-9C9C-4D52-A8C6-98D9AC4030EA}"/>
    <cellStyle name="Currency 2 3 3 5 3" xfId="6025" xr:uid="{65F66C08-CF19-4213-BF94-9E8BA5C39DE1}"/>
    <cellStyle name="Currency 2 3 3 6" xfId="693" xr:uid="{00000000-0005-0000-0000-0000E6010000}"/>
    <cellStyle name="Currency 2 3 3 6 2" xfId="694" xr:uid="{00000000-0005-0000-0000-0000E7010000}"/>
    <cellStyle name="Currency 2 3 3 6 2 2" xfId="6028" xr:uid="{9D8DE8C1-FD0C-4142-980D-1F35BBC2EE83}"/>
    <cellStyle name="Currency 2 3 3 6 3" xfId="6027" xr:uid="{3F9DB467-53A7-40DD-8F35-EC3F43B6F71A}"/>
    <cellStyle name="Currency 2 3 3 7" xfId="695" xr:uid="{00000000-0005-0000-0000-0000E8010000}"/>
    <cellStyle name="Currency 2 3 3 7 2" xfId="696" xr:uid="{00000000-0005-0000-0000-0000E9010000}"/>
    <cellStyle name="Currency 2 3 3 7 2 2" xfId="6030" xr:uid="{4488EABF-AE75-453E-8719-4DE713361B33}"/>
    <cellStyle name="Currency 2 3 3 7 3" xfId="6029" xr:uid="{F8B6BB6A-8A47-4DDD-B1E8-6006FE264B7D}"/>
    <cellStyle name="Currency 2 3 3 8" xfId="697" xr:uid="{00000000-0005-0000-0000-0000EA010000}"/>
    <cellStyle name="Currency 2 3 3 8 2" xfId="6031" xr:uid="{CB91E31E-8012-4409-B373-AF8AE21C8FE4}"/>
    <cellStyle name="Currency 2 3 3 9" xfId="698" xr:uid="{00000000-0005-0000-0000-0000EB010000}"/>
    <cellStyle name="Currency 2 3 3 9 2" xfId="6032" xr:uid="{42D72177-E820-46B4-A8A8-BC1102C6864A}"/>
    <cellStyle name="Currency 2 3 4" xfId="46" xr:uid="{00000000-0005-0000-0000-0000EC010000}"/>
    <cellStyle name="Currency 2 3 4 10" xfId="5381" xr:uid="{F3032DD4-EB2D-4E72-8659-C898DBB93947}"/>
    <cellStyle name="Currency 2 3 4 2" xfId="699" xr:uid="{00000000-0005-0000-0000-0000ED010000}"/>
    <cellStyle name="Currency 2 3 4 2 2" xfId="700" xr:uid="{00000000-0005-0000-0000-0000EE010000}"/>
    <cellStyle name="Currency 2 3 4 2 2 2" xfId="701" xr:uid="{00000000-0005-0000-0000-0000EF010000}"/>
    <cellStyle name="Currency 2 3 4 2 2 2 2" xfId="702" xr:uid="{00000000-0005-0000-0000-0000F0010000}"/>
    <cellStyle name="Currency 2 3 4 2 2 2 2 2" xfId="6036" xr:uid="{F2671161-4E15-4AC1-9F08-CFA48E0CF8D9}"/>
    <cellStyle name="Currency 2 3 4 2 2 2 3" xfId="703" xr:uid="{00000000-0005-0000-0000-0000F1010000}"/>
    <cellStyle name="Currency 2 3 4 2 2 2 3 2" xfId="6037" xr:uid="{587EE968-B596-4341-9A2C-0A46507659ED}"/>
    <cellStyle name="Currency 2 3 4 2 2 2 4" xfId="6035" xr:uid="{B054A9B2-C5B6-470F-A7A4-073218889865}"/>
    <cellStyle name="Currency 2 3 4 2 2 3" xfId="704" xr:uid="{00000000-0005-0000-0000-0000F2010000}"/>
    <cellStyle name="Currency 2 3 4 2 2 3 2" xfId="6038" xr:uid="{8A48E2F7-62D3-47D4-B599-47782C992EDA}"/>
    <cellStyle name="Currency 2 3 4 2 2 4" xfId="705" xr:uid="{00000000-0005-0000-0000-0000F3010000}"/>
    <cellStyle name="Currency 2 3 4 2 2 4 2" xfId="6039" xr:uid="{61087B28-32A2-4B7F-9C7E-FCFE8B7247FE}"/>
    <cellStyle name="Currency 2 3 4 2 2 5" xfId="6034" xr:uid="{4546ADD4-C1B0-4DB7-AC47-C45627C9FD89}"/>
    <cellStyle name="Currency 2 3 4 2 3" xfId="706" xr:uid="{00000000-0005-0000-0000-0000F4010000}"/>
    <cellStyle name="Currency 2 3 4 2 3 2" xfId="707" xr:uid="{00000000-0005-0000-0000-0000F5010000}"/>
    <cellStyle name="Currency 2 3 4 2 3 2 2" xfId="708" xr:uid="{00000000-0005-0000-0000-0000F6010000}"/>
    <cellStyle name="Currency 2 3 4 2 3 2 2 2" xfId="6042" xr:uid="{7286719C-81A2-4DBF-A029-4A033FA30C62}"/>
    <cellStyle name="Currency 2 3 4 2 3 2 3" xfId="6041" xr:uid="{15059483-336D-4B20-AB2D-77F624E67746}"/>
    <cellStyle name="Currency 2 3 4 2 3 3" xfId="709" xr:uid="{00000000-0005-0000-0000-0000F7010000}"/>
    <cellStyle name="Currency 2 3 4 2 3 3 2" xfId="6043" xr:uid="{A1C069DB-84BD-444C-B738-F482E64B1205}"/>
    <cellStyle name="Currency 2 3 4 2 3 4" xfId="710" xr:uid="{00000000-0005-0000-0000-0000F8010000}"/>
    <cellStyle name="Currency 2 3 4 2 3 4 2" xfId="6044" xr:uid="{4E7A7097-F6FE-4AC4-A16B-C68CF54E5C21}"/>
    <cellStyle name="Currency 2 3 4 2 3 5" xfId="6040" xr:uid="{7B820DD4-87A8-4292-B16B-CE4180BD9F1F}"/>
    <cellStyle name="Currency 2 3 4 2 4" xfId="711" xr:uid="{00000000-0005-0000-0000-0000F9010000}"/>
    <cellStyle name="Currency 2 3 4 2 4 2" xfId="712" xr:uid="{00000000-0005-0000-0000-0000FA010000}"/>
    <cellStyle name="Currency 2 3 4 2 4 2 2" xfId="6046" xr:uid="{FBD4C4A6-E7D5-45E3-92D6-ABE01D1BE189}"/>
    <cellStyle name="Currency 2 3 4 2 4 3" xfId="6045" xr:uid="{477E7A4F-DB64-45FF-904E-C3A12C89BD3E}"/>
    <cellStyle name="Currency 2 3 4 2 5" xfId="713" xr:uid="{00000000-0005-0000-0000-0000FB010000}"/>
    <cellStyle name="Currency 2 3 4 2 5 2" xfId="6047" xr:uid="{58017444-203E-4A84-9CF4-47DC751E8C93}"/>
    <cellStyle name="Currency 2 3 4 2 6" xfId="714" xr:uid="{00000000-0005-0000-0000-0000FC010000}"/>
    <cellStyle name="Currency 2 3 4 2 6 2" xfId="6048" xr:uid="{B31666E4-1CEE-4AED-A05E-D530A09B1541}"/>
    <cellStyle name="Currency 2 3 4 2 7" xfId="6033" xr:uid="{FD6F9E9A-AEDF-4AD7-9BDF-ED645BF11E02}"/>
    <cellStyle name="Currency 2 3 4 3" xfId="715" xr:uid="{00000000-0005-0000-0000-0000FD010000}"/>
    <cellStyle name="Currency 2 3 4 3 2" xfId="716" xr:uid="{00000000-0005-0000-0000-0000FE010000}"/>
    <cellStyle name="Currency 2 3 4 3 2 2" xfId="717" xr:uid="{00000000-0005-0000-0000-0000FF010000}"/>
    <cellStyle name="Currency 2 3 4 3 2 2 2" xfId="6051" xr:uid="{3EB17DB0-E2A2-4FBE-BF69-9A1206DDD4D1}"/>
    <cellStyle name="Currency 2 3 4 3 2 3" xfId="718" xr:uid="{00000000-0005-0000-0000-000000020000}"/>
    <cellStyle name="Currency 2 3 4 3 2 3 2" xfId="6052" xr:uid="{2BA371D5-CACB-4CFC-A5E5-0A15E141E05E}"/>
    <cellStyle name="Currency 2 3 4 3 2 4" xfId="6050" xr:uid="{69BF7878-1C34-4BF4-B503-6CCAB8DAB443}"/>
    <cellStyle name="Currency 2 3 4 3 3" xfId="719" xr:uid="{00000000-0005-0000-0000-000001020000}"/>
    <cellStyle name="Currency 2 3 4 3 3 2" xfId="6053" xr:uid="{76D22200-5143-44CE-9C0D-8EFBA290CB2F}"/>
    <cellStyle name="Currency 2 3 4 3 4" xfId="720" xr:uid="{00000000-0005-0000-0000-000002020000}"/>
    <cellStyle name="Currency 2 3 4 3 4 2" xfId="6054" xr:uid="{4FF325B0-39B1-40E9-9E1D-302E39D0CF15}"/>
    <cellStyle name="Currency 2 3 4 3 5" xfId="6049" xr:uid="{948A1697-D11A-4B03-84CA-B235466CE0B7}"/>
    <cellStyle name="Currency 2 3 4 4" xfId="721" xr:uid="{00000000-0005-0000-0000-000003020000}"/>
    <cellStyle name="Currency 2 3 4 4 2" xfId="722" xr:uid="{00000000-0005-0000-0000-000004020000}"/>
    <cellStyle name="Currency 2 3 4 4 2 2" xfId="723" xr:uid="{00000000-0005-0000-0000-000005020000}"/>
    <cellStyle name="Currency 2 3 4 4 2 2 2" xfId="6057" xr:uid="{05852931-3CDC-4835-9E40-215824354831}"/>
    <cellStyle name="Currency 2 3 4 4 2 3" xfId="6056" xr:uid="{8707C208-3144-42DA-BC46-70718A994919}"/>
    <cellStyle name="Currency 2 3 4 4 3" xfId="724" xr:uid="{00000000-0005-0000-0000-000006020000}"/>
    <cellStyle name="Currency 2 3 4 4 3 2" xfId="6058" xr:uid="{D3864D86-06FE-4C81-802C-70DDAD421983}"/>
    <cellStyle name="Currency 2 3 4 4 4" xfId="725" xr:uid="{00000000-0005-0000-0000-000007020000}"/>
    <cellStyle name="Currency 2 3 4 4 4 2" xfId="6059" xr:uid="{869D06D8-C510-4B5D-A047-4ACEAB4C68B1}"/>
    <cellStyle name="Currency 2 3 4 4 5" xfId="6055" xr:uid="{0706BEEE-5518-4A18-BC70-F56B017780A0}"/>
    <cellStyle name="Currency 2 3 4 5" xfId="726" xr:uid="{00000000-0005-0000-0000-000008020000}"/>
    <cellStyle name="Currency 2 3 4 5 2" xfId="727" xr:uid="{00000000-0005-0000-0000-000009020000}"/>
    <cellStyle name="Currency 2 3 4 5 2 2" xfId="6061" xr:uid="{04942CAA-C331-4C26-8D3E-8D2511B815AB}"/>
    <cellStyle name="Currency 2 3 4 5 3" xfId="6060" xr:uid="{513B300D-1F6E-4BD4-8AA8-6B446710DEF7}"/>
    <cellStyle name="Currency 2 3 4 6" xfId="728" xr:uid="{00000000-0005-0000-0000-00000A020000}"/>
    <cellStyle name="Currency 2 3 4 6 2" xfId="729" xr:uid="{00000000-0005-0000-0000-00000B020000}"/>
    <cellStyle name="Currency 2 3 4 6 2 2" xfId="6063" xr:uid="{9218CDF7-E890-4144-8FE1-D4E1B5332A39}"/>
    <cellStyle name="Currency 2 3 4 6 3" xfId="6062" xr:uid="{C53CE6CA-50A0-4B1F-9FEF-4D7BDAB579E2}"/>
    <cellStyle name="Currency 2 3 4 7" xfId="730" xr:uid="{00000000-0005-0000-0000-00000C020000}"/>
    <cellStyle name="Currency 2 3 4 7 2" xfId="731" xr:uid="{00000000-0005-0000-0000-00000D020000}"/>
    <cellStyle name="Currency 2 3 4 7 2 2" xfId="6065" xr:uid="{101CCD0A-91B0-452E-B434-402E710DD98D}"/>
    <cellStyle name="Currency 2 3 4 7 3" xfId="6064" xr:uid="{EF167B08-2108-405A-BD03-FEB43413C231}"/>
    <cellStyle name="Currency 2 3 4 8" xfId="732" xr:uid="{00000000-0005-0000-0000-00000E020000}"/>
    <cellStyle name="Currency 2 3 4 8 2" xfId="6066" xr:uid="{B19711DE-1201-4670-8CAE-4F672687486F}"/>
    <cellStyle name="Currency 2 3 4 9" xfId="733" xr:uid="{00000000-0005-0000-0000-00000F020000}"/>
    <cellStyle name="Currency 2 3 4 9 2" xfId="6067" xr:uid="{C83647A3-D393-45AB-B66B-3FC73D4980FE}"/>
    <cellStyle name="Currency 2 3 5" xfId="734" xr:uid="{00000000-0005-0000-0000-000010020000}"/>
    <cellStyle name="Currency 2 3 5 2" xfId="735" xr:uid="{00000000-0005-0000-0000-000011020000}"/>
    <cellStyle name="Currency 2 3 5 2 2" xfId="736" xr:uid="{00000000-0005-0000-0000-000012020000}"/>
    <cellStyle name="Currency 2 3 5 2 2 2" xfId="737" xr:uid="{00000000-0005-0000-0000-000013020000}"/>
    <cellStyle name="Currency 2 3 5 2 2 2 2" xfId="6071" xr:uid="{85AEAD28-D065-4BD7-99FB-106F9E91653B}"/>
    <cellStyle name="Currency 2 3 5 2 2 3" xfId="738" xr:uid="{00000000-0005-0000-0000-000014020000}"/>
    <cellStyle name="Currency 2 3 5 2 2 3 2" xfId="6072" xr:uid="{C4F4599B-E4EF-4041-B246-B99C7441AED5}"/>
    <cellStyle name="Currency 2 3 5 2 2 4" xfId="6070" xr:uid="{F9E1851A-548F-4BF3-80E3-57A0B646BBB7}"/>
    <cellStyle name="Currency 2 3 5 2 3" xfId="739" xr:uid="{00000000-0005-0000-0000-000015020000}"/>
    <cellStyle name="Currency 2 3 5 2 3 2" xfId="6073" xr:uid="{E703EF6D-B2F7-440D-AF7E-852D8CE6F367}"/>
    <cellStyle name="Currency 2 3 5 2 4" xfId="740" xr:uid="{00000000-0005-0000-0000-000016020000}"/>
    <cellStyle name="Currency 2 3 5 2 4 2" xfId="6074" xr:uid="{674E0154-9186-4841-A484-468D24C17313}"/>
    <cellStyle name="Currency 2 3 5 2 5" xfId="6069" xr:uid="{82C38426-4E03-42AB-9FE6-23CC09C10320}"/>
    <cellStyle name="Currency 2 3 5 3" xfId="741" xr:uid="{00000000-0005-0000-0000-000017020000}"/>
    <cellStyle name="Currency 2 3 5 3 2" xfId="742" xr:uid="{00000000-0005-0000-0000-000018020000}"/>
    <cellStyle name="Currency 2 3 5 3 2 2" xfId="743" xr:uid="{00000000-0005-0000-0000-000019020000}"/>
    <cellStyle name="Currency 2 3 5 3 2 2 2" xfId="6077" xr:uid="{731F89DC-7BB6-4C13-90DF-AD5CB166AE28}"/>
    <cellStyle name="Currency 2 3 5 3 2 3" xfId="6076" xr:uid="{E4375A22-539B-4215-95EB-D0EB859EFAD5}"/>
    <cellStyle name="Currency 2 3 5 3 3" xfId="744" xr:uid="{00000000-0005-0000-0000-00001A020000}"/>
    <cellStyle name="Currency 2 3 5 3 3 2" xfId="6078" xr:uid="{32E6FB97-4931-4649-9241-A1774EADA055}"/>
    <cellStyle name="Currency 2 3 5 3 4" xfId="745" xr:uid="{00000000-0005-0000-0000-00001B020000}"/>
    <cellStyle name="Currency 2 3 5 3 4 2" xfId="6079" xr:uid="{5ADE8555-75C7-4C6A-9BCA-94C6C11B2964}"/>
    <cellStyle name="Currency 2 3 5 3 5" xfId="6075" xr:uid="{73DDEF79-257E-4B82-B1EB-3F4DB9C400B9}"/>
    <cellStyle name="Currency 2 3 5 4" xfId="746" xr:uid="{00000000-0005-0000-0000-00001C020000}"/>
    <cellStyle name="Currency 2 3 5 4 2" xfId="747" xr:uid="{00000000-0005-0000-0000-00001D020000}"/>
    <cellStyle name="Currency 2 3 5 4 2 2" xfId="6081" xr:uid="{684E47A8-2203-48A3-86FB-AB2F685A0771}"/>
    <cellStyle name="Currency 2 3 5 4 3" xfId="6080" xr:uid="{72D79BC8-BACE-40E0-A13E-1E76E7A2E480}"/>
    <cellStyle name="Currency 2 3 5 5" xfId="748" xr:uid="{00000000-0005-0000-0000-00001E020000}"/>
    <cellStyle name="Currency 2 3 5 5 2" xfId="6082" xr:uid="{BEF8BFF9-2EF9-4A66-A633-1C58B47E9079}"/>
    <cellStyle name="Currency 2 3 5 6" xfId="749" xr:uid="{00000000-0005-0000-0000-00001F020000}"/>
    <cellStyle name="Currency 2 3 5 6 2" xfId="6083" xr:uid="{944B0ABC-36DE-409A-BB04-AE7D25FFF110}"/>
    <cellStyle name="Currency 2 3 5 7" xfId="6068" xr:uid="{45E95EBE-E0E4-4703-8C1B-0AD473B41724}"/>
    <cellStyle name="Currency 2 3 6" xfId="750" xr:uid="{00000000-0005-0000-0000-000020020000}"/>
    <cellStyle name="Currency 2 3 6 2" xfId="751" xr:uid="{00000000-0005-0000-0000-000021020000}"/>
    <cellStyle name="Currency 2 3 6 2 2" xfId="752" xr:uid="{00000000-0005-0000-0000-000022020000}"/>
    <cellStyle name="Currency 2 3 6 2 2 2" xfId="6086" xr:uid="{5C16E05E-6515-4BCC-B448-B723249CEFB8}"/>
    <cellStyle name="Currency 2 3 6 2 3" xfId="753" xr:uid="{00000000-0005-0000-0000-000023020000}"/>
    <cellStyle name="Currency 2 3 6 2 3 2" xfId="6087" xr:uid="{B5958D0C-005A-4397-810C-EB91072C44C2}"/>
    <cellStyle name="Currency 2 3 6 2 4" xfId="6085" xr:uid="{3E722686-EB37-4D25-9341-45353719EB99}"/>
    <cellStyle name="Currency 2 3 6 3" xfId="754" xr:uid="{00000000-0005-0000-0000-000024020000}"/>
    <cellStyle name="Currency 2 3 6 3 2" xfId="755" xr:uid="{00000000-0005-0000-0000-000025020000}"/>
    <cellStyle name="Currency 2 3 6 3 2 2" xfId="6089" xr:uid="{98809E54-4C41-4349-A9F7-08F313C32639}"/>
    <cellStyle name="Currency 2 3 6 3 3" xfId="6088" xr:uid="{2A43F83D-3F59-4ADB-86B9-9A5F20DABBB9}"/>
    <cellStyle name="Currency 2 3 6 4" xfId="756" xr:uid="{00000000-0005-0000-0000-000026020000}"/>
    <cellStyle name="Currency 2 3 6 4 2" xfId="6090" xr:uid="{E70530A5-34EB-446B-A6CB-DBF5E78FF9F5}"/>
    <cellStyle name="Currency 2 3 6 5" xfId="6084" xr:uid="{CDD6B8AC-51FC-499E-A0B8-6EB74D6D6E02}"/>
    <cellStyle name="Currency 2 3 7" xfId="757" xr:uid="{00000000-0005-0000-0000-000027020000}"/>
    <cellStyle name="Currency 2 3 7 2" xfId="758" xr:uid="{00000000-0005-0000-0000-000028020000}"/>
    <cellStyle name="Currency 2 3 7 2 2" xfId="759" xr:uid="{00000000-0005-0000-0000-000029020000}"/>
    <cellStyle name="Currency 2 3 7 2 2 2" xfId="6093" xr:uid="{B48728DA-62F9-4DBD-B233-1B70B57FC280}"/>
    <cellStyle name="Currency 2 3 7 2 3" xfId="6092" xr:uid="{6522E121-CB11-43E8-8152-9F74C924FF9A}"/>
    <cellStyle name="Currency 2 3 7 3" xfId="760" xr:uid="{00000000-0005-0000-0000-00002A020000}"/>
    <cellStyle name="Currency 2 3 7 3 2" xfId="6094" xr:uid="{9638928F-5461-46ED-AD64-77DF0FB73167}"/>
    <cellStyle name="Currency 2 3 7 4" xfId="761" xr:uid="{00000000-0005-0000-0000-00002B020000}"/>
    <cellStyle name="Currency 2 3 7 4 2" xfId="6095" xr:uid="{41229403-B6CC-41C6-821A-77A530AACB2F}"/>
    <cellStyle name="Currency 2 3 7 5" xfId="6091" xr:uid="{A23AFB3A-6DE0-4EF4-9876-9A511043D64B}"/>
    <cellStyle name="Currency 2 3 8" xfId="762" xr:uid="{00000000-0005-0000-0000-00002C020000}"/>
    <cellStyle name="Currency 2 3 8 2" xfId="763" xr:uid="{00000000-0005-0000-0000-00002D020000}"/>
    <cellStyle name="Currency 2 3 8 2 2" xfId="6097" xr:uid="{5E6A56E7-9481-4D0E-9B41-19D87F4E5B78}"/>
    <cellStyle name="Currency 2 3 8 3" xfId="764" xr:uid="{00000000-0005-0000-0000-00002E020000}"/>
    <cellStyle name="Currency 2 3 8 3 2" xfId="6098" xr:uid="{E342B6AE-90CC-40FA-9497-E3BA34A6E3FE}"/>
    <cellStyle name="Currency 2 3 8 4" xfId="6096" xr:uid="{FA748313-B974-485D-9834-11E3DA337AD9}"/>
    <cellStyle name="Currency 2 3 9" xfId="765" xr:uid="{00000000-0005-0000-0000-00002F020000}"/>
    <cellStyle name="Currency 2 3 9 2" xfId="766" xr:uid="{00000000-0005-0000-0000-000030020000}"/>
    <cellStyle name="Currency 2 3 9 2 2" xfId="6100" xr:uid="{99CDD828-AFC5-471C-A7A8-4143B20E1F8F}"/>
    <cellStyle name="Currency 2 3 9 3" xfId="6099" xr:uid="{94904CEA-0C6C-4505-B821-4BEC8E198B52}"/>
    <cellStyle name="Currency 2 4" xfId="47" xr:uid="{00000000-0005-0000-0000-000031020000}"/>
    <cellStyle name="Currency 2 4 10" xfId="767" xr:uid="{00000000-0005-0000-0000-000032020000}"/>
    <cellStyle name="Currency 2 4 10 2" xfId="6101" xr:uid="{D8115751-D5BB-4A73-8902-6BE0DF681C23}"/>
    <cellStyle name="Currency 2 4 11" xfId="5382" xr:uid="{DCDB56E0-73F3-47EB-86FD-5E49DCF1A7A9}"/>
    <cellStyle name="Currency 2 4 2" xfId="48" xr:uid="{00000000-0005-0000-0000-000033020000}"/>
    <cellStyle name="Currency 2 4 2 10" xfId="5383" xr:uid="{E8D7047F-5D00-4158-8FB2-7BDEC7E05B44}"/>
    <cellStyle name="Currency 2 4 2 2" xfId="49" xr:uid="{00000000-0005-0000-0000-000034020000}"/>
    <cellStyle name="Currency 2 4 2 2 2" xfId="768" xr:uid="{00000000-0005-0000-0000-000035020000}"/>
    <cellStyle name="Currency 2 4 2 2 2 2" xfId="769" xr:uid="{00000000-0005-0000-0000-000036020000}"/>
    <cellStyle name="Currency 2 4 2 2 2 2 2" xfId="770" xr:uid="{00000000-0005-0000-0000-000037020000}"/>
    <cellStyle name="Currency 2 4 2 2 2 2 2 2" xfId="6104" xr:uid="{BD5E6A1C-74A9-4616-9A56-B4B5AA00A20D}"/>
    <cellStyle name="Currency 2 4 2 2 2 2 3" xfId="771" xr:uid="{00000000-0005-0000-0000-000038020000}"/>
    <cellStyle name="Currency 2 4 2 2 2 2 3 2" xfId="6105" xr:uid="{EEDC40F5-0E57-4893-B4F0-279DA90919E0}"/>
    <cellStyle name="Currency 2 4 2 2 2 2 4" xfId="6103" xr:uid="{67AFE655-0A07-4301-B963-A1295A6EF197}"/>
    <cellStyle name="Currency 2 4 2 2 2 3" xfId="772" xr:uid="{00000000-0005-0000-0000-000039020000}"/>
    <cellStyle name="Currency 2 4 2 2 2 3 2" xfId="6106" xr:uid="{A4893E78-48F7-4715-8BEC-A2CB51960A97}"/>
    <cellStyle name="Currency 2 4 2 2 2 4" xfId="773" xr:uid="{00000000-0005-0000-0000-00003A020000}"/>
    <cellStyle name="Currency 2 4 2 2 2 4 2" xfId="6107" xr:uid="{CAAE17E1-D8E3-4F0D-BC3C-EFF6C6E2E676}"/>
    <cellStyle name="Currency 2 4 2 2 2 5" xfId="6102" xr:uid="{4CBF0A03-729E-4896-8B88-6F7EBF5E9747}"/>
    <cellStyle name="Currency 2 4 2 2 3" xfId="774" xr:uid="{00000000-0005-0000-0000-00003B020000}"/>
    <cellStyle name="Currency 2 4 2 2 3 2" xfId="775" xr:uid="{00000000-0005-0000-0000-00003C020000}"/>
    <cellStyle name="Currency 2 4 2 2 3 2 2" xfId="776" xr:uid="{00000000-0005-0000-0000-00003D020000}"/>
    <cellStyle name="Currency 2 4 2 2 3 2 2 2" xfId="6110" xr:uid="{21F11C35-71E9-4FCA-AB7F-1A8109F07367}"/>
    <cellStyle name="Currency 2 4 2 2 3 2 3" xfId="6109" xr:uid="{4A43638F-001A-4EF0-AF49-A2286F12B535}"/>
    <cellStyle name="Currency 2 4 2 2 3 3" xfId="777" xr:uid="{00000000-0005-0000-0000-00003E020000}"/>
    <cellStyle name="Currency 2 4 2 2 3 3 2" xfId="6111" xr:uid="{4FD5AD98-C21B-4AF8-89C3-F0774395137B}"/>
    <cellStyle name="Currency 2 4 2 2 3 4" xfId="778" xr:uid="{00000000-0005-0000-0000-00003F020000}"/>
    <cellStyle name="Currency 2 4 2 2 3 4 2" xfId="6112" xr:uid="{DC15A4E1-E95A-4AEF-8A6E-367CEAEF75C6}"/>
    <cellStyle name="Currency 2 4 2 2 3 5" xfId="6108" xr:uid="{654597E9-10DB-41C8-AEDC-0083875C3B68}"/>
    <cellStyle name="Currency 2 4 2 2 4" xfId="779" xr:uid="{00000000-0005-0000-0000-000040020000}"/>
    <cellStyle name="Currency 2 4 2 2 4 2" xfId="780" xr:uid="{00000000-0005-0000-0000-000041020000}"/>
    <cellStyle name="Currency 2 4 2 2 4 2 2" xfId="6114" xr:uid="{57CAA98A-9B60-4105-9F0F-083C15419E9D}"/>
    <cellStyle name="Currency 2 4 2 2 4 3" xfId="6113" xr:uid="{B6FC7F88-86E8-4CB6-B346-3492094D06C0}"/>
    <cellStyle name="Currency 2 4 2 2 5" xfId="781" xr:uid="{00000000-0005-0000-0000-000042020000}"/>
    <cellStyle name="Currency 2 4 2 2 5 2" xfId="782" xr:uid="{00000000-0005-0000-0000-000043020000}"/>
    <cellStyle name="Currency 2 4 2 2 5 2 2" xfId="6116" xr:uid="{04D45D15-F268-4BCC-96C9-5D494FF7BE52}"/>
    <cellStyle name="Currency 2 4 2 2 5 3" xfId="6115" xr:uid="{791DA9F9-90D8-49BB-8290-5EFB502E2E0D}"/>
    <cellStyle name="Currency 2 4 2 2 6" xfId="783" xr:uid="{00000000-0005-0000-0000-000044020000}"/>
    <cellStyle name="Currency 2 4 2 2 6 2" xfId="784" xr:uid="{00000000-0005-0000-0000-000045020000}"/>
    <cellStyle name="Currency 2 4 2 2 6 2 2" xfId="6118" xr:uid="{05F6AA90-9913-494A-9B7E-6113B86903E1}"/>
    <cellStyle name="Currency 2 4 2 2 6 3" xfId="6117" xr:uid="{40580A95-353F-410D-852C-3341BC9A81B8}"/>
    <cellStyle name="Currency 2 4 2 2 7" xfId="785" xr:uid="{00000000-0005-0000-0000-000046020000}"/>
    <cellStyle name="Currency 2 4 2 2 7 2" xfId="6119" xr:uid="{2FB4CCCD-21F1-47C7-9AED-CA423F5BEF14}"/>
    <cellStyle name="Currency 2 4 2 2 8" xfId="786" xr:uid="{00000000-0005-0000-0000-000047020000}"/>
    <cellStyle name="Currency 2 4 2 2 8 2" xfId="6120" xr:uid="{F749879B-FFAB-4652-BF5E-CB98EE9BE27C}"/>
    <cellStyle name="Currency 2 4 2 2 9" xfId="5384" xr:uid="{3DD596E9-FBE5-438E-BF51-2781AB4A1346}"/>
    <cellStyle name="Currency 2 4 2 3" xfId="787" xr:uid="{00000000-0005-0000-0000-000048020000}"/>
    <cellStyle name="Currency 2 4 2 3 2" xfId="788" xr:uid="{00000000-0005-0000-0000-000049020000}"/>
    <cellStyle name="Currency 2 4 2 3 2 2" xfId="789" xr:uid="{00000000-0005-0000-0000-00004A020000}"/>
    <cellStyle name="Currency 2 4 2 3 2 2 2" xfId="6123" xr:uid="{A5522942-C93D-4348-9C55-7E65DE6BACC2}"/>
    <cellStyle name="Currency 2 4 2 3 2 3" xfId="790" xr:uid="{00000000-0005-0000-0000-00004B020000}"/>
    <cellStyle name="Currency 2 4 2 3 2 3 2" xfId="6124" xr:uid="{44F146E9-55C1-4B8D-9406-ABA988496B21}"/>
    <cellStyle name="Currency 2 4 2 3 2 4" xfId="6122" xr:uid="{D7C7CE93-4A2E-4A91-A5F2-E729020BCF8F}"/>
    <cellStyle name="Currency 2 4 2 3 3" xfId="791" xr:uid="{00000000-0005-0000-0000-00004C020000}"/>
    <cellStyle name="Currency 2 4 2 3 3 2" xfId="6125" xr:uid="{DFE89226-D1A9-4072-9310-7ECD503D4F4F}"/>
    <cellStyle name="Currency 2 4 2 3 4" xfId="792" xr:uid="{00000000-0005-0000-0000-00004D020000}"/>
    <cellStyle name="Currency 2 4 2 3 4 2" xfId="6126" xr:uid="{F276D6C3-2253-4F95-87B3-CF05A5B273D3}"/>
    <cellStyle name="Currency 2 4 2 3 5" xfId="6121" xr:uid="{6793D59E-2C82-459D-823B-CB92ADC57BF1}"/>
    <cellStyle name="Currency 2 4 2 4" xfId="793" xr:uid="{00000000-0005-0000-0000-00004E020000}"/>
    <cellStyle name="Currency 2 4 2 4 2" xfId="794" xr:uid="{00000000-0005-0000-0000-00004F020000}"/>
    <cellStyle name="Currency 2 4 2 4 2 2" xfId="795" xr:uid="{00000000-0005-0000-0000-000050020000}"/>
    <cellStyle name="Currency 2 4 2 4 2 2 2" xfId="6129" xr:uid="{0F8DBEB5-3E45-4940-AAEB-33DE066106B4}"/>
    <cellStyle name="Currency 2 4 2 4 2 3" xfId="6128" xr:uid="{5CE1F91F-AD71-4426-B0A3-EBCF2D724E2E}"/>
    <cellStyle name="Currency 2 4 2 4 3" xfId="796" xr:uid="{00000000-0005-0000-0000-000051020000}"/>
    <cellStyle name="Currency 2 4 2 4 3 2" xfId="6130" xr:uid="{9BEE4A00-CBA8-4F15-8F17-C1293488C99A}"/>
    <cellStyle name="Currency 2 4 2 4 4" xfId="797" xr:uid="{00000000-0005-0000-0000-000052020000}"/>
    <cellStyle name="Currency 2 4 2 4 4 2" xfId="6131" xr:uid="{F86268C5-4B95-42A4-B8BF-B2DD127785BB}"/>
    <cellStyle name="Currency 2 4 2 4 5" xfId="6127" xr:uid="{39DF2DFE-6944-414F-94E1-B84BDD983E7E}"/>
    <cellStyle name="Currency 2 4 2 5" xfId="798" xr:uid="{00000000-0005-0000-0000-000053020000}"/>
    <cellStyle name="Currency 2 4 2 5 2" xfId="799" xr:uid="{00000000-0005-0000-0000-000054020000}"/>
    <cellStyle name="Currency 2 4 2 5 2 2" xfId="6133" xr:uid="{6767AB35-486F-4AD3-9499-84E4752778A7}"/>
    <cellStyle name="Currency 2 4 2 5 3" xfId="6132" xr:uid="{47057FAB-435A-4063-9522-B11AA508A131}"/>
    <cellStyle name="Currency 2 4 2 6" xfId="800" xr:uid="{00000000-0005-0000-0000-000055020000}"/>
    <cellStyle name="Currency 2 4 2 6 2" xfId="801" xr:uid="{00000000-0005-0000-0000-000056020000}"/>
    <cellStyle name="Currency 2 4 2 6 2 2" xfId="6135" xr:uid="{2D88383D-22DE-448B-B429-C65C75913426}"/>
    <cellStyle name="Currency 2 4 2 6 3" xfId="6134" xr:uid="{6054F5C4-B78A-41B9-A3C7-75CF008A0D6E}"/>
    <cellStyle name="Currency 2 4 2 7" xfId="802" xr:uid="{00000000-0005-0000-0000-000057020000}"/>
    <cellStyle name="Currency 2 4 2 7 2" xfId="803" xr:uid="{00000000-0005-0000-0000-000058020000}"/>
    <cellStyle name="Currency 2 4 2 7 2 2" xfId="6137" xr:uid="{774D850A-5D30-4A7A-8C33-435D7971DA0E}"/>
    <cellStyle name="Currency 2 4 2 7 3" xfId="6136" xr:uid="{D646D306-C13C-485F-BB9A-E13B53E229FA}"/>
    <cellStyle name="Currency 2 4 2 8" xfId="804" xr:uid="{00000000-0005-0000-0000-000059020000}"/>
    <cellStyle name="Currency 2 4 2 8 2" xfId="6138" xr:uid="{4C4271E7-2A93-47DE-99CD-32D6CDA6B6C0}"/>
    <cellStyle name="Currency 2 4 2 9" xfId="805" xr:uid="{00000000-0005-0000-0000-00005A020000}"/>
    <cellStyle name="Currency 2 4 2 9 2" xfId="6139" xr:uid="{289DDF9E-677F-479B-9161-1A49B52518FF}"/>
    <cellStyle name="Currency 2 4 3" xfId="50" xr:uid="{00000000-0005-0000-0000-00005B020000}"/>
    <cellStyle name="Currency 2 4 3 2" xfId="806" xr:uid="{00000000-0005-0000-0000-00005C020000}"/>
    <cellStyle name="Currency 2 4 3 2 2" xfId="807" xr:uid="{00000000-0005-0000-0000-00005D020000}"/>
    <cellStyle name="Currency 2 4 3 2 2 2" xfId="808" xr:uid="{00000000-0005-0000-0000-00005E020000}"/>
    <cellStyle name="Currency 2 4 3 2 2 2 2" xfId="6142" xr:uid="{6534E950-AE69-4F09-B830-36D2D684B3D1}"/>
    <cellStyle name="Currency 2 4 3 2 2 3" xfId="809" xr:uid="{00000000-0005-0000-0000-00005F020000}"/>
    <cellStyle name="Currency 2 4 3 2 2 3 2" xfId="6143" xr:uid="{461FA02C-940D-40EB-84EA-C3D40D00B1F8}"/>
    <cellStyle name="Currency 2 4 3 2 2 4" xfId="6141" xr:uid="{05980100-DF96-4ACB-A895-12BEEF86B4C8}"/>
    <cellStyle name="Currency 2 4 3 2 3" xfId="810" xr:uid="{00000000-0005-0000-0000-000060020000}"/>
    <cellStyle name="Currency 2 4 3 2 3 2" xfId="6144" xr:uid="{060310DA-11FB-4786-9705-3F0BF5F891DD}"/>
    <cellStyle name="Currency 2 4 3 2 4" xfId="811" xr:uid="{00000000-0005-0000-0000-000061020000}"/>
    <cellStyle name="Currency 2 4 3 2 4 2" xfId="6145" xr:uid="{3CBE2970-A16A-4BAA-87E5-F3993CB636B9}"/>
    <cellStyle name="Currency 2 4 3 2 5" xfId="6140" xr:uid="{D76265A0-045E-4033-898A-24D4C41B51BC}"/>
    <cellStyle name="Currency 2 4 3 3" xfId="812" xr:uid="{00000000-0005-0000-0000-000062020000}"/>
    <cellStyle name="Currency 2 4 3 3 2" xfId="813" xr:uid="{00000000-0005-0000-0000-000063020000}"/>
    <cellStyle name="Currency 2 4 3 3 2 2" xfId="814" xr:uid="{00000000-0005-0000-0000-000064020000}"/>
    <cellStyle name="Currency 2 4 3 3 2 2 2" xfId="6148" xr:uid="{8ACCDB65-1FAE-4508-B169-C987128C7C98}"/>
    <cellStyle name="Currency 2 4 3 3 2 3" xfId="6147" xr:uid="{DC887C2E-45CC-433F-9614-CF41EE10A882}"/>
    <cellStyle name="Currency 2 4 3 3 3" xfId="815" xr:uid="{00000000-0005-0000-0000-000065020000}"/>
    <cellStyle name="Currency 2 4 3 3 3 2" xfId="6149" xr:uid="{E5F445D5-72F5-4BA4-8DDA-63BD28C4C7DD}"/>
    <cellStyle name="Currency 2 4 3 3 4" xfId="816" xr:uid="{00000000-0005-0000-0000-000066020000}"/>
    <cellStyle name="Currency 2 4 3 3 4 2" xfId="6150" xr:uid="{6E41D864-026A-431B-8B92-6EF78536F638}"/>
    <cellStyle name="Currency 2 4 3 3 5" xfId="6146" xr:uid="{4A882F86-9E7A-46BA-8698-8665F86AE92D}"/>
    <cellStyle name="Currency 2 4 3 4" xfId="817" xr:uid="{00000000-0005-0000-0000-000067020000}"/>
    <cellStyle name="Currency 2 4 3 4 2" xfId="818" xr:uid="{00000000-0005-0000-0000-000068020000}"/>
    <cellStyle name="Currency 2 4 3 4 2 2" xfId="6152" xr:uid="{7D2A8468-9504-4706-AE4E-FBD7FC5E88F0}"/>
    <cellStyle name="Currency 2 4 3 4 3" xfId="6151" xr:uid="{59524E73-0A65-4731-A1FF-74E89549DDB0}"/>
    <cellStyle name="Currency 2 4 3 5" xfId="819" xr:uid="{00000000-0005-0000-0000-000069020000}"/>
    <cellStyle name="Currency 2 4 3 5 2" xfId="820" xr:uid="{00000000-0005-0000-0000-00006A020000}"/>
    <cellStyle name="Currency 2 4 3 5 2 2" xfId="6154" xr:uid="{8B2CD5DB-6D21-4FC7-B819-DF4076AC722D}"/>
    <cellStyle name="Currency 2 4 3 5 3" xfId="6153" xr:uid="{AEDC8FAB-6C6B-47D9-8616-EF54EBAE82F8}"/>
    <cellStyle name="Currency 2 4 3 6" xfId="821" xr:uid="{00000000-0005-0000-0000-00006B020000}"/>
    <cellStyle name="Currency 2 4 3 6 2" xfId="822" xr:uid="{00000000-0005-0000-0000-00006C020000}"/>
    <cellStyle name="Currency 2 4 3 6 2 2" xfId="6156" xr:uid="{B411E4FB-4BCA-4D68-98F7-C31B9152F0EC}"/>
    <cellStyle name="Currency 2 4 3 6 3" xfId="6155" xr:uid="{920894C0-3E2B-408E-92C0-A384B497B668}"/>
    <cellStyle name="Currency 2 4 3 7" xfId="823" xr:uid="{00000000-0005-0000-0000-00006D020000}"/>
    <cellStyle name="Currency 2 4 3 7 2" xfId="6157" xr:uid="{AE0B184F-E00D-4C69-A996-C1798AD1EB0F}"/>
    <cellStyle name="Currency 2 4 3 8" xfId="824" xr:uid="{00000000-0005-0000-0000-00006E020000}"/>
    <cellStyle name="Currency 2 4 3 8 2" xfId="6158" xr:uid="{6CDBFADE-09FF-40BA-B6A3-9D98AF7E5FE3}"/>
    <cellStyle name="Currency 2 4 3 9" xfId="5385" xr:uid="{D7664A0C-48AC-4ABD-8177-AE1A4FC07EE3}"/>
    <cellStyle name="Currency 2 4 4" xfId="825" xr:uid="{00000000-0005-0000-0000-00006F020000}"/>
    <cellStyle name="Currency 2 4 4 2" xfId="826" xr:uid="{00000000-0005-0000-0000-000070020000}"/>
    <cellStyle name="Currency 2 4 4 2 2" xfId="827" xr:uid="{00000000-0005-0000-0000-000071020000}"/>
    <cellStyle name="Currency 2 4 4 2 2 2" xfId="6161" xr:uid="{D0994DD9-8CCA-4CC6-A782-925271D850C0}"/>
    <cellStyle name="Currency 2 4 4 2 3" xfId="828" xr:uid="{00000000-0005-0000-0000-000072020000}"/>
    <cellStyle name="Currency 2 4 4 2 3 2" xfId="6162" xr:uid="{7987541A-9A20-4166-B457-AEAAED1066CD}"/>
    <cellStyle name="Currency 2 4 4 2 4" xfId="6160" xr:uid="{05E4F26F-545D-4E50-8A3B-6953A06CF376}"/>
    <cellStyle name="Currency 2 4 4 3" xfId="829" xr:uid="{00000000-0005-0000-0000-000073020000}"/>
    <cellStyle name="Currency 2 4 4 3 2" xfId="830" xr:uid="{00000000-0005-0000-0000-000074020000}"/>
    <cellStyle name="Currency 2 4 4 3 2 2" xfId="6164" xr:uid="{B2C8B536-18BA-4965-B29D-3FED09E83114}"/>
    <cellStyle name="Currency 2 4 4 3 3" xfId="6163" xr:uid="{816A7125-8BC7-4FA3-8C45-690805BF58A9}"/>
    <cellStyle name="Currency 2 4 4 4" xfId="831" xr:uid="{00000000-0005-0000-0000-000075020000}"/>
    <cellStyle name="Currency 2 4 4 4 2" xfId="6165" xr:uid="{1813ABA8-6369-4318-9F44-850A37EAC151}"/>
    <cellStyle name="Currency 2 4 4 5" xfId="6159" xr:uid="{C5642DD7-C66C-49B6-8988-C8ECD3D1EE35}"/>
    <cellStyle name="Currency 2 4 5" xfId="832" xr:uid="{00000000-0005-0000-0000-000076020000}"/>
    <cellStyle name="Currency 2 4 5 2" xfId="833" xr:uid="{00000000-0005-0000-0000-000077020000}"/>
    <cellStyle name="Currency 2 4 5 2 2" xfId="834" xr:uid="{00000000-0005-0000-0000-000078020000}"/>
    <cellStyle name="Currency 2 4 5 2 2 2" xfId="6168" xr:uid="{299E497F-530B-4B45-9508-B713083FD5C4}"/>
    <cellStyle name="Currency 2 4 5 2 3" xfId="6167" xr:uid="{65264E07-8182-40D1-9BFC-D7729CC77FA7}"/>
    <cellStyle name="Currency 2 4 5 3" xfId="835" xr:uid="{00000000-0005-0000-0000-000079020000}"/>
    <cellStyle name="Currency 2 4 5 3 2" xfId="6169" xr:uid="{54ED0BA1-51CF-4524-A710-AFE3CA83F713}"/>
    <cellStyle name="Currency 2 4 5 4" xfId="836" xr:uid="{00000000-0005-0000-0000-00007A020000}"/>
    <cellStyle name="Currency 2 4 5 4 2" xfId="6170" xr:uid="{943C7C8F-AF9A-4459-948D-E44B1AAB71DF}"/>
    <cellStyle name="Currency 2 4 5 5" xfId="6166" xr:uid="{9C30D059-DB5B-4CD8-9A23-47BD659849E0}"/>
    <cellStyle name="Currency 2 4 6" xfId="837" xr:uid="{00000000-0005-0000-0000-00007B020000}"/>
    <cellStyle name="Currency 2 4 6 2" xfId="838" xr:uid="{00000000-0005-0000-0000-00007C020000}"/>
    <cellStyle name="Currency 2 4 6 2 2" xfId="6172" xr:uid="{8F3CA135-8DD6-4BD3-891A-630CDBFBC46A}"/>
    <cellStyle name="Currency 2 4 6 3" xfId="839" xr:uid="{00000000-0005-0000-0000-00007D020000}"/>
    <cellStyle name="Currency 2 4 6 3 2" xfId="6173" xr:uid="{B085E3CD-BE90-4C11-8FCB-FF5068E0732B}"/>
    <cellStyle name="Currency 2 4 6 4" xfId="6171" xr:uid="{05F98F08-11FD-4EAB-A9A0-6CB8382DF426}"/>
    <cellStyle name="Currency 2 4 7" xfId="840" xr:uid="{00000000-0005-0000-0000-00007E020000}"/>
    <cellStyle name="Currency 2 4 7 2" xfId="841" xr:uid="{00000000-0005-0000-0000-00007F020000}"/>
    <cellStyle name="Currency 2 4 7 2 2" xfId="6175" xr:uid="{209B6A5A-F0CF-4210-BF29-30C405B10B67}"/>
    <cellStyle name="Currency 2 4 7 3" xfId="6174" xr:uid="{F4D41D93-91BD-4074-8C8B-1811702A4537}"/>
    <cellStyle name="Currency 2 4 8" xfId="842" xr:uid="{00000000-0005-0000-0000-000080020000}"/>
    <cellStyle name="Currency 2 4 8 2" xfId="843" xr:uid="{00000000-0005-0000-0000-000081020000}"/>
    <cellStyle name="Currency 2 4 8 2 2" xfId="6177" xr:uid="{6FF58568-A42E-484E-A07C-8998B110902D}"/>
    <cellStyle name="Currency 2 4 8 3" xfId="6176" xr:uid="{22372E10-ABB4-421F-A59D-0B3648DFA2EB}"/>
    <cellStyle name="Currency 2 4 9" xfId="844" xr:uid="{00000000-0005-0000-0000-000082020000}"/>
    <cellStyle name="Currency 2 4 9 2" xfId="6178" xr:uid="{B6B2CE81-68EB-4BEA-AC50-4CB835FCB3DD}"/>
    <cellStyle name="Currency 2 5" xfId="51" xr:uid="{00000000-0005-0000-0000-000083020000}"/>
    <cellStyle name="Currency 2 5 10" xfId="5386" xr:uid="{4C828C77-6C8C-4759-8695-EC30AE9B0278}"/>
    <cellStyle name="Currency 2 5 2" xfId="52" xr:uid="{00000000-0005-0000-0000-000084020000}"/>
    <cellStyle name="Currency 2 5 2 2" xfId="845" xr:uid="{00000000-0005-0000-0000-000085020000}"/>
    <cellStyle name="Currency 2 5 2 2 2" xfId="846" xr:uid="{00000000-0005-0000-0000-000086020000}"/>
    <cellStyle name="Currency 2 5 2 2 2 2" xfId="847" xr:uid="{00000000-0005-0000-0000-000087020000}"/>
    <cellStyle name="Currency 2 5 2 2 2 2 2" xfId="6181" xr:uid="{7F120A06-6698-412E-9EFA-6A489BB6A4EC}"/>
    <cellStyle name="Currency 2 5 2 2 2 3" xfId="848" xr:uid="{00000000-0005-0000-0000-000088020000}"/>
    <cellStyle name="Currency 2 5 2 2 2 3 2" xfId="6182" xr:uid="{F6917DDF-9F97-48C6-B4D3-34E00D6B6CD9}"/>
    <cellStyle name="Currency 2 5 2 2 2 4" xfId="6180" xr:uid="{40392AD0-7630-4999-B4A2-C5532DE86514}"/>
    <cellStyle name="Currency 2 5 2 2 3" xfId="849" xr:uid="{00000000-0005-0000-0000-000089020000}"/>
    <cellStyle name="Currency 2 5 2 2 3 2" xfId="6183" xr:uid="{CA791EC1-2773-453B-AF4C-300073DF0476}"/>
    <cellStyle name="Currency 2 5 2 2 4" xfId="850" xr:uid="{00000000-0005-0000-0000-00008A020000}"/>
    <cellStyle name="Currency 2 5 2 2 4 2" xfId="6184" xr:uid="{798F4B71-5B97-40F1-A59D-A5C01A8623AE}"/>
    <cellStyle name="Currency 2 5 2 2 5" xfId="6179" xr:uid="{5C0B2A2B-7810-4315-8688-CCA095495562}"/>
    <cellStyle name="Currency 2 5 2 3" xfId="851" xr:uid="{00000000-0005-0000-0000-00008B020000}"/>
    <cellStyle name="Currency 2 5 2 3 2" xfId="852" xr:uid="{00000000-0005-0000-0000-00008C020000}"/>
    <cellStyle name="Currency 2 5 2 3 2 2" xfId="853" xr:uid="{00000000-0005-0000-0000-00008D020000}"/>
    <cellStyle name="Currency 2 5 2 3 2 2 2" xfId="6187" xr:uid="{C4AC9B5A-ACAE-4ADA-AB17-E6DE1545E2EC}"/>
    <cellStyle name="Currency 2 5 2 3 2 3" xfId="6186" xr:uid="{61100404-2290-4B79-B7EB-2F04168F9D9C}"/>
    <cellStyle name="Currency 2 5 2 3 3" xfId="854" xr:uid="{00000000-0005-0000-0000-00008E020000}"/>
    <cellStyle name="Currency 2 5 2 3 3 2" xfId="6188" xr:uid="{8BB853A5-1E85-4157-917D-B4D4A9FDE9B0}"/>
    <cellStyle name="Currency 2 5 2 3 4" xfId="855" xr:uid="{00000000-0005-0000-0000-00008F020000}"/>
    <cellStyle name="Currency 2 5 2 3 4 2" xfId="6189" xr:uid="{9511F877-24AB-4672-BE53-EA21AFE4B541}"/>
    <cellStyle name="Currency 2 5 2 3 5" xfId="6185" xr:uid="{A3FB47DC-B75C-4EAB-B7AB-20152AB3A81D}"/>
    <cellStyle name="Currency 2 5 2 4" xfId="856" xr:uid="{00000000-0005-0000-0000-000090020000}"/>
    <cellStyle name="Currency 2 5 2 4 2" xfId="857" xr:uid="{00000000-0005-0000-0000-000091020000}"/>
    <cellStyle name="Currency 2 5 2 4 2 2" xfId="6191" xr:uid="{0987DF15-A4C2-4881-9065-E9F389BBAB76}"/>
    <cellStyle name="Currency 2 5 2 4 3" xfId="6190" xr:uid="{762A8BC5-F893-430A-9D79-64DE56BB4B11}"/>
    <cellStyle name="Currency 2 5 2 5" xfId="858" xr:uid="{00000000-0005-0000-0000-000092020000}"/>
    <cellStyle name="Currency 2 5 2 5 2" xfId="859" xr:uid="{00000000-0005-0000-0000-000093020000}"/>
    <cellStyle name="Currency 2 5 2 5 2 2" xfId="6193" xr:uid="{79D9C2CD-AC86-4D30-9E69-6B0E86698182}"/>
    <cellStyle name="Currency 2 5 2 5 3" xfId="6192" xr:uid="{32188239-F90D-4EAB-84DA-89E23DF3923A}"/>
    <cellStyle name="Currency 2 5 2 6" xfId="860" xr:uid="{00000000-0005-0000-0000-000094020000}"/>
    <cellStyle name="Currency 2 5 2 6 2" xfId="861" xr:uid="{00000000-0005-0000-0000-000095020000}"/>
    <cellStyle name="Currency 2 5 2 6 2 2" xfId="6195" xr:uid="{8EBF822B-B054-4FA1-9A54-A434C757C921}"/>
    <cellStyle name="Currency 2 5 2 6 3" xfId="6194" xr:uid="{05DBBDE7-EB89-4FFC-8EF2-16535EAF5FED}"/>
    <cellStyle name="Currency 2 5 2 7" xfId="862" xr:uid="{00000000-0005-0000-0000-000096020000}"/>
    <cellStyle name="Currency 2 5 2 7 2" xfId="6196" xr:uid="{FDFBD58E-18F3-4E33-A8F8-FF3C08534DD2}"/>
    <cellStyle name="Currency 2 5 2 8" xfId="863" xr:uid="{00000000-0005-0000-0000-000097020000}"/>
    <cellStyle name="Currency 2 5 2 8 2" xfId="6197" xr:uid="{E13D2DDD-B580-4686-B74F-3F6349E2BADC}"/>
    <cellStyle name="Currency 2 5 2 9" xfId="5387" xr:uid="{E97BD127-6CC6-4EEC-950F-21CA29FA740D}"/>
    <cellStyle name="Currency 2 5 3" xfId="864" xr:uid="{00000000-0005-0000-0000-000098020000}"/>
    <cellStyle name="Currency 2 5 3 2" xfId="865" xr:uid="{00000000-0005-0000-0000-000099020000}"/>
    <cellStyle name="Currency 2 5 3 2 2" xfId="866" xr:uid="{00000000-0005-0000-0000-00009A020000}"/>
    <cellStyle name="Currency 2 5 3 2 2 2" xfId="6200" xr:uid="{47490767-64AE-40AB-99A4-D7C363379AB0}"/>
    <cellStyle name="Currency 2 5 3 2 3" xfId="867" xr:uid="{00000000-0005-0000-0000-00009B020000}"/>
    <cellStyle name="Currency 2 5 3 2 3 2" xfId="6201" xr:uid="{2FD47C83-84B8-4EF1-AE54-AB1395D3EC03}"/>
    <cellStyle name="Currency 2 5 3 2 4" xfId="6199" xr:uid="{B142A2CB-3BF7-45F1-A04D-A7D79E76C395}"/>
    <cellStyle name="Currency 2 5 3 3" xfId="868" xr:uid="{00000000-0005-0000-0000-00009C020000}"/>
    <cellStyle name="Currency 2 5 3 3 2" xfId="6202" xr:uid="{4790299E-BA54-424A-BDD3-E9616760BA79}"/>
    <cellStyle name="Currency 2 5 3 4" xfId="869" xr:uid="{00000000-0005-0000-0000-00009D020000}"/>
    <cellStyle name="Currency 2 5 3 4 2" xfId="6203" xr:uid="{5F2487DA-D29B-446A-B27E-A4E9054F42A9}"/>
    <cellStyle name="Currency 2 5 3 5" xfId="6198" xr:uid="{76BA6223-407A-4EDB-A32B-B99F63A75537}"/>
    <cellStyle name="Currency 2 5 4" xfId="870" xr:uid="{00000000-0005-0000-0000-00009E020000}"/>
    <cellStyle name="Currency 2 5 4 2" xfId="871" xr:uid="{00000000-0005-0000-0000-00009F020000}"/>
    <cellStyle name="Currency 2 5 4 2 2" xfId="872" xr:uid="{00000000-0005-0000-0000-0000A0020000}"/>
    <cellStyle name="Currency 2 5 4 2 2 2" xfId="6206" xr:uid="{6DF9B0F2-C8B1-4BB4-AE70-5C3F8F52F85B}"/>
    <cellStyle name="Currency 2 5 4 2 3" xfId="6205" xr:uid="{2460C6C2-021C-4709-BF4E-523E38FC29B8}"/>
    <cellStyle name="Currency 2 5 4 3" xfId="873" xr:uid="{00000000-0005-0000-0000-0000A1020000}"/>
    <cellStyle name="Currency 2 5 4 3 2" xfId="6207" xr:uid="{2CBA533B-BEA3-41B5-BAE5-7F515D789253}"/>
    <cellStyle name="Currency 2 5 4 4" xfId="874" xr:uid="{00000000-0005-0000-0000-0000A2020000}"/>
    <cellStyle name="Currency 2 5 4 4 2" xfId="6208" xr:uid="{D70891BB-8E0E-4EC0-9ACC-73057FC5806C}"/>
    <cellStyle name="Currency 2 5 4 5" xfId="6204" xr:uid="{0D784152-7F2F-4D49-AFE0-2DA605A8454A}"/>
    <cellStyle name="Currency 2 5 5" xfId="875" xr:uid="{00000000-0005-0000-0000-0000A3020000}"/>
    <cellStyle name="Currency 2 5 5 2" xfId="876" xr:uid="{00000000-0005-0000-0000-0000A4020000}"/>
    <cellStyle name="Currency 2 5 5 2 2" xfId="6210" xr:uid="{952CF792-19F4-4026-8B1C-2C2B0494CFC8}"/>
    <cellStyle name="Currency 2 5 5 3" xfId="6209" xr:uid="{89D777B1-0003-47E7-B735-3C5DAEA3EC71}"/>
    <cellStyle name="Currency 2 5 6" xfId="877" xr:uid="{00000000-0005-0000-0000-0000A5020000}"/>
    <cellStyle name="Currency 2 5 6 2" xfId="878" xr:uid="{00000000-0005-0000-0000-0000A6020000}"/>
    <cellStyle name="Currency 2 5 6 2 2" xfId="6212" xr:uid="{EAE8E949-B14A-407D-9F8A-3CB9954C2969}"/>
    <cellStyle name="Currency 2 5 6 3" xfId="6211" xr:uid="{8BA496EA-BEA5-42E7-ABBE-C25200F3EF01}"/>
    <cellStyle name="Currency 2 5 7" xfId="879" xr:uid="{00000000-0005-0000-0000-0000A7020000}"/>
    <cellStyle name="Currency 2 5 7 2" xfId="880" xr:uid="{00000000-0005-0000-0000-0000A8020000}"/>
    <cellStyle name="Currency 2 5 7 2 2" xfId="6214" xr:uid="{592D5DCD-AC96-43FD-B47B-491B9C76E617}"/>
    <cellStyle name="Currency 2 5 7 3" xfId="6213" xr:uid="{DD100D87-51F5-454B-96D3-BB046533F863}"/>
    <cellStyle name="Currency 2 5 8" xfId="881" xr:uid="{00000000-0005-0000-0000-0000A9020000}"/>
    <cellStyle name="Currency 2 5 8 2" xfId="6215" xr:uid="{2D5EAFF8-4E51-4C1E-9344-434CDA5E8223}"/>
    <cellStyle name="Currency 2 5 9" xfId="882" xr:uid="{00000000-0005-0000-0000-0000AA020000}"/>
    <cellStyle name="Currency 2 5 9 2" xfId="6216" xr:uid="{B71C5FBA-740A-4522-9FD3-7B522420F4CB}"/>
    <cellStyle name="Currency 2 6" xfId="53" xr:uid="{00000000-0005-0000-0000-0000AB020000}"/>
    <cellStyle name="Currency 2 6 10" xfId="5388" xr:uid="{8F5DF94D-C440-482B-BE7B-8A560C13C767}"/>
    <cellStyle name="Currency 2 6 2" xfId="883" xr:uid="{00000000-0005-0000-0000-0000AC020000}"/>
    <cellStyle name="Currency 2 6 2 2" xfId="884" xr:uid="{00000000-0005-0000-0000-0000AD020000}"/>
    <cellStyle name="Currency 2 6 2 2 2" xfId="885" xr:uid="{00000000-0005-0000-0000-0000AE020000}"/>
    <cellStyle name="Currency 2 6 2 2 2 2" xfId="886" xr:uid="{00000000-0005-0000-0000-0000AF020000}"/>
    <cellStyle name="Currency 2 6 2 2 2 2 2" xfId="6220" xr:uid="{948ADBCB-6B08-4CA9-BC56-15565E80EAA4}"/>
    <cellStyle name="Currency 2 6 2 2 2 3" xfId="887" xr:uid="{00000000-0005-0000-0000-0000B0020000}"/>
    <cellStyle name="Currency 2 6 2 2 2 3 2" xfId="6221" xr:uid="{03911816-7C24-411C-8BEA-D57EBF9CB739}"/>
    <cellStyle name="Currency 2 6 2 2 2 4" xfId="6219" xr:uid="{902FD553-4DE2-4D4C-961D-BC433192AAF5}"/>
    <cellStyle name="Currency 2 6 2 2 3" xfId="888" xr:uid="{00000000-0005-0000-0000-0000B1020000}"/>
    <cellStyle name="Currency 2 6 2 2 3 2" xfId="6222" xr:uid="{B057899B-0AC7-449C-885C-B661918410E9}"/>
    <cellStyle name="Currency 2 6 2 2 4" xfId="889" xr:uid="{00000000-0005-0000-0000-0000B2020000}"/>
    <cellStyle name="Currency 2 6 2 2 4 2" xfId="6223" xr:uid="{2E463130-A30E-41C9-B19A-ACC7F78EEDC0}"/>
    <cellStyle name="Currency 2 6 2 2 5" xfId="6218" xr:uid="{EF8414CA-CFBA-4D2D-B3DF-FFC2DD080769}"/>
    <cellStyle name="Currency 2 6 2 3" xfId="890" xr:uid="{00000000-0005-0000-0000-0000B3020000}"/>
    <cellStyle name="Currency 2 6 2 3 2" xfId="891" xr:uid="{00000000-0005-0000-0000-0000B4020000}"/>
    <cellStyle name="Currency 2 6 2 3 2 2" xfId="892" xr:uid="{00000000-0005-0000-0000-0000B5020000}"/>
    <cellStyle name="Currency 2 6 2 3 2 2 2" xfId="6226" xr:uid="{1766D22A-D144-4A6E-AC27-8A7D348C71A7}"/>
    <cellStyle name="Currency 2 6 2 3 2 3" xfId="6225" xr:uid="{7295F423-4ADC-4E61-9A87-0AB46D857E47}"/>
    <cellStyle name="Currency 2 6 2 3 3" xfId="893" xr:uid="{00000000-0005-0000-0000-0000B6020000}"/>
    <cellStyle name="Currency 2 6 2 3 3 2" xfId="6227" xr:uid="{D2E31B49-83C4-45A4-97D5-71269994C7C9}"/>
    <cellStyle name="Currency 2 6 2 3 4" xfId="894" xr:uid="{00000000-0005-0000-0000-0000B7020000}"/>
    <cellStyle name="Currency 2 6 2 3 4 2" xfId="6228" xr:uid="{33B580AA-017D-46E8-BD35-B3D8C5FFEB5A}"/>
    <cellStyle name="Currency 2 6 2 3 5" xfId="6224" xr:uid="{B5C33308-2C62-4456-B0A9-45530F1DA1A8}"/>
    <cellStyle name="Currency 2 6 2 4" xfId="895" xr:uid="{00000000-0005-0000-0000-0000B8020000}"/>
    <cellStyle name="Currency 2 6 2 4 2" xfId="896" xr:uid="{00000000-0005-0000-0000-0000B9020000}"/>
    <cellStyle name="Currency 2 6 2 4 2 2" xfId="6230" xr:uid="{23DF5987-DCDF-464B-A385-F2DC3F703C4A}"/>
    <cellStyle name="Currency 2 6 2 4 3" xfId="6229" xr:uid="{36E856D9-1A0D-40E5-B38B-C173DC883E37}"/>
    <cellStyle name="Currency 2 6 2 5" xfId="897" xr:uid="{00000000-0005-0000-0000-0000BA020000}"/>
    <cellStyle name="Currency 2 6 2 5 2" xfId="6231" xr:uid="{9D55031D-0A59-41AA-A1CB-8395AAF5756E}"/>
    <cellStyle name="Currency 2 6 2 6" xfId="898" xr:uid="{00000000-0005-0000-0000-0000BB020000}"/>
    <cellStyle name="Currency 2 6 2 6 2" xfId="6232" xr:uid="{81826896-01B0-43A6-ADF9-9D682932BFFF}"/>
    <cellStyle name="Currency 2 6 2 7" xfId="6217" xr:uid="{242C22CF-DACE-4FD5-9F5D-75E7EA1BFEFC}"/>
    <cellStyle name="Currency 2 6 3" xfId="899" xr:uid="{00000000-0005-0000-0000-0000BC020000}"/>
    <cellStyle name="Currency 2 6 3 2" xfId="900" xr:uid="{00000000-0005-0000-0000-0000BD020000}"/>
    <cellStyle name="Currency 2 6 3 2 2" xfId="901" xr:uid="{00000000-0005-0000-0000-0000BE020000}"/>
    <cellStyle name="Currency 2 6 3 2 2 2" xfId="6235" xr:uid="{66D021CB-AF72-4310-A44D-65AECA3521CB}"/>
    <cellStyle name="Currency 2 6 3 2 3" xfId="902" xr:uid="{00000000-0005-0000-0000-0000BF020000}"/>
    <cellStyle name="Currency 2 6 3 2 3 2" xfId="6236" xr:uid="{984D1F25-719E-4053-9119-53B03C9B2475}"/>
    <cellStyle name="Currency 2 6 3 2 4" xfId="6234" xr:uid="{81AE4E4F-B756-47D1-90AC-532018AC1DAE}"/>
    <cellStyle name="Currency 2 6 3 3" xfId="903" xr:uid="{00000000-0005-0000-0000-0000C0020000}"/>
    <cellStyle name="Currency 2 6 3 3 2" xfId="6237" xr:uid="{E69B634E-6AE7-4FEF-9CA3-5E50F0EA4C32}"/>
    <cellStyle name="Currency 2 6 3 4" xfId="904" xr:uid="{00000000-0005-0000-0000-0000C1020000}"/>
    <cellStyle name="Currency 2 6 3 4 2" xfId="6238" xr:uid="{58758BC1-39F3-48D5-B082-9EBE549E2B83}"/>
    <cellStyle name="Currency 2 6 3 5" xfId="6233" xr:uid="{986DAEDB-D9F0-45A2-B5C6-80DF77DA9C83}"/>
    <cellStyle name="Currency 2 6 4" xfId="905" xr:uid="{00000000-0005-0000-0000-0000C2020000}"/>
    <cellStyle name="Currency 2 6 4 2" xfId="906" xr:uid="{00000000-0005-0000-0000-0000C3020000}"/>
    <cellStyle name="Currency 2 6 4 2 2" xfId="907" xr:uid="{00000000-0005-0000-0000-0000C4020000}"/>
    <cellStyle name="Currency 2 6 4 2 2 2" xfId="6241" xr:uid="{2FE15D12-12D0-4476-A8BD-F5CFDEC08940}"/>
    <cellStyle name="Currency 2 6 4 2 3" xfId="6240" xr:uid="{EFB95212-3980-413C-94FD-1D337BC15E90}"/>
    <cellStyle name="Currency 2 6 4 3" xfId="908" xr:uid="{00000000-0005-0000-0000-0000C5020000}"/>
    <cellStyle name="Currency 2 6 4 3 2" xfId="6242" xr:uid="{77E13959-5CEF-4FAA-88F1-450D28023410}"/>
    <cellStyle name="Currency 2 6 4 4" xfId="909" xr:uid="{00000000-0005-0000-0000-0000C6020000}"/>
    <cellStyle name="Currency 2 6 4 4 2" xfId="6243" xr:uid="{CFDFEB2E-D18D-44B9-9B6F-03599CF869D0}"/>
    <cellStyle name="Currency 2 6 4 5" xfId="6239" xr:uid="{CEE63C42-3B33-409D-8563-E15E107D32B4}"/>
    <cellStyle name="Currency 2 6 5" xfId="910" xr:uid="{00000000-0005-0000-0000-0000C7020000}"/>
    <cellStyle name="Currency 2 6 5 2" xfId="911" xr:uid="{00000000-0005-0000-0000-0000C8020000}"/>
    <cellStyle name="Currency 2 6 5 2 2" xfId="6245" xr:uid="{5A8C1785-E137-49EF-848B-BF3E9E5AF2BB}"/>
    <cellStyle name="Currency 2 6 5 3" xfId="6244" xr:uid="{810DA34D-1401-44D4-AFA0-35A7403D11EF}"/>
    <cellStyle name="Currency 2 6 6" xfId="912" xr:uid="{00000000-0005-0000-0000-0000C9020000}"/>
    <cellStyle name="Currency 2 6 6 2" xfId="913" xr:uid="{00000000-0005-0000-0000-0000CA020000}"/>
    <cellStyle name="Currency 2 6 6 2 2" xfId="6247" xr:uid="{7EEB3FA7-21E9-4820-8D73-B790EEA13E8A}"/>
    <cellStyle name="Currency 2 6 6 3" xfId="6246" xr:uid="{D1CEB274-6090-4B29-9E80-A6542F4960AB}"/>
    <cellStyle name="Currency 2 6 7" xfId="914" xr:uid="{00000000-0005-0000-0000-0000CB020000}"/>
    <cellStyle name="Currency 2 6 7 2" xfId="915" xr:uid="{00000000-0005-0000-0000-0000CC020000}"/>
    <cellStyle name="Currency 2 6 7 2 2" xfId="6249" xr:uid="{D8F95F1A-C809-44C4-965C-893D49A84F33}"/>
    <cellStyle name="Currency 2 6 7 3" xfId="6248" xr:uid="{56B44A56-FB76-47E0-9F23-80C81EE6ECEC}"/>
    <cellStyle name="Currency 2 6 8" xfId="916" xr:uid="{00000000-0005-0000-0000-0000CD020000}"/>
    <cellStyle name="Currency 2 6 8 2" xfId="6250" xr:uid="{21E1601E-E6EB-424A-B9FD-BD86B111B3E3}"/>
    <cellStyle name="Currency 2 6 9" xfId="917" xr:uid="{00000000-0005-0000-0000-0000CE020000}"/>
    <cellStyle name="Currency 2 6 9 2" xfId="6251" xr:uid="{31F3A0AF-E3E7-4705-87C7-8DE9985A5A5C}"/>
    <cellStyle name="Currency 2 7" xfId="918" xr:uid="{00000000-0005-0000-0000-0000CF020000}"/>
    <cellStyle name="Currency 2 7 2" xfId="919" xr:uid="{00000000-0005-0000-0000-0000D0020000}"/>
    <cellStyle name="Currency 2 7 2 2" xfId="920" xr:uid="{00000000-0005-0000-0000-0000D1020000}"/>
    <cellStyle name="Currency 2 7 2 2 2" xfId="921" xr:uid="{00000000-0005-0000-0000-0000D2020000}"/>
    <cellStyle name="Currency 2 7 2 2 2 2" xfId="6255" xr:uid="{E0B5DD33-5555-4C68-87EF-56E94331941D}"/>
    <cellStyle name="Currency 2 7 2 2 3" xfId="922" xr:uid="{00000000-0005-0000-0000-0000D3020000}"/>
    <cellStyle name="Currency 2 7 2 2 3 2" xfId="6256" xr:uid="{5390627A-D334-4D25-B895-14EE61B72BDA}"/>
    <cellStyle name="Currency 2 7 2 2 4" xfId="6254" xr:uid="{68032537-92EB-4CEE-8EA0-7B3B8A61E5A7}"/>
    <cellStyle name="Currency 2 7 2 3" xfId="923" xr:uid="{00000000-0005-0000-0000-0000D4020000}"/>
    <cellStyle name="Currency 2 7 2 3 2" xfId="6257" xr:uid="{1E13F3A3-D4CA-4275-A27E-06A90E18D65D}"/>
    <cellStyle name="Currency 2 7 2 4" xfId="924" xr:uid="{00000000-0005-0000-0000-0000D5020000}"/>
    <cellStyle name="Currency 2 7 2 4 2" xfId="6258" xr:uid="{E21C4CE8-D15D-4E1B-AB03-A9A775398941}"/>
    <cellStyle name="Currency 2 7 2 5" xfId="6253" xr:uid="{C315D916-99DC-4F80-A08E-D496BF23401C}"/>
    <cellStyle name="Currency 2 7 3" xfId="925" xr:uid="{00000000-0005-0000-0000-0000D6020000}"/>
    <cellStyle name="Currency 2 7 3 2" xfId="926" xr:uid="{00000000-0005-0000-0000-0000D7020000}"/>
    <cellStyle name="Currency 2 7 3 2 2" xfId="927" xr:uid="{00000000-0005-0000-0000-0000D8020000}"/>
    <cellStyle name="Currency 2 7 3 2 2 2" xfId="6261" xr:uid="{F6C5DB88-DEB0-46AF-B954-DB9ABF623D17}"/>
    <cellStyle name="Currency 2 7 3 2 3" xfId="6260" xr:uid="{43D14363-CFC3-4B2E-A29A-F9289808A58D}"/>
    <cellStyle name="Currency 2 7 3 3" xfId="928" xr:uid="{00000000-0005-0000-0000-0000D9020000}"/>
    <cellStyle name="Currency 2 7 3 3 2" xfId="6262" xr:uid="{0DE9248C-9D79-481D-B0C1-B2A46CA82BEA}"/>
    <cellStyle name="Currency 2 7 3 4" xfId="929" xr:uid="{00000000-0005-0000-0000-0000DA020000}"/>
    <cellStyle name="Currency 2 7 3 4 2" xfId="6263" xr:uid="{BE8F43A5-D63D-4F60-B144-180F1D60C02A}"/>
    <cellStyle name="Currency 2 7 3 5" xfId="6259" xr:uid="{64829BEF-4BA0-4CBC-8122-1C45E28B804E}"/>
    <cellStyle name="Currency 2 7 4" xfId="930" xr:uid="{00000000-0005-0000-0000-0000DB020000}"/>
    <cellStyle name="Currency 2 7 4 2" xfId="931" xr:uid="{00000000-0005-0000-0000-0000DC020000}"/>
    <cellStyle name="Currency 2 7 4 2 2" xfId="6265" xr:uid="{B75960A5-8EED-48E0-9526-14B899E52E5F}"/>
    <cellStyle name="Currency 2 7 4 3" xfId="6264" xr:uid="{FF6A7CF3-158D-4536-B274-5696715A35DE}"/>
    <cellStyle name="Currency 2 7 5" xfId="932" xr:uid="{00000000-0005-0000-0000-0000DD020000}"/>
    <cellStyle name="Currency 2 7 5 2" xfId="6266" xr:uid="{FEC50B11-7DD7-4919-B245-79D8FFD91D29}"/>
    <cellStyle name="Currency 2 7 6" xfId="933" xr:uid="{00000000-0005-0000-0000-0000DE020000}"/>
    <cellStyle name="Currency 2 7 6 2" xfId="6267" xr:uid="{27FC6A1F-3947-4D51-A411-8C9A91D53792}"/>
    <cellStyle name="Currency 2 7 7" xfId="6252" xr:uid="{5119D8C0-5AD8-4329-9B89-23A69930A8BE}"/>
    <cellStyle name="Currency 2 8" xfId="934" xr:uid="{00000000-0005-0000-0000-0000DF020000}"/>
    <cellStyle name="Currency 2 8 2" xfId="935" xr:uid="{00000000-0005-0000-0000-0000E0020000}"/>
    <cellStyle name="Currency 2 8 2 2" xfId="936" xr:uid="{00000000-0005-0000-0000-0000E1020000}"/>
    <cellStyle name="Currency 2 8 2 2 2" xfId="6270" xr:uid="{DEA2DC53-45F6-4C5A-8DF5-010AFA8F27C5}"/>
    <cellStyle name="Currency 2 8 2 3" xfId="937" xr:uid="{00000000-0005-0000-0000-0000E2020000}"/>
    <cellStyle name="Currency 2 8 2 3 2" xfId="6271" xr:uid="{4B7A3D1C-0364-4D28-8B08-C67908EFC916}"/>
    <cellStyle name="Currency 2 8 2 4" xfId="6269" xr:uid="{17937F92-E6B6-47D2-BEB2-0869CA2176F8}"/>
    <cellStyle name="Currency 2 8 3" xfId="938" xr:uid="{00000000-0005-0000-0000-0000E3020000}"/>
    <cellStyle name="Currency 2 8 3 2" xfId="939" xr:uid="{00000000-0005-0000-0000-0000E4020000}"/>
    <cellStyle name="Currency 2 8 3 2 2" xfId="6273" xr:uid="{6A8EAA09-ACB9-4AA6-9CFA-BC0F3C989DA1}"/>
    <cellStyle name="Currency 2 8 3 3" xfId="6272" xr:uid="{B7117A32-DCC3-439F-A61B-0A68DCB2D7B3}"/>
    <cellStyle name="Currency 2 8 4" xfId="940" xr:uid="{00000000-0005-0000-0000-0000E5020000}"/>
    <cellStyle name="Currency 2 8 4 2" xfId="6274" xr:uid="{9D75B947-4AF9-4007-8B42-1F865F484309}"/>
    <cellStyle name="Currency 2 8 5" xfId="6268" xr:uid="{4EE676A1-AA0E-417E-93EC-365058C3C3D6}"/>
    <cellStyle name="Currency 2 9" xfId="941" xr:uid="{00000000-0005-0000-0000-0000E6020000}"/>
    <cellStyle name="Currency 2 9 2" xfId="942" xr:uid="{00000000-0005-0000-0000-0000E7020000}"/>
    <cellStyle name="Currency 2 9 2 2" xfId="943" xr:uid="{00000000-0005-0000-0000-0000E8020000}"/>
    <cellStyle name="Currency 2 9 2 2 2" xfId="6277" xr:uid="{6F8F041A-F64B-4534-A939-20618BAAEBB9}"/>
    <cellStyle name="Currency 2 9 2 3" xfId="6276" xr:uid="{EDAD8FAB-5EAE-42AE-87F1-DC71D0732707}"/>
    <cellStyle name="Currency 2 9 3" xfId="944" xr:uid="{00000000-0005-0000-0000-0000E9020000}"/>
    <cellStyle name="Currency 2 9 3 2" xfId="6278" xr:uid="{C155798F-DD20-4EE8-9A6C-D0997C33E4F4}"/>
    <cellStyle name="Currency 2 9 4" xfId="945" xr:uid="{00000000-0005-0000-0000-0000EA020000}"/>
    <cellStyle name="Currency 2 9 4 2" xfId="6279" xr:uid="{9041EA41-2703-4AB3-BC55-57FFD6747974}"/>
    <cellStyle name="Currency 2 9 5" xfId="6275" xr:uid="{A8B36774-5A75-48DA-A025-37B71602731E}"/>
    <cellStyle name="Currency 3" xfId="54" xr:uid="{00000000-0005-0000-0000-0000EB020000}"/>
    <cellStyle name="Currency 3 10" xfId="946" xr:uid="{00000000-0005-0000-0000-0000EC020000}"/>
    <cellStyle name="Currency 3 10 2" xfId="947" xr:uid="{00000000-0005-0000-0000-0000ED020000}"/>
    <cellStyle name="Currency 3 10 2 2" xfId="6281" xr:uid="{E4EB85C7-9495-4006-BC3E-95B91826DCE0}"/>
    <cellStyle name="Currency 3 10 3" xfId="948" xr:uid="{00000000-0005-0000-0000-0000EE020000}"/>
    <cellStyle name="Currency 3 10 3 2" xfId="6282" xr:uid="{B43FFA2A-3EFF-4C4A-8C3F-FFE2EAB029B5}"/>
    <cellStyle name="Currency 3 10 4" xfId="6280" xr:uid="{F36A3F44-F4DB-4E05-B7F0-F4092FFEE079}"/>
    <cellStyle name="Currency 3 11" xfId="949" xr:uid="{00000000-0005-0000-0000-0000EF020000}"/>
    <cellStyle name="Currency 3 11 2" xfId="950" xr:uid="{00000000-0005-0000-0000-0000F0020000}"/>
    <cellStyle name="Currency 3 11 2 2" xfId="6284" xr:uid="{25D569D8-FDE6-4FF3-B6CA-AA84D0365323}"/>
    <cellStyle name="Currency 3 11 3" xfId="6283" xr:uid="{91CC5E3E-DBEC-4025-B83D-27ADDCAF6827}"/>
    <cellStyle name="Currency 3 12" xfId="951" xr:uid="{00000000-0005-0000-0000-0000F1020000}"/>
    <cellStyle name="Currency 3 12 2" xfId="952" xr:uid="{00000000-0005-0000-0000-0000F2020000}"/>
    <cellStyle name="Currency 3 12 2 2" xfId="6286" xr:uid="{3D50B9E5-F1DF-4220-962E-64A99F205013}"/>
    <cellStyle name="Currency 3 12 3" xfId="6285" xr:uid="{252B1C7C-0360-4DE3-8D9F-77705A66267C}"/>
    <cellStyle name="Currency 3 13" xfId="953" xr:uid="{00000000-0005-0000-0000-0000F3020000}"/>
    <cellStyle name="Currency 3 13 2" xfId="6287" xr:uid="{F00CBE70-21D5-4013-9906-1B08D35E3CB3}"/>
    <cellStyle name="Currency 3 14" xfId="954" xr:uid="{00000000-0005-0000-0000-0000F4020000}"/>
    <cellStyle name="Currency 3 14 2" xfId="6288" xr:uid="{44F94794-0458-4AAD-8A0D-543A627DC067}"/>
    <cellStyle name="Currency 3 15" xfId="5389" xr:uid="{A2E5B831-520F-45DE-9C9D-FD2146BF47F0}"/>
    <cellStyle name="Currency 3 2" xfId="55" xr:uid="{00000000-0005-0000-0000-0000F5020000}"/>
    <cellStyle name="Currency 3 2 10" xfId="955" xr:uid="{00000000-0005-0000-0000-0000F6020000}"/>
    <cellStyle name="Currency 3 2 10 2" xfId="956" xr:uid="{00000000-0005-0000-0000-0000F7020000}"/>
    <cellStyle name="Currency 3 2 10 2 2" xfId="6290" xr:uid="{C410777E-4CAC-4EF0-B4E6-E5FBBFB4A97D}"/>
    <cellStyle name="Currency 3 2 10 3" xfId="6289" xr:uid="{D9CB1843-982E-4101-B6ED-FF15062CA281}"/>
    <cellStyle name="Currency 3 2 11" xfId="957" xr:uid="{00000000-0005-0000-0000-0000F8020000}"/>
    <cellStyle name="Currency 3 2 11 2" xfId="958" xr:uid="{00000000-0005-0000-0000-0000F9020000}"/>
    <cellStyle name="Currency 3 2 11 2 2" xfId="6292" xr:uid="{84C6DA7D-357E-4E10-805D-EEFFCFF7A581}"/>
    <cellStyle name="Currency 3 2 11 3" xfId="6291" xr:uid="{10EEAD01-A0BF-4424-AE3C-1E9321FEBC48}"/>
    <cellStyle name="Currency 3 2 12" xfId="959" xr:uid="{00000000-0005-0000-0000-0000FA020000}"/>
    <cellStyle name="Currency 3 2 12 2" xfId="6293" xr:uid="{A75F5D6E-6C69-46EF-B610-EFE85A3132E1}"/>
    <cellStyle name="Currency 3 2 13" xfId="960" xr:uid="{00000000-0005-0000-0000-0000FB020000}"/>
    <cellStyle name="Currency 3 2 13 2" xfId="6294" xr:uid="{676DB6B3-1332-43E4-AB61-4CB79C10D9F0}"/>
    <cellStyle name="Currency 3 2 14" xfId="5390" xr:uid="{C6746490-9034-49D0-B12B-D5D13348BE6F}"/>
    <cellStyle name="Currency 3 2 2" xfId="56" xr:uid="{00000000-0005-0000-0000-0000FC020000}"/>
    <cellStyle name="Currency 3 2 2 10" xfId="961" xr:uid="{00000000-0005-0000-0000-0000FD020000}"/>
    <cellStyle name="Currency 3 2 2 10 2" xfId="6295" xr:uid="{AB17443E-A4BF-4347-A37D-34425B713FC1}"/>
    <cellStyle name="Currency 3 2 2 11" xfId="962" xr:uid="{00000000-0005-0000-0000-0000FE020000}"/>
    <cellStyle name="Currency 3 2 2 11 2" xfId="6296" xr:uid="{9FEA99A2-CD39-4A62-9143-46A4E650ED7A}"/>
    <cellStyle name="Currency 3 2 2 12" xfId="5391" xr:uid="{F1E1FDB4-B6C2-4278-9E1C-EF52E0655995}"/>
    <cellStyle name="Currency 3 2 2 2" xfId="57" xr:uid="{00000000-0005-0000-0000-0000FF020000}"/>
    <cellStyle name="Currency 3 2 2 2 10" xfId="963" xr:uid="{00000000-0005-0000-0000-000000030000}"/>
    <cellStyle name="Currency 3 2 2 2 10 2" xfId="6297" xr:uid="{160FD88C-BF7E-4515-BE56-A6248B2F32EA}"/>
    <cellStyle name="Currency 3 2 2 2 11" xfId="5392" xr:uid="{317BA53A-212E-4BFF-84DE-176C40754AA2}"/>
    <cellStyle name="Currency 3 2 2 2 2" xfId="58" xr:uid="{00000000-0005-0000-0000-000001030000}"/>
    <cellStyle name="Currency 3 2 2 2 2 10" xfId="5393" xr:uid="{367911B7-9125-41E6-946F-CCF92C85B853}"/>
    <cellStyle name="Currency 3 2 2 2 2 2" xfId="59" xr:uid="{00000000-0005-0000-0000-000002030000}"/>
    <cellStyle name="Currency 3 2 2 2 2 2 2" xfId="964" xr:uid="{00000000-0005-0000-0000-000003030000}"/>
    <cellStyle name="Currency 3 2 2 2 2 2 2 2" xfId="965" xr:uid="{00000000-0005-0000-0000-000004030000}"/>
    <cellStyle name="Currency 3 2 2 2 2 2 2 2 2" xfId="966" xr:uid="{00000000-0005-0000-0000-000005030000}"/>
    <cellStyle name="Currency 3 2 2 2 2 2 2 2 2 2" xfId="6300" xr:uid="{D98A03D4-A8E8-4CD1-86E6-CFED3BDABD6E}"/>
    <cellStyle name="Currency 3 2 2 2 2 2 2 2 3" xfId="967" xr:uid="{00000000-0005-0000-0000-000006030000}"/>
    <cellStyle name="Currency 3 2 2 2 2 2 2 2 3 2" xfId="6301" xr:uid="{708D6A9C-1050-4A46-943E-52F706786B11}"/>
    <cellStyle name="Currency 3 2 2 2 2 2 2 2 4" xfId="6299" xr:uid="{F428EA6F-C651-474C-B33E-2FF41ABADD2E}"/>
    <cellStyle name="Currency 3 2 2 2 2 2 2 3" xfId="968" xr:uid="{00000000-0005-0000-0000-000007030000}"/>
    <cellStyle name="Currency 3 2 2 2 2 2 2 3 2" xfId="6302" xr:uid="{9A2543AC-1A20-4D3D-9B9D-F95138466565}"/>
    <cellStyle name="Currency 3 2 2 2 2 2 2 4" xfId="969" xr:uid="{00000000-0005-0000-0000-000008030000}"/>
    <cellStyle name="Currency 3 2 2 2 2 2 2 4 2" xfId="6303" xr:uid="{7F0264CD-9745-4FBD-8DD5-71C119288D48}"/>
    <cellStyle name="Currency 3 2 2 2 2 2 2 5" xfId="6298" xr:uid="{E1B985B6-1BB1-4857-8F5E-5B73F691006B}"/>
    <cellStyle name="Currency 3 2 2 2 2 2 3" xfId="970" xr:uid="{00000000-0005-0000-0000-000009030000}"/>
    <cellStyle name="Currency 3 2 2 2 2 2 3 2" xfId="971" xr:uid="{00000000-0005-0000-0000-00000A030000}"/>
    <cellStyle name="Currency 3 2 2 2 2 2 3 2 2" xfId="972" xr:uid="{00000000-0005-0000-0000-00000B030000}"/>
    <cellStyle name="Currency 3 2 2 2 2 2 3 2 2 2" xfId="6306" xr:uid="{BF5396DB-7B85-4B03-A63A-9D24F410A8B9}"/>
    <cellStyle name="Currency 3 2 2 2 2 2 3 2 3" xfId="6305" xr:uid="{E0D584A2-28C3-4F63-B5EF-2DF1653EC981}"/>
    <cellStyle name="Currency 3 2 2 2 2 2 3 3" xfId="973" xr:uid="{00000000-0005-0000-0000-00000C030000}"/>
    <cellStyle name="Currency 3 2 2 2 2 2 3 3 2" xfId="6307" xr:uid="{A294D6C0-F0B3-4CCA-925E-474E91DA84DF}"/>
    <cellStyle name="Currency 3 2 2 2 2 2 3 4" xfId="974" xr:uid="{00000000-0005-0000-0000-00000D030000}"/>
    <cellStyle name="Currency 3 2 2 2 2 2 3 4 2" xfId="6308" xr:uid="{F976F73F-8503-4862-AB65-3E58340F3772}"/>
    <cellStyle name="Currency 3 2 2 2 2 2 3 5" xfId="6304" xr:uid="{B43F112F-44D7-4DCE-A120-EF1816C07AF0}"/>
    <cellStyle name="Currency 3 2 2 2 2 2 4" xfId="975" xr:uid="{00000000-0005-0000-0000-00000E030000}"/>
    <cellStyle name="Currency 3 2 2 2 2 2 4 2" xfId="976" xr:uid="{00000000-0005-0000-0000-00000F030000}"/>
    <cellStyle name="Currency 3 2 2 2 2 2 4 2 2" xfId="6310" xr:uid="{4C735A36-D443-4DC1-8564-597E8021B1E4}"/>
    <cellStyle name="Currency 3 2 2 2 2 2 4 3" xfId="6309" xr:uid="{FA8FE7C4-3AD9-4AB9-AE9E-814D7F359D19}"/>
    <cellStyle name="Currency 3 2 2 2 2 2 5" xfId="977" xr:uid="{00000000-0005-0000-0000-000010030000}"/>
    <cellStyle name="Currency 3 2 2 2 2 2 5 2" xfId="978" xr:uid="{00000000-0005-0000-0000-000011030000}"/>
    <cellStyle name="Currency 3 2 2 2 2 2 5 2 2" xfId="6312" xr:uid="{808D33BC-6E8F-42A1-9A7B-CF49ACC60F30}"/>
    <cellStyle name="Currency 3 2 2 2 2 2 5 3" xfId="6311" xr:uid="{76C50F22-8A62-4B49-B03E-F1B0EA7FBE15}"/>
    <cellStyle name="Currency 3 2 2 2 2 2 6" xfId="979" xr:uid="{00000000-0005-0000-0000-000012030000}"/>
    <cellStyle name="Currency 3 2 2 2 2 2 6 2" xfId="980" xr:uid="{00000000-0005-0000-0000-000013030000}"/>
    <cellStyle name="Currency 3 2 2 2 2 2 6 2 2" xfId="6314" xr:uid="{1F5F2AAE-53E4-417B-A5FE-770B0763F3EA}"/>
    <cellStyle name="Currency 3 2 2 2 2 2 6 3" xfId="6313" xr:uid="{7DDFECD1-674A-4EBF-B764-1F2158FE434C}"/>
    <cellStyle name="Currency 3 2 2 2 2 2 7" xfId="981" xr:uid="{00000000-0005-0000-0000-000014030000}"/>
    <cellStyle name="Currency 3 2 2 2 2 2 7 2" xfId="6315" xr:uid="{F3FF7200-C7EE-464A-990F-D1D62F0009A9}"/>
    <cellStyle name="Currency 3 2 2 2 2 2 8" xfId="982" xr:uid="{00000000-0005-0000-0000-000015030000}"/>
    <cellStyle name="Currency 3 2 2 2 2 2 8 2" xfId="6316" xr:uid="{D8757562-7BEB-41E1-B5D9-FEAD449AB477}"/>
    <cellStyle name="Currency 3 2 2 2 2 2 9" xfId="5394" xr:uid="{66651323-52DD-4505-A5CC-48E73A2D8243}"/>
    <cellStyle name="Currency 3 2 2 2 2 3" xfId="983" xr:uid="{00000000-0005-0000-0000-000016030000}"/>
    <cellStyle name="Currency 3 2 2 2 2 3 2" xfId="984" xr:uid="{00000000-0005-0000-0000-000017030000}"/>
    <cellStyle name="Currency 3 2 2 2 2 3 2 2" xfId="985" xr:uid="{00000000-0005-0000-0000-000018030000}"/>
    <cellStyle name="Currency 3 2 2 2 2 3 2 2 2" xfId="6319" xr:uid="{CA31AD91-3FA4-4638-8D69-59490765FA7F}"/>
    <cellStyle name="Currency 3 2 2 2 2 3 2 3" xfId="986" xr:uid="{00000000-0005-0000-0000-000019030000}"/>
    <cellStyle name="Currency 3 2 2 2 2 3 2 3 2" xfId="6320" xr:uid="{67E6FEE0-F52E-4AB4-BB97-1F2E875F5BF5}"/>
    <cellStyle name="Currency 3 2 2 2 2 3 2 4" xfId="6318" xr:uid="{0A0493CE-76BB-48AF-9589-75FD762854E1}"/>
    <cellStyle name="Currency 3 2 2 2 2 3 3" xfId="987" xr:uid="{00000000-0005-0000-0000-00001A030000}"/>
    <cellStyle name="Currency 3 2 2 2 2 3 3 2" xfId="6321" xr:uid="{8FCAF3A5-BEB0-43CB-8A6F-BE99A7B830EA}"/>
    <cellStyle name="Currency 3 2 2 2 2 3 4" xfId="988" xr:uid="{00000000-0005-0000-0000-00001B030000}"/>
    <cellStyle name="Currency 3 2 2 2 2 3 4 2" xfId="6322" xr:uid="{B9ECF217-6BC7-41AD-B896-D0305947BC54}"/>
    <cellStyle name="Currency 3 2 2 2 2 3 5" xfId="6317" xr:uid="{162873E3-13EA-4506-9C2D-80ACEF1955AE}"/>
    <cellStyle name="Currency 3 2 2 2 2 4" xfId="989" xr:uid="{00000000-0005-0000-0000-00001C030000}"/>
    <cellStyle name="Currency 3 2 2 2 2 4 2" xfId="990" xr:uid="{00000000-0005-0000-0000-00001D030000}"/>
    <cellStyle name="Currency 3 2 2 2 2 4 2 2" xfId="991" xr:uid="{00000000-0005-0000-0000-00001E030000}"/>
    <cellStyle name="Currency 3 2 2 2 2 4 2 2 2" xfId="6325" xr:uid="{52C60EFD-E404-4FE7-BE99-8838DD3A0441}"/>
    <cellStyle name="Currency 3 2 2 2 2 4 2 3" xfId="6324" xr:uid="{870C6DBC-53DB-41F8-8C0F-B41D827181AC}"/>
    <cellStyle name="Currency 3 2 2 2 2 4 3" xfId="992" xr:uid="{00000000-0005-0000-0000-00001F030000}"/>
    <cellStyle name="Currency 3 2 2 2 2 4 3 2" xfId="6326" xr:uid="{8C33C5E7-062F-4989-9A36-AA619211EBB9}"/>
    <cellStyle name="Currency 3 2 2 2 2 4 4" xfId="993" xr:uid="{00000000-0005-0000-0000-000020030000}"/>
    <cellStyle name="Currency 3 2 2 2 2 4 4 2" xfId="6327" xr:uid="{3C601357-A180-48EC-8388-8ADCFFDDF3CE}"/>
    <cellStyle name="Currency 3 2 2 2 2 4 5" xfId="6323" xr:uid="{24F4841A-F938-4602-8B83-553C1BCDBBA6}"/>
    <cellStyle name="Currency 3 2 2 2 2 5" xfId="994" xr:uid="{00000000-0005-0000-0000-000021030000}"/>
    <cellStyle name="Currency 3 2 2 2 2 5 2" xfId="995" xr:uid="{00000000-0005-0000-0000-000022030000}"/>
    <cellStyle name="Currency 3 2 2 2 2 5 2 2" xfId="6329" xr:uid="{54C2B53C-67F0-4BFD-85B2-4C4253044721}"/>
    <cellStyle name="Currency 3 2 2 2 2 5 3" xfId="6328" xr:uid="{BF32F5E3-0E51-450F-8E88-59AA0B608068}"/>
    <cellStyle name="Currency 3 2 2 2 2 6" xfId="996" xr:uid="{00000000-0005-0000-0000-000023030000}"/>
    <cellStyle name="Currency 3 2 2 2 2 6 2" xfId="997" xr:uid="{00000000-0005-0000-0000-000024030000}"/>
    <cellStyle name="Currency 3 2 2 2 2 6 2 2" xfId="6331" xr:uid="{23048877-BF3F-4964-935D-716A0FA1C40C}"/>
    <cellStyle name="Currency 3 2 2 2 2 6 3" xfId="6330" xr:uid="{2855E0F4-DAC8-4AA1-BA50-68EF921877AA}"/>
    <cellStyle name="Currency 3 2 2 2 2 7" xfId="998" xr:uid="{00000000-0005-0000-0000-000025030000}"/>
    <cellStyle name="Currency 3 2 2 2 2 7 2" xfId="999" xr:uid="{00000000-0005-0000-0000-000026030000}"/>
    <cellStyle name="Currency 3 2 2 2 2 7 2 2" xfId="6333" xr:uid="{E434EED5-D04C-4DA6-8CA0-E7F0662D76F4}"/>
    <cellStyle name="Currency 3 2 2 2 2 7 3" xfId="6332" xr:uid="{F71215A2-61E2-4EB8-8C64-A739834246C6}"/>
    <cellStyle name="Currency 3 2 2 2 2 8" xfId="1000" xr:uid="{00000000-0005-0000-0000-000027030000}"/>
    <cellStyle name="Currency 3 2 2 2 2 8 2" xfId="6334" xr:uid="{D5078224-C3C6-4A1D-8F43-F7DA74A21C6B}"/>
    <cellStyle name="Currency 3 2 2 2 2 9" xfId="1001" xr:uid="{00000000-0005-0000-0000-000028030000}"/>
    <cellStyle name="Currency 3 2 2 2 2 9 2" xfId="6335" xr:uid="{FCE409D2-B2DD-4788-9164-7979F4F9A1E7}"/>
    <cellStyle name="Currency 3 2 2 2 3" xfId="60" xr:uid="{00000000-0005-0000-0000-000029030000}"/>
    <cellStyle name="Currency 3 2 2 2 3 2" xfId="1002" xr:uid="{00000000-0005-0000-0000-00002A030000}"/>
    <cellStyle name="Currency 3 2 2 2 3 2 2" xfId="1003" xr:uid="{00000000-0005-0000-0000-00002B030000}"/>
    <cellStyle name="Currency 3 2 2 2 3 2 2 2" xfId="1004" xr:uid="{00000000-0005-0000-0000-00002C030000}"/>
    <cellStyle name="Currency 3 2 2 2 3 2 2 2 2" xfId="6338" xr:uid="{918FDFC4-063B-42C1-991C-8DF40209C1DD}"/>
    <cellStyle name="Currency 3 2 2 2 3 2 2 3" xfId="1005" xr:uid="{00000000-0005-0000-0000-00002D030000}"/>
    <cellStyle name="Currency 3 2 2 2 3 2 2 3 2" xfId="6339" xr:uid="{ADC50289-109D-4312-9823-76D72C11C065}"/>
    <cellStyle name="Currency 3 2 2 2 3 2 2 4" xfId="6337" xr:uid="{57D30619-E75D-40C2-800C-A7853135BAA8}"/>
    <cellStyle name="Currency 3 2 2 2 3 2 3" xfId="1006" xr:uid="{00000000-0005-0000-0000-00002E030000}"/>
    <cellStyle name="Currency 3 2 2 2 3 2 3 2" xfId="6340" xr:uid="{60087A17-D2FE-4457-B7D2-B8695FD78D83}"/>
    <cellStyle name="Currency 3 2 2 2 3 2 4" xfId="1007" xr:uid="{00000000-0005-0000-0000-00002F030000}"/>
    <cellStyle name="Currency 3 2 2 2 3 2 4 2" xfId="6341" xr:uid="{99E90B6F-BB58-475F-B365-46442405E979}"/>
    <cellStyle name="Currency 3 2 2 2 3 2 5" xfId="6336" xr:uid="{D5FF2AC0-A3BB-4B38-8EE4-77460A27D997}"/>
    <cellStyle name="Currency 3 2 2 2 3 3" xfId="1008" xr:uid="{00000000-0005-0000-0000-000030030000}"/>
    <cellStyle name="Currency 3 2 2 2 3 3 2" xfId="1009" xr:uid="{00000000-0005-0000-0000-000031030000}"/>
    <cellStyle name="Currency 3 2 2 2 3 3 2 2" xfId="1010" xr:uid="{00000000-0005-0000-0000-000032030000}"/>
    <cellStyle name="Currency 3 2 2 2 3 3 2 2 2" xfId="6344" xr:uid="{33F0AAE0-EB9C-481C-95E1-A64E3AF9389E}"/>
    <cellStyle name="Currency 3 2 2 2 3 3 2 3" xfId="6343" xr:uid="{DD4EA1BC-68A8-4C4A-ACFE-AFC958AD0AE0}"/>
    <cellStyle name="Currency 3 2 2 2 3 3 3" xfId="1011" xr:uid="{00000000-0005-0000-0000-000033030000}"/>
    <cellStyle name="Currency 3 2 2 2 3 3 3 2" xfId="6345" xr:uid="{75AF9258-A40A-4C91-B0FA-017B771DEF2C}"/>
    <cellStyle name="Currency 3 2 2 2 3 3 4" xfId="1012" xr:uid="{00000000-0005-0000-0000-000034030000}"/>
    <cellStyle name="Currency 3 2 2 2 3 3 4 2" xfId="6346" xr:uid="{4236F8CA-1CD5-438A-9134-47D45F9CB5E7}"/>
    <cellStyle name="Currency 3 2 2 2 3 3 5" xfId="6342" xr:uid="{169D38C7-0269-4AA3-9950-72BFAEEECDFE}"/>
    <cellStyle name="Currency 3 2 2 2 3 4" xfId="1013" xr:uid="{00000000-0005-0000-0000-000035030000}"/>
    <cellStyle name="Currency 3 2 2 2 3 4 2" xfId="1014" xr:uid="{00000000-0005-0000-0000-000036030000}"/>
    <cellStyle name="Currency 3 2 2 2 3 4 2 2" xfId="6348" xr:uid="{2E43CC92-D51A-40FF-A52C-96892BB1321E}"/>
    <cellStyle name="Currency 3 2 2 2 3 4 3" xfId="6347" xr:uid="{1743369A-7184-4516-A348-79D5925C6C12}"/>
    <cellStyle name="Currency 3 2 2 2 3 5" xfId="1015" xr:uid="{00000000-0005-0000-0000-000037030000}"/>
    <cellStyle name="Currency 3 2 2 2 3 5 2" xfId="1016" xr:uid="{00000000-0005-0000-0000-000038030000}"/>
    <cellStyle name="Currency 3 2 2 2 3 5 2 2" xfId="6350" xr:uid="{07DEE68C-8894-4A3C-AE35-47012D8891E4}"/>
    <cellStyle name="Currency 3 2 2 2 3 5 3" xfId="6349" xr:uid="{E853A870-55EF-4988-A84D-48C63F38A717}"/>
    <cellStyle name="Currency 3 2 2 2 3 6" xfId="1017" xr:uid="{00000000-0005-0000-0000-000039030000}"/>
    <cellStyle name="Currency 3 2 2 2 3 6 2" xfId="1018" xr:uid="{00000000-0005-0000-0000-00003A030000}"/>
    <cellStyle name="Currency 3 2 2 2 3 6 2 2" xfId="6352" xr:uid="{26864772-1E05-41D6-AA94-7D12DCB8F107}"/>
    <cellStyle name="Currency 3 2 2 2 3 6 3" xfId="6351" xr:uid="{B5A001DF-977C-46F5-A436-08CD16066284}"/>
    <cellStyle name="Currency 3 2 2 2 3 7" xfId="1019" xr:uid="{00000000-0005-0000-0000-00003B030000}"/>
    <cellStyle name="Currency 3 2 2 2 3 7 2" xfId="6353" xr:uid="{23E4F651-EA90-4D07-8832-8F48080AFAB3}"/>
    <cellStyle name="Currency 3 2 2 2 3 8" xfId="1020" xr:uid="{00000000-0005-0000-0000-00003C030000}"/>
    <cellStyle name="Currency 3 2 2 2 3 8 2" xfId="6354" xr:uid="{94C78152-0C77-4CC6-AC59-05CFEC2D0B0F}"/>
    <cellStyle name="Currency 3 2 2 2 3 9" xfId="5395" xr:uid="{3FDE1BD0-F005-4788-9D9F-0ED1A5F35D9C}"/>
    <cellStyle name="Currency 3 2 2 2 4" xfId="1021" xr:uid="{00000000-0005-0000-0000-00003D030000}"/>
    <cellStyle name="Currency 3 2 2 2 4 2" xfId="1022" xr:uid="{00000000-0005-0000-0000-00003E030000}"/>
    <cellStyle name="Currency 3 2 2 2 4 2 2" xfId="1023" xr:uid="{00000000-0005-0000-0000-00003F030000}"/>
    <cellStyle name="Currency 3 2 2 2 4 2 2 2" xfId="6357" xr:uid="{F7446481-2642-452F-AB07-0A37CE2A92E9}"/>
    <cellStyle name="Currency 3 2 2 2 4 2 3" xfId="1024" xr:uid="{00000000-0005-0000-0000-000040030000}"/>
    <cellStyle name="Currency 3 2 2 2 4 2 3 2" xfId="6358" xr:uid="{F72D1CAB-BFE3-4396-9F7D-E67C141659CF}"/>
    <cellStyle name="Currency 3 2 2 2 4 2 4" xfId="6356" xr:uid="{CC84B304-A40C-44F8-AB67-5EC76DB70DF2}"/>
    <cellStyle name="Currency 3 2 2 2 4 3" xfId="1025" xr:uid="{00000000-0005-0000-0000-000041030000}"/>
    <cellStyle name="Currency 3 2 2 2 4 3 2" xfId="6359" xr:uid="{5FB44B3D-917B-4114-AC1A-DF0E50E8B851}"/>
    <cellStyle name="Currency 3 2 2 2 4 4" xfId="1026" xr:uid="{00000000-0005-0000-0000-000042030000}"/>
    <cellStyle name="Currency 3 2 2 2 4 4 2" xfId="6360" xr:uid="{1BB68721-F6D3-4C03-9048-B2D8A61040E3}"/>
    <cellStyle name="Currency 3 2 2 2 4 5" xfId="6355" xr:uid="{3438439C-D129-471D-AC75-BF8DEE8DFAC3}"/>
    <cellStyle name="Currency 3 2 2 2 5" xfId="1027" xr:uid="{00000000-0005-0000-0000-000043030000}"/>
    <cellStyle name="Currency 3 2 2 2 5 2" xfId="1028" xr:uid="{00000000-0005-0000-0000-000044030000}"/>
    <cellStyle name="Currency 3 2 2 2 5 2 2" xfId="1029" xr:uid="{00000000-0005-0000-0000-000045030000}"/>
    <cellStyle name="Currency 3 2 2 2 5 2 2 2" xfId="6363" xr:uid="{0C49BAEB-362E-40F8-902A-FF6CD3F61A6E}"/>
    <cellStyle name="Currency 3 2 2 2 5 2 3" xfId="6362" xr:uid="{CE9A324D-E97E-4991-886D-2EA669B97F34}"/>
    <cellStyle name="Currency 3 2 2 2 5 3" xfId="1030" xr:uid="{00000000-0005-0000-0000-000046030000}"/>
    <cellStyle name="Currency 3 2 2 2 5 3 2" xfId="6364" xr:uid="{C9866A54-DA5F-4609-82F3-1C6B6F055E68}"/>
    <cellStyle name="Currency 3 2 2 2 5 4" xfId="1031" xr:uid="{00000000-0005-0000-0000-000047030000}"/>
    <cellStyle name="Currency 3 2 2 2 5 4 2" xfId="6365" xr:uid="{C15F739D-7171-4491-816F-10A0FD3FC5DD}"/>
    <cellStyle name="Currency 3 2 2 2 5 5" xfId="6361" xr:uid="{97C135CD-C941-46AB-93A2-AC4B16F8BA98}"/>
    <cellStyle name="Currency 3 2 2 2 6" xfId="1032" xr:uid="{00000000-0005-0000-0000-000048030000}"/>
    <cellStyle name="Currency 3 2 2 2 6 2" xfId="1033" xr:uid="{00000000-0005-0000-0000-000049030000}"/>
    <cellStyle name="Currency 3 2 2 2 6 2 2" xfId="6367" xr:uid="{BCFBCCC5-83AB-47C3-85C3-553598E3B487}"/>
    <cellStyle name="Currency 3 2 2 2 6 3" xfId="6366" xr:uid="{8E7F139A-4420-47C7-8B34-5413D82EB0DC}"/>
    <cellStyle name="Currency 3 2 2 2 7" xfId="1034" xr:uid="{00000000-0005-0000-0000-00004A030000}"/>
    <cellStyle name="Currency 3 2 2 2 7 2" xfId="1035" xr:uid="{00000000-0005-0000-0000-00004B030000}"/>
    <cellStyle name="Currency 3 2 2 2 7 2 2" xfId="6369" xr:uid="{86DD3E6D-957C-4AAA-AC57-8B9E222F60E5}"/>
    <cellStyle name="Currency 3 2 2 2 7 3" xfId="6368" xr:uid="{301FC5A1-A1EC-41DD-A77E-CC7169E668A5}"/>
    <cellStyle name="Currency 3 2 2 2 8" xfId="1036" xr:uid="{00000000-0005-0000-0000-00004C030000}"/>
    <cellStyle name="Currency 3 2 2 2 8 2" xfId="1037" xr:uid="{00000000-0005-0000-0000-00004D030000}"/>
    <cellStyle name="Currency 3 2 2 2 8 2 2" xfId="6371" xr:uid="{38261366-C43A-4893-865C-D7E70F64C8B9}"/>
    <cellStyle name="Currency 3 2 2 2 8 3" xfId="6370" xr:uid="{ADDCD611-421D-4501-A88E-BDD19855B9FE}"/>
    <cellStyle name="Currency 3 2 2 2 9" xfId="1038" xr:uid="{00000000-0005-0000-0000-00004E030000}"/>
    <cellStyle name="Currency 3 2 2 2 9 2" xfId="6372" xr:uid="{DFDB7212-39BA-4793-846C-D1766A6ECCCD}"/>
    <cellStyle name="Currency 3 2 2 3" xfId="61" xr:uid="{00000000-0005-0000-0000-00004F030000}"/>
    <cellStyle name="Currency 3 2 2 3 10" xfId="5396" xr:uid="{CC65B1BD-7DB8-41D6-8EA9-725C1565BA6F}"/>
    <cellStyle name="Currency 3 2 2 3 2" xfId="62" xr:uid="{00000000-0005-0000-0000-000050030000}"/>
    <cellStyle name="Currency 3 2 2 3 2 2" xfId="1039" xr:uid="{00000000-0005-0000-0000-000051030000}"/>
    <cellStyle name="Currency 3 2 2 3 2 2 2" xfId="1040" xr:uid="{00000000-0005-0000-0000-000052030000}"/>
    <cellStyle name="Currency 3 2 2 3 2 2 2 2" xfId="1041" xr:uid="{00000000-0005-0000-0000-000053030000}"/>
    <cellStyle name="Currency 3 2 2 3 2 2 2 2 2" xfId="6375" xr:uid="{77CB33E2-F932-4C69-A7FD-9F4E28B5BCE4}"/>
    <cellStyle name="Currency 3 2 2 3 2 2 2 3" xfId="1042" xr:uid="{00000000-0005-0000-0000-000054030000}"/>
    <cellStyle name="Currency 3 2 2 3 2 2 2 3 2" xfId="6376" xr:uid="{66EE8592-B4BB-4241-9607-780293DFF5E8}"/>
    <cellStyle name="Currency 3 2 2 3 2 2 2 4" xfId="6374" xr:uid="{F0A05326-3235-42AC-9AF4-490E88AD2020}"/>
    <cellStyle name="Currency 3 2 2 3 2 2 3" xfId="1043" xr:uid="{00000000-0005-0000-0000-000055030000}"/>
    <cellStyle name="Currency 3 2 2 3 2 2 3 2" xfId="6377" xr:uid="{A1039150-295C-45C5-95F7-0471C224C19C}"/>
    <cellStyle name="Currency 3 2 2 3 2 2 4" xfId="1044" xr:uid="{00000000-0005-0000-0000-000056030000}"/>
    <cellStyle name="Currency 3 2 2 3 2 2 4 2" xfId="6378" xr:uid="{675E4F8B-FD72-4C3C-AA1F-3757963377F0}"/>
    <cellStyle name="Currency 3 2 2 3 2 2 5" xfId="6373" xr:uid="{992976E4-FF14-47BA-A263-429C0DE0FE97}"/>
    <cellStyle name="Currency 3 2 2 3 2 3" xfId="1045" xr:uid="{00000000-0005-0000-0000-000057030000}"/>
    <cellStyle name="Currency 3 2 2 3 2 3 2" xfId="1046" xr:uid="{00000000-0005-0000-0000-000058030000}"/>
    <cellStyle name="Currency 3 2 2 3 2 3 2 2" xfId="1047" xr:uid="{00000000-0005-0000-0000-000059030000}"/>
    <cellStyle name="Currency 3 2 2 3 2 3 2 2 2" xfId="6381" xr:uid="{803C93F6-58FE-4CDB-85CF-6B965522EAF1}"/>
    <cellStyle name="Currency 3 2 2 3 2 3 2 3" xfId="6380" xr:uid="{B84AB8A1-512C-4C9E-AE15-8F024573E291}"/>
    <cellStyle name="Currency 3 2 2 3 2 3 3" xfId="1048" xr:uid="{00000000-0005-0000-0000-00005A030000}"/>
    <cellStyle name="Currency 3 2 2 3 2 3 3 2" xfId="6382" xr:uid="{0EDFE642-CF2B-4873-BC55-111324C5B716}"/>
    <cellStyle name="Currency 3 2 2 3 2 3 4" xfId="1049" xr:uid="{00000000-0005-0000-0000-00005B030000}"/>
    <cellStyle name="Currency 3 2 2 3 2 3 4 2" xfId="6383" xr:uid="{A2027632-D77F-4617-A77D-9E82E7A53B00}"/>
    <cellStyle name="Currency 3 2 2 3 2 3 5" xfId="6379" xr:uid="{89718111-FAFD-4B34-9090-3AD175132AED}"/>
    <cellStyle name="Currency 3 2 2 3 2 4" xfId="1050" xr:uid="{00000000-0005-0000-0000-00005C030000}"/>
    <cellStyle name="Currency 3 2 2 3 2 4 2" xfId="1051" xr:uid="{00000000-0005-0000-0000-00005D030000}"/>
    <cellStyle name="Currency 3 2 2 3 2 4 2 2" xfId="6385" xr:uid="{1F68BBB2-379E-4BA2-B5CF-D70621C57717}"/>
    <cellStyle name="Currency 3 2 2 3 2 4 3" xfId="6384" xr:uid="{794A74EE-A406-4F59-8864-EFC4366EA39F}"/>
    <cellStyle name="Currency 3 2 2 3 2 5" xfId="1052" xr:uid="{00000000-0005-0000-0000-00005E030000}"/>
    <cellStyle name="Currency 3 2 2 3 2 5 2" xfId="1053" xr:uid="{00000000-0005-0000-0000-00005F030000}"/>
    <cellStyle name="Currency 3 2 2 3 2 5 2 2" xfId="6387" xr:uid="{E61636AF-C15F-49D6-AA98-322A5C42E8B3}"/>
    <cellStyle name="Currency 3 2 2 3 2 5 3" xfId="6386" xr:uid="{B7C85F69-E5D7-45B1-9828-E8BE390FA27F}"/>
    <cellStyle name="Currency 3 2 2 3 2 6" xfId="1054" xr:uid="{00000000-0005-0000-0000-000060030000}"/>
    <cellStyle name="Currency 3 2 2 3 2 6 2" xfId="1055" xr:uid="{00000000-0005-0000-0000-000061030000}"/>
    <cellStyle name="Currency 3 2 2 3 2 6 2 2" xfId="6389" xr:uid="{C661B550-C71E-463B-B6E1-47516E326C3F}"/>
    <cellStyle name="Currency 3 2 2 3 2 6 3" xfId="6388" xr:uid="{FADDB521-7253-4FC3-B668-AE1B6FB27762}"/>
    <cellStyle name="Currency 3 2 2 3 2 7" xfId="1056" xr:uid="{00000000-0005-0000-0000-000062030000}"/>
    <cellStyle name="Currency 3 2 2 3 2 7 2" xfId="6390" xr:uid="{6C10018A-17C9-43B1-93C0-489B265F6A24}"/>
    <cellStyle name="Currency 3 2 2 3 2 8" xfId="1057" xr:uid="{00000000-0005-0000-0000-000063030000}"/>
    <cellStyle name="Currency 3 2 2 3 2 8 2" xfId="6391" xr:uid="{200F666F-FCE4-4652-8237-CCEEFDFCED8D}"/>
    <cellStyle name="Currency 3 2 2 3 2 9" xfId="5397" xr:uid="{E4790657-27B5-4CE0-BAA9-C326E654616D}"/>
    <cellStyle name="Currency 3 2 2 3 3" xfId="1058" xr:uid="{00000000-0005-0000-0000-000064030000}"/>
    <cellStyle name="Currency 3 2 2 3 3 2" xfId="1059" xr:uid="{00000000-0005-0000-0000-000065030000}"/>
    <cellStyle name="Currency 3 2 2 3 3 2 2" xfId="1060" xr:uid="{00000000-0005-0000-0000-000066030000}"/>
    <cellStyle name="Currency 3 2 2 3 3 2 2 2" xfId="6394" xr:uid="{F536D113-5344-4126-82F5-9D428E9A62B9}"/>
    <cellStyle name="Currency 3 2 2 3 3 2 3" xfId="1061" xr:uid="{00000000-0005-0000-0000-000067030000}"/>
    <cellStyle name="Currency 3 2 2 3 3 2 3 2" xfId="6395" xr:uid="{E45ADA3D-89A8-40B4-B4E5-2BE4748DEA83}"/>
    <cellStyle name="Currency 3 2 2 3 3 2 4" xfId="6393" xr:uid="{F7661575-F024-46CC-B325-88AA5FF221C5}"/>
    <cellStyle name="Currency 3 2 2 3 3 3" xfId="1062" xr:uid="{00000000-0005-0000-0000-000068030000}"/>
    <cellStyle name="Currency 3 2 2 3 3 3 2" xfId="6396" xr:uid="{74775F11-9D81-425E-AEEF-6459E8E958B6}"/>
    <cellStyle name="Currency 3 2 2 3 3 4" xfId="1063" xr:uid="{00000000-0005-0000-0000-000069030000}"/>
    <cellStyle name="Currency 3 2 2 3 3 4 2" xfId="6397" xr:uid="{5BCBCAB4-0E1B-426B-B395-99F3390E000C}"/>
    <cellStyle name="Currency 3 2 2 3 3 5" xfId="6392" xr:uid="{1ACFCE39-3D90-432A-AE1A-F47313286153}"/>
    <cellStyle name="Currency 3 2 2 3 4" xfId="1064" xr:uid="{00000000-0005-0000-0000-00006A030000}"/>
    <cellStyle name="Currency 3 2 2 3 4 2" xfId="1065" xr:uid="{00000000-0005-0000-0000-00006B030000}"/>
    <cellStyle name="Currency 3 2 2 3 4 2 2" xfId="1066" xr:uid="{00000000-0005-0000-0000-00006C030000}"/>
    <cellStyle name="Currency 3 2 2 3 4 2 2 2" xfId="6400" xr:uid="{456B3C32-E3C0-4C09-8B19-36F845709AA9}"/>
    <cellStyle name="Currency 3 2 2 3 4 2 3" xfId="6399" xr:uid="{FEACB4DC-46E1-48EF-9754-E88A6833D88D}"/>
    <cellStyle name="Currency 3 2 2 3 4 3" xfId="1067" xr:uid="{00000000-0005-0000-0000-00006D030000}"/>
    <cellStyle name="Currency 3 2 2 3 4 3 2" xfId="6401" xr:uid="{3870D465-9BD6-474A-9AD2-9E652BC1CBBD}"/>
    <cellStyle name="Currency 3 2 2 3 4 4" xfId="1068" xr:uid="{00000000-0005-0000-0000-00006E030000}"/>
    <cellStyle name="Currency 3 2 2 3 4 4 2" xfId="6402" xr:uid="{3A1C5C8B-6541-47CE-A98B-DDD552EC4C6A}"/>
    <cellStyle name="Currency 3 2 2 3 4 5" xfId="6398" xr:uid="{BB2D27CA-277F-4B20-B5EF-53643667BF8D}"/>
    <cellStyle name="Currency 3 2 2 3 5" xfId="1069" xr:uid="{00000000-0005-0000-0000-00006F030000}"/>
    <cellStyle name="Currency 3 2 2 3 5 2" xfId="1070" xr:uid="{00000000-0005-0000-0000-000070030000}"/>
    <cellStyle name="Currency 3 2 2 3 5 2 2" xfId="6404" xr:uid="{A6909E58-DA29-4C53-94FE-A79E7BFBA712}"/>
    <cellStyle name="Currency 3 2 2 3 5 3" xfId="6403" xr:uid="{BC78FF12-6675-411C-921B-DC1DBD4FA869}"/>
    <cellStyle name="Currency 3 2 2 3 6" xfId="1071" xr:uid="{00000000-0005-0000-0000-000071030000}"/>
    <cellStyle name="Currency 3 2 2 3 6 2" xfId="1072" xr:uid="{00000000-0005-0000-0000-000072030000}"/>
    <cellStyle name="Currency 3 2 2 3 6 2 2" xfId="6406" xr:uid="{4EF72A5E-0803-4E4A-AE57-7C980C9B56A0}"/>
    <cellStyle name="Currency 3 2 2 3 6 3" xfId="6405" xr:uid="{8CCE2A58-B2D0-4EE4-B3E6-CFAF0C83852D}"/>
    <cellStyle name="Currency 3 2 2 3 7" xfId="1073" xr:uid="{00000000-0005-0000-0000-000073030000}"/>
    <cellStyle name="Currency 3 2 2 3 7 2" xfId="1074" xr:uid="{00000000-0005-0000-0000-000074030000}"/>
    <cellStyle name="Currency 3 2 2 3 7 2 2" xfId="6408" xr:uid="{2422EE02-EF5D-4625-8154-A8946B876F6A}"/>
    <cellStyle name="Currency 3 2 2 3 7 3" xfId="6407" xr:uid="{5077C0A6-E001-4767-9DC9-884800FC788F}"/>
    <cellStyle name="Currency 3 2 2 3 8" xfId="1075" xr:uid="{00000000-0005-0000-0000-000075030000}"/>
    <cellStyle name="Currency 3 2 2 3 8 2" xfId="6409" xr:uid="{0978A1F2-E6A8-4A8F-864B-0E6D9B5C1DD2}"/>
    <cellStyle name="Currency 3 2 2 3 9" xfId="1076" xr:uid="{00000000-0005-0000-0000-000076030000}"/>
    <cellStyle name="Currency 3 2 2 3 9 2" xfId="6410" xr:uid="{4AF82EE8-56A2-4309-BE27-6DF1D8FC5178}"/>
    <cellStyle name="Currency 3 2 2 4" xfId="63" xr:uid="{00000000-0005-0000-0000-000077030000}"/>
    <cellStyle name="Currency 3 2 2 4 2" xfId="1077" xr:uid="{00000000-0005-0000-0000-000078030000}"/>
    <cellStyle name="Currency 3 2 2 4 2 2" xfId="1078" xr:uid="{00000000-0005-0000-0000-000079030000}"/>
    <cellStyle name="Currency 3 2 2 4 2 2 2" xfId="1079" xr:uid="{00000000-0005-0000-0000-00007A030000}"/>
    <cellStyle name="Currency 3 2 2 4 2 2 2 2" xfId="6413" xr:uid="{3A0D8AB7-2E36-40F3-9BDD-C34956C434F0}"/>
    <cellStyle name="Currency 3 2 2 4 2 2 3" xfId="1080" xr:uid="{00000000-0005-0000-0000-00007B030000}"/>
    <cellStyle name="Currency 3 2 2 4 2 2 3 2" xfId="6414" xr:uid="{97C38576-493C-4636-A99E-E8B65ABC13F3}"/>
    <cellStyle name="Currency 3 2 2 4 2 2 4" xfId="6412" xr:uid="{119F4D72-F28E-4477-A524-EB89B607CDFC}"/>
    <cellStyle name="Currency 3 2 2 4 2 3" xfId="1081" xr:uid="{00000000-0005-0000-0000-00007C030000}"/>
    <cellStyle name="Currency 3 2 2 4 2 3 2" xfId="6415" xr:uid="{F89EB834-DA6B-4E70-B711-2053BDCFAE0F}"/>
    <cellStyle name="Currency 3 2 2 4 2 4" xfId="1082" xr:uid="{00000000-0005-0000-0000-00007D030000}"/>
    <cellStyle name="Currency 3 2 2 4 2 4 2" xfId="6416" xr:uid="{D5296D19-FE1C-4060-BE33-9A34E69D1D5C}"/>
    <cellStyle name="Currency 3 2 2 4 2 5" xfId="6411" xr:uid="{647C128E-D5E0-452B-BD9D-9750FE2AA50F}"/>
    <cellStyle name="Currency 3 2 2 4 3" xfId="1083" xr:uid="{00000000-0005-0000-0000-00007E030000}"/>
    <cellStyle name="Currency 3 2 2 4 3 2" xfId="1084" xr:uid="{00000000-0005-0000-0000-00007F030000}"/>
    <cellStyle name="Currency 3 2 2 4 3 2 2" xfId="1085" xr:uid="{00000000-0005-0000-0000-000080030000}"/>
    <cellStyle name="Currency 3 2 2 4 3 2 2 2" xfId="6419" xr:uid="{A07F07A1-E42F-4083-88D3-E0F18AB71167}"/>
    <cellStyle name="Currency 3 2 2 4 3 2 3" xfId="6418" xr:uid="{F1F9EDF8-24B3-424A-8399-4B224F86489C}"/>
    <cellStyle name="Currency 3 2 2 4 3 3" xfId="1086" xr:uid="{00000000-0005-0000-0000-000081030000}"/>
    <cellStyle name="Currency 3 2 2 4 3 3 2" xfId="6420" xr:uid="{D8E52AF1-0004-4D9A-86AA-605B22A6BAF1}"/>
    <cellStyle name="Currency 3 2 2 4 3 4" xfId="1087" xr:uid="{00000000-0005-0000-0000-000082030000}"/>
    <cellStyle name="Currency 3 2 2 4 3 4 2" xfId="6421" xr:uid="{F8DD9790-D03B-45A2-96C0-2984C10BF693}"/>
    <cellStyle name="Currency 3 2 2 4 3 5" xfId="6417" xr:uid="{8DE7610C-4DD5-4CDD-B34F-72CF57BA7DEC}"/>
    <cellStyle name="Currency 3 2 2 4 4" xfId="1088" xr:uid="{00000000-0005-0000-0000-000083030000}"/>
    <cellStyle name="Currency 3 2 2 4 4 2" xfId="1089" xr:uid="{00000000-0005-0000-0000-000084030000}"/>
    <cellStyle name="Currency 3 2 2 4 4 2 2" xfId="6423" xr:uid="{811BFF18-6408-492E-A5CB-88B4A7AFFBF0}"/>
    <cellStyle name="Currency 3 2 2 4 4 3" xfId="6422" xr:uid="{C0E276E8-9A92-4F4F-AC9C-E6A5EAE9B7D9}"/>
    <cellStyle name="Currency 3 2 2 4 5" xfId="1090" xr:uid="{00000000-0005-0000-0000-000085030000}"/>
    <cellStyle name="Currency 3 2 2 4 5 2" xfId="1091" xr:uid="{00000000-0005-0000-0000-000086030000}"/>
    <cellStyle name="Currency 3 2 2 4 5 2 2" xfId="6425" xr:uid="{E0690773-0E9F-487C-8852-01AE67C0FBFE}"/>
    <cellStyle name="Currency 3 2 2 4 5 3" xfId="6424" xr:uid="{8D4BC532-A096-45F6-97AD-94AD8745EE27}"/>
    <cellStyle name="Currency 3 2 2 4 6" xfId="1092" xr:uid="{00000000-0005-0000-0000-000087030000}"/>
    <cellStyle name="Currency 3 2 2 4 6 2" xfId="1093" xr:uid="{00000000-0005-0000-0000-000088030000}"/>
    <cellStyle name="Currency 3 2 2 4 6 2 2" xfId="6427" xr:uid="{B900DEF6-0041-4334-81A7-3235BB5E817A}"/>
    <cellStyle name="Currency 3 2 2 4 6 3" xfId="6426" xr:uid="{3619F18E-7BAC-4B85-A03F-C543B5926E31}"/>
    <cellStyle name="Currency 3 2 2 4 7" xfId="1094" xr:uid="{00000000-0005-0000-0000-000089030000}"/>
    <cellStyle name="Currency 3 2 2 4 7 2" xfId="6428" xr:uid="{3847624E-7EF7-4A99-AC35-E144C2A32FCE}"/>
    <cellStyle name="Currency 3 2 2 4 8" xfId="1095" xr:uid="{00000000-0005-0000-0000-00008A030000}"/>
    <cellStyle name="Currency 3 2 2 4 8 2" xfId="6429" xr:uid="{E6986D2C-40F8-4E13-B86E-C083C40601DA}"/>
    <cellStyle name="Currency 3 2 2 4 9" xfId="5398" xr:uid="{7ECC22A7-38F5-464F-A954-6AC9A5561D2C}"/>
    <cellStyle name="Currency 3 2 2 5" xfId="1096" xr:uid="{00000000-0005-0000-0000-00008B030000}"/>
    <cellStyle name="Currency 3 2 2 5 2" xfId="1097" xr:uid="{00000000-0005-0000-0000-00008C030000}"/>
    <cellStyle name="Currency 3 2 2 5 2 2" xfId="1098" xr:uid="{00000000-0005-0000-0000-00008D030000}"/>
    <cellStyle name="Currency 3 2 2 5 2 2 2" xfId="6432" xr:uid="{2E20B9A0-BFC3-4771-86A2-CA2CCE86F8F5}"/>
    <cellStyle name="Currency 3 2 2 5 2 3" xfId="1099" xr:uid="{00000000-0005-0000-0000-00008E030000}"/>
    <cellStyle name="Currency 3 2 2 5 2 3 2" xfId="6433" xr:uid="{8F538D51-1C3E-47CB-9215-EE236FDF1F14}"/>
    <cellStyle name="Currency 3 2 2 5 2 4" xfId="6431" xr:uid="{CCA4C820-5405-4385-9D73-794C4B7BA397}"/>
    <cellStyle name="Currency 3 2 2 5 3" xfId="1100" xr:uid="{00000000-0005-0000-0000-00008F030000}"/>
    <cellStyle name="Currency 3 2 2 5 3 2" xfId="1101" xr:uid="{00000000-0005-0000-0000-000090030000}"/>
    <cellStyle name="Currency 3 2 2 5 3 2 2" xfId="6435" xr:uid="{C6D5367A-2EFA-44D3-A4C0-21F6EF8B60B8}"/>
    <cellStyle name="Currency 3 2 2 5 3 3" xfId="6434" xr:uid="{12A7AF81-9069-45A1-8A2F-6C6F96B15005}"/>
    <cellStyle name="Currency 3 2 2 5 4" xfId="1102" xr:uid="{00000000-0005-0000-0000-000091030000}"/>
    <cellStyle name="Currency 3 2 2 5 4 2" xfId="6436" xr:uid="{CDFF661C-4B4B-46EA-8076-AAFBF56460FC}"/>
    <cellStyle name="Currency 3 2 2 5 5" xfId="6430" xr:uid="{8B0DE788-CAB1-4C0E-8BC7-0819C3416E57}"/>
    <cellStyle name="Currency 3 2 2 6" xfId="1103" xr:uid="{00000000-0005-0000-0000-000092030000}"/>
    <cellStyle name="Currency 3 2 2 6 2" xfId="1104" xr:uid="{00000000-0005-0000-0000-000093030000}"/>
    <cellStyle name="Currency 3 2 2 6 2 2" xfId="1105" xr:uid="{00000000-0005-0000-0000-000094030000}"/>
    <cellStyle name="Currency 3 2 2 6 2 2 2" xfId="6439" xr:uid="{78E75C90-38DE-4D6F-8FD3-B4D953077809}"/>
    <cellStyle name="Currency 3 2 2 6 2 3" xfId="6438" xr:uid="{FE49272B-74D1-4853-8004-DABAC0D6DA23}"/>
    <cellStyle name="Currency 3 2 2 6 3" xfId="1106" xr:uid="{00000000-0005-0000-0000-000095030000}"/>
    <cellStyle name="Currency 3 2 2 6 3 2" xfId="6440" xr:uid="{BF4D6ED3-B3BB-401C-9539-514630275CDD}"/>
    <cellStyle name="Currency 3 2 2 6 4" xfId="1107" xr:uid="{00000000-0005-0000-0000-000096030000}"/>
    <cellStyle name="Currency 3 2 2 6 4 2" xfId="6441" xr:uid="{52C871B6-6E8B-4043-BD3F-66520B0CACC3}"/>
    <cellStyle name="Currency 3 2 2 6 5" xfId="6437" xr:uid="{BE367324-B7F0-4EBB-B1EE-7EEC8352EAB5}"/>
    <cellStyle name="Currency 3 2 2 7" xfId="1108" xr:uid="{00000000-0005-0000-0000-000097030000}"/>
    <cellStyle name="Currency 3 2 2 7 2" xfId="1109" xr:uid="{00000000-0005-0000-0000-000098030000}"/>
    <cellStyle name="Currency 3 2 2 7 2 2" xfId="6443" xr:uid="{D7C6FA30-960D-474A-8655-D81600E94646}"/>
    <cellStyle name="Currency 3 2 2 7 3" xfId="1110" xr:uid="{00000000-0005-0000-0000-000099030000}"/>
    <cellStyle name="Currency 3 2 2 7 3 2" xfId="6444" xr:uid="{87EFD024-2888-4DBB-8252-F5859A1A6DEF}"/>
    <cellStyle name="Currency 3 2 2 7 4" xfId="6442" xr:uid="{DF01AEA8-CBC7-41F8-BD8F-C2205D3D36C8}"/>
    <cellStyle name="Currency 3 2 2 8" xfId="1111" xr:uid="{00000000-0005-0000-0000-00009A030000}"/>
    <cellStyle name="Currency 3 2 2 8 2" xfId="1112" xr:uid="{00000000-0005-0000-0000-00009B030000}"/>
    <cellStyle name="Currency 3 2 2 8 2 2" xfId="6446" xr:uid="{89D73B00-AD6E-4D21-9253-D6E4AEA9FD25}"/>
    <cellStyle name="Currency 3 2 2 8 3" xfId="6445" xr:uid="{F99CAD74-AE75-4A11-89D8-6ECDA2329886}"/>
    <cellStyle name="Currency 3 2 2 9" xfId="1113" xr:uid="{00000000-0005-0000-0000-00009C030000}"/>
    <cellStyle name="Currency 3 2 2 9 2" xfId="1114" xr:uid="{00000000-0005-0000-0000-00009D030000}"/>
    <cellStyle name="Currency 3 2 2 9 2 2" xfId="6448" xr:uid="{5E65C9C8-FE63-45DE-9801-79A3B420BBE5}"/>
    <cellStyle name="Currency 3 2 2 9 3" xfId="6447" xr:uid="{DE5021B4-3FD1-4B9D-86B6-5E882C552C43}"/>
    <cellStyle name="Currency 3 2 3" xfId="64" xr:uid="{00000000-0005-0000-0000-00009E030000}"/>
    <cellStyle name="Currency 3 2 3 10" xfId="1115" xr:uid="{00000000-0005-0000-0000-00009F030000}"/>
    <cellStyle name="Currency 3 2 3 10 2" xfId="6449" xr:uid="{A55A5E9F-99FB-47DE-823F-24B19FB62A31}"/>
    <cellStyle name="Currency 3 2 3 11" xfId="5399" xr:uid="{7C4F5324-DF6C-4259-AA4D-4FEC4E201564}"/>
    <cellStyle name="Currency 3 2 3 2" xfId="65" xr:uid="{00000000-0005-0000-0000-0000A0030000}"/>
    <cellStyle name="Currency 3 2 3 2 10" xfId="5400" xr:uid="{78B08114-DB39-4D86-A877-6A5C52DEA763}"/>
    <cellStyle name="Currency 3 2 3 2 2" xfId="66" xr:uid="{00000000-0005-0000-0000-0000A1030000}"/>
    <cellStyle name="Currency 3 2 3 2 2 2" xfId="1116" xr:uid="{00000000-0005-0000-0000-0000A2030000}"/>
    <cellStyle name="Currency 3 2 3 2 2 2 2" xfId="1117" xr:uid="{00000000-0005-0000-0000-0000A3030000}"/>
    <cellStyle name="Currency 3 2 3 2 2 2 2 2" xfId="1118" xr:uid="{00000000-0005-0000-0000-0000A4030000}"/>
    <cellStyle name="Currency 3 2 3 2 2 2 2 2 2" xfId="6452" xr:uid="{52CB7E26-1EAC-4D98-8F88-454E0F265038}"/>
    <cellStyle name="Currency 3 2 3 2 2 2 2 3" xfId="1119" xr:uid="{00000000-0005-0000-0000-0000A5030000}"/>
    <cellStyle name="Currency 3 2 3 2 2 2 2 3 2" xfId="6453" xr:uid="{27AC8C8D-770A-4855-8402-477887664EB0}"/>
    <cellStyle name="Currency 3 2 3 2 2 2 2 4" xfId="6451" xr:uid="{D1433D72-A309-4CEC-A863-866DFB078098}"/>
    <cellStyle name="Currency 3 2 3 2 2 2 3" xfId="1120" xr:uid="{00000000-0005-0000-0000-0000A6030000}"/>
    <cellStyle name="Currency 3 2 3 2 2 2 3 2" xfId="6454" xr:uid="{3C2456F3-8B60-4B32-AE81-889C22F6B78A}"/>
    <cellStyle name="Currency 3 2 3 2 2 2 4" xfId="1121" xr:uid="{00000000-0005-0000-0000-0000A7030000}"/>
    <cellStyle name="Currency 3 2 3 2 2 2 4 2" xfId="6455" xr:uid="{C47D580D-365C-48E8-B9E4-FDE3CBF32EA1}"/>
    <cellStyle name="Currency 3 2 3 2 2 2 5" xfId="6450" xr:uid="{E5FE5760-3769-479F-81E3-922B1E3329D9}"/>
    <cellStyle name="Currency 3 2 3 2 2 3" xfId="1122" xr:uid="{00000000-0005-0000-0000-0000A8030000}"/>
    <cellStyle name="Currency 3 2 3 2 2 3 2" xfId="1123" xr:uid="{00000000-0005-0000-0000-0000A9030000}"/>
    <cellStyle name="Currency 3 2 3 2 2 3 2 2" xfId="1124" xr:uid="{00000000-0005-0000-0000-0000AA030000}"/>
    <cellStyle name="Currency 3 2 3 2 2 3 2 2 2" xfId="6458" xr:uid="{33B35CCA-1619-4191-936F-24744FA9E9A7}"/>
    <cellStyle name="Currency 3 2 3 2 2 3 2 3" xfId="6457" xr:uid="{4180F42E-0013-4F35-A53A-8B861B2862A0}"/>
    <cellStyle name="Currency 3 2 3 2 2 3 3" xfId="1125" xr:uid="{00000000-0005-0000-0000-0000AB030000}"/>
    <cellStyle name="Currency 3 2 3 2 2 3 3 2" xfId="6459" xr:uid="{5237F77E-A771-417C-B947-C39DC42CAAE4}"/>
    <cellStyle name="Currency 3 2 3 2 2 3 4" xfId="1126" xr:uid="{00000000-0005-0000-0000-0000AC030000}"/>
    <cellStyle name="Currency 3 2 3 2 2 3 4 2" xfId="6460" xr:uid="{4FD5A0F1-EB2F-44F4-8827-72746DE99337}"/>
    <cellStyle name="Currency 3 2 3 2 2 3 5" xfId="6456" xr:uid="{280A50D6-04FB-4C1E-825E-3F003A547444}"/>
    <cellStyle name="Currency 3 2 3 2 2 4" xfId="1127" xr:uid="{00000000-0005-0000-0000-0000AD030000}"/>
    <cellStyle name="Currency 3 2 3 2 2 4 2" xfId="1128" xr:uid="{00000000-0005-0000-0000-0000AE030000}"/>
    <cellStyle name="Currency 3 2 3 2 2 4 2 2" xfId="6462" xr:uid="{85487284-2315-4CA8-92A0-CE87A34F02B5}"/>
    <cellStyle name="Currency 3 2 3 2 2 4 3" xfId="6461" xr:uid="{03085448-A61A-4494-9F01-7964DEBD3F09}"/>
    <cellStyle name="Currency 3 2 3 2 2 5" xfId="1129" xr:uid="{00000000-0005-0000-0000-0000AF030000}"/>
    <cellStyle name="Currency 3 2 3 2 2 5 2" xfId="1130" xr:uid="{00000000-0005-0000-0000-0000B0030000}"/>
    <cellStyle name="Currency 3 2 3 2 2 5 2 2" xfId="6464" xr:uid="{12FC5C31-2FCA-4B4C-8BAD-AA72E3BD5B6F}"/>
    <cellStyle name="Currency 3 2 3 2 2 5 3" xfId="6463" xr:uid="{48A20AF9-6385-44CF-BE16-D3A94A39B21B}"/>
    <cellStyle name="Currency 3 2 3 2 2 6" xfId="1131" xr:uid="{00000000-0005-0000-0000-0000B1030000}"/>
    <cellStyle name="Currency 3 2 3 2 2 6 2" xfId="1132" xr:uid="{00000000-0005-0000-0000-0000B2030000}"/>
    <cellStyle name="Currency 3 2 3 2 2 6 2 2" xfId="6466" xr:uid="{49C8C7C7-15E6-41B2-964A-C13497AEA8CB}"/>
    <cellStyle name="Currency 3 2 3 2 2 6 3" xfId="6465" xr:uid="{DA43AB42-8A2E-47F2-82A3-6AC43A04BCF1}"/>
    <cellStyle name="Currency 3 2 3 2 2 7" xfId="1133" xr:uid="{00000000-0005-0000-0000-0000B3030000}"/>
    <cellStyle name="Currency 3 2 3 2 2 7 2" xfId="6467" xr:uid="{3CDAAAE9-1840-4B09-9F1B-22B79F7A96FE}"/>
    <cellStyle name="Currency 3 2 3 2 2 8" xfId="1134" xr:uid="{00000000-0005-0000-0000-0000B4030000}"/>
    <cellStyle name="Currency 3 2 3 2 2 8 2" xfId="6468" xr:uid="{C7442EA3-FB36-4153-B5F1-CB63C506DD2E}"/>
    <cellStyle name="Currency 3 2 3 2 2 9" xfId="5401" xr:uid="{3213F94F-5761-43A6-A3DF-B93B0BC202F6}"/>
    <cellStyle name="Currency 3 2 3 2 3" xfId="1135" xr:uid="{00000000-0005-0000-0000-0000B5030000}"/>
    <cellStyle name="Currency 3 2 3 2 3 2" xfId="1136" xr:uid="{00000000-0005-0000-0000-0000B6030000}"/>
    <cellStyle name="Currency 3 2 3 2 3 2 2" xfId="1137" xr:uid="{00000000-0005-0000-0000-0000B7030000}"/>
    <cellStyle name="Currency 3 2 3 2 3 2 2 2" xfId="6471" xr:uid="{BCACD521-FDE3-4BFC-9B65-AE01C3890DCC}"/>
    <cellStyle name="Currency 3 2 3 2 3 2 3" xfId="1138" xr:uid="{00000000-0005-0000-0000-0000B8030000}"/>
    <cellStyle name="Currency 3 2 3 2 3 2 3 2" xfId="6472" xr:uid="{F0F94EEB-0572-4FF5-A74C-58DFE603171D}"/>
    <cellStyle name="Currency 3 2 3 2 3 2 4" xfId="6470" xr:uid="{617E4149-9756-40C6-95DA-C184AF0097D0}"/>
    <cellStyle name="Currency 3 2 3 2 3 3" xfId="1139" xr:uid="{00000000-0005-0000-0000-0000B9030000}"/>
    <cellStyle name="Currency 3 2 3 2 3 3 2" xfId="6473" xr:uid="{4BD5C638-79CC-451F-9E70-38E0DAE199E5}"/>
    <cellStyle name="Currency 3 2 3 2 3 4" xfId="1140" xr:uid="{00000000-0005-0000-0000-0000BA030000}"/>
    <cellStyle name="Currency 3 2 3 2 3 4 2" xfId="6474" xr:uid="{713DBD3B-CE23-4799-ABFD-335B4E304F96}"/>
    <cellStyle name="Currency 3 2 3 2 3 5" xfId="6469" xr:uid="{3199E272-2761-40C4-8962-55C625CCF36B}"/>
    <cellStyle name="Currency 3 2 3 2 4" xfId="1141" xr:uid="{00000000-0005-0000-0000-0000BB030000}"/>
    <cellStyle name="Currency 3 2 3 2 4 2" xfId="1142" xr:uid="{00000000-0005-0000-0000-0000BC030000}"/>
    <cellStyle name="Currency 3 2 3 2 4 2 2" xfId="1143" xr:uid="{00000000-0005-0000-0000-0000BD030000}"/>
    <cellStyle name="Currency 3 2 3 2 4 2 2 2" xfId="6477" xr:uid="{43D8C0D2-A16F-4545-86ED-C5C8FBD447F5}"/>
    <cellStyle name="Currency 3 2 3 2 4 2 3" xfId="6476" xr:uid="{C988D887-EFC8-4056-92B3-B01C8A8D162C}"/>
    <cellStyle name="Currency 3 2 3 2 4 3" xfId="1144" xr:uid="{00000000-0005-0000-0000-0000BE030000}"/>
    <cellStyle name="Currency 3 2 3 2 4 3 2" xfId="6478" xr:uid="{C6D903C0-70EB-400E-8FC5-A7B28C612580}"/>
    <cellStyle name="Currency 3 2 3 2 4 4" xfId="1145" xr:uid="{00000000-0005-0000-0000-0000BF030000}"/>
    <cellStyle name="Currency 3 2 3 2 4 4 2" xfId="6479" xr:uid="{CDAE07B2-0F19-4C46-8428-28DB28134E7E}"/>
    <cellStyle name="Currency 3 2 3 2 4 5" xfId="6475" xr:uid="{69DDBF1C-B701-4E45-8940-7C3F5744FD1D}"/>
    <cellStyle name="Currency 3 2 3 2 5" xfId="1146" xr:uid="{00000000-0005-0000-0000-0000C0030000}"/>
    <cellStyle name="Currency 3 2 3 2 5 2" xfId="1147" xr:uid="{00000000-0005-0000-0000-0000C1030000}"/>
    <cellStyle name="Currency 3 2 3 2 5 2 2" xfId="6481" xr:uid="{7B8C8696-479B-4774-A51A-04BD3A3758DE}"/>
    <cellStyle name="Currency 3 2 3 2 5 3" xfId="6480" xr:uid="{24A711F1-F5C0-48AD-9DC8-42136F33F96B}"/>
    <cellStyle name="Currency 3 2 3 2 6" xfId="1148" xr:uid="{00000000-0005-0000-0000-0000C2030000}"/>
    <cellStyle name="Currency 3 2 3 2 6 2" xfId="1149" xr:uid="{00000000-0005-0000-0000-0000C3030000}"/>
    <cellStyle name="Currency 3 2 3 2 6 2 2" xfId="6483" xr:uid="{5471AF38-FD0B-4448-BD66-44404A558884}"/>
    <cellStyle name="Currency 3 2 3 2 6 3" xfId="6482" xr:uid="{8A52FB9B-2622-4E8D-9A4C-CCBD1188F256}"/>
    <cellStyle name="Currency 3 2 3 2 7" xfId="1150" xr:uid="{00000000-0005-0000-0000-0000C4030000}"/>
    <cellStyle name="Currency 3 2 3 2 7 2" xfId="1151" xr:uid="{00000000-0005-0000-0000-0000C5030000}"/>
    <cellStyle name="Currency 3 2 3 2 7 2 2" xfId="6485" xr:uid="{9571508B-7915-4A3A-8782-572648D879B5}"/>
    <cellStyle name="Currency 3 2 3 2 7 3" xfId="6484" xr:uid="{DCEB4E22-A85C-433D-B016-2E264D80E685}"/>
    <cellStyle name="Currency 3 2 3 2 8" xfId="1152" xr:uid="{00000000-0005-0000-0000-0000C6030000}"/>
    <cellStyle name="Currency 3 2 3 2 8 2" xfId="6486" xr:uid="{949E819D-33FA-4FCF-9C75-4025A33CD375}"/>
    <cellStyle name="Currency 3 2 3 2 9" xfId="1153" xr:uid="{00000000-0005-0000-0000-0000C7030000}"/>
    <cellStyle name="Currency 3 2 3 2 9 2" xfId="6487" xr:uid="{B6FA4E39-FB87-4AFC-967A-9F206B00607C}"/>
    <cellStyle name="Currency 3 2 3 3" xfId="67" xr:uid="{00000000-0005-0000-0000-0000C8030000}"/>
    <cellStyle name="Currency 3 2 3 3 2" xfId="1154" xr:uid="{00000000-0005-0000-0000-0000C9030000}"/>
    <cellStyle name="Currency 3 2 3 3 2 2" xfId="1155" xr:uid="{00000000-0005-0000-0000-0000CA030000}"/>
    <cellStyle name="Currency 3 2 3 3 2 2 2" xfId="1156" xr:uid="{00000000-0005-0000-0000-0000CB030000}"/>
    <cellStyle name="Currency 3 2 3 3 2 2 2 2" xfId="6490" xr:uid="{4FFEDDEA-7299-4FCD-86F7-6220118FFA34}"/>
    <cellStyle name="Currency 3 2 3 3 2 2 3" xfId="1157" xr:uid="{00000000-0005-0000-0000-0000CC030000}"/>
    <cellStyle name="Currency 3 2 3 3 2 2 3 2" xfId="6491" xr:uid="{DA8B7166-1A3C-4175-B386-EE811CB92BCB}"/>
    <cellStyle name="Currency 3 2 3 3 2 2 4" xfId="6489" xr:uid="{FF1AD550-015A-48A6-A8F3-C5357A51B53E}"/>
    <cellStyle name="Currency 3 2 3 3 2 3" xfId="1158" xr:uid="{00000000-0005-0000-0000-0000CD030000}"/>
    <cellStyle name="Currency 3 2 3 3 2 3 2" xfId="6492" xr:uid="{44264CFA-88D1-4271-B3D5-77EAA856A33E}"/>
    <cellStyle name="Currency 3 2 3 3 2 4" xfId="1159" xr:uid="{00000000-0005-0000-0000-0000CE030000}"/>
    <cellStyle name="Currency 3 2 3 3 2 4 2" xfId="6493" xr:uid="{66170304-D447-4AA0-B7C8-E38B921B6321}"/>
    <cellStyle name="Currency 3 2 3 3 2 5" xfId="6488" xr:uid="{C0F6AC94-9FAC-490E-91C7-44633B93F94D}"/>
    <cellStyle name="Currency 3 2 3 3 3" xfId="1160" xr:uid="{00000000-0005-0000-0000-0000CF030000}"/>
    <cellStyle name="Currency 3 2 3 3 3 2" xfId="1161" xr:uid="{00000000-0005-0000-0000-0000D0030000}"/>
    <cellStyle name="Currency 3 2 3 3 3 2 2" xfId="1162" xr:uid="{00000000-0005-0000-0000-0000D1030000}"/>
    <cellStyle name="Currency 3 2 3 3 3 2 2 2" xfId="6496" xr:uid="{BF967A13-BC96-42E2-92B9-E485ACE3AF45}"/>
    <cellStyle name="Currency 3 2 3 3 3 2 3" xfId="6495" xr:uid="{D2B554B0-A338-433F-9F64-7211CA629AEA}"/>
    <cellStyle name="Currency 3 2 3 3 3 3" xfId="1163" xr:uid="{00000000-0005-0000-0000-0000D2030000}"/>
    <cellStyle name="Currency 3 2 3 3 3 3 2" xfId="6497" xr:uid="{71683CDE-2D3F-4C58-AE47-418200CBD84B}"/>
    <cellStyle name="Currency 3 2 3 3 3 4" xfId="1164" xr:uid="{00000000-0005-0000-0000-0000D3030000}"/>
    <cellStyle name="Currency 3 2 3 3 3 4 2" xfId="6498" xr:uid="{585C2593-AAAB-4144-8A87-A5B813EAF36A}"/>
    <cellStyle name="Currency 3 2 3 3 3 5" xfId="6494" xr:uid="{5B2102B1-DF78-41BA-97D0-A5169EB96CDC}"/>
    <cellStyle name="Currency 3 2 3 3 4" xfId="1165" xr:uid="{00000000-0005-0000-0000-0000D4030000}"/>
    <cellStyle name="Currency 3 2 3 3 4 2" xfId="1166" xr:uid="{00000000-0005-0000-0000-0000D5030000}"/>
    <cellStyle name="Currency 3 2 3 3 4 2 2" xfId="6500" xr:uid="{FFA07B9C-2FAE-4CE1-942A-87D5379833F4}"/>
    <cellStyle name="Currency 3 2 3 3 4 3" xfId="6499" xr:uid="{6F7E19AA-C9F5-4937-A14D-83A5B74771A5}"/>
    <cellStyle name="Currency 3 2 3 3 5" xfId="1167" xr:uid="{00000000-0005-0000-0000-0000D6030000}"/>
    <cellStyle name="Currency 3 2 3 3 5 2" xfId="1168" xr:uid="{00000000-0005-0000-0000-0000D7030000}"/>
    <cellStyle name="Currency 3 2 3 3 5 2 2" xfId="6502" xr:uid="{C7F9C05B-DC61-4351-BA69-FE3D62AEB407}"/>
    <cellStyle name="Currency 3 2 3 3 5 3" xfId="6501" xr:uid="{EE2F0BB8-E490-4E85-BEEB-8B496E931161}"/>
    <cellStyle name="Currency 3 2 3 3 6" xfId="1169" xr:uid="{00000000-0005-0000-0000-0000D8030000}"/>
    <cellStyle name="Currency 3 2 3 3 6 2" xfId="1170" xr:uid="{00000000-0005-0000-0000-0000D9030000}"/>
    <cellStyle name="Currency 3 2 3 3 6 2 2" xfId="6504" xr:uid="{8B8A4928-8100-4450-8233-187367175ABD}"/>
    <cellStyle name="Currency 3 2 3 3 6 3" xfId="6503" xr:uid="{D7C3A800-C783-45EB-AD6C-C67C2E2B999D}"/>
    <cellStyle name="Currency 3 2 3 3 7" xfId="1171" xr:uid="{00000000-0005-0000-0000-0000DA030000}"/>
    <cellStyle name="Currency 3 2 3 3 7 2" xfId="6505" xr:uid="{791B3352-9FCE-4B99-BB56-299C05D39B8D}"/>
    <cellStyle name="Currency 3 2 3 3 8" xfId="1172" xr:uid="{00000000-0005-0000-0000-0000DB030000}"/>
    <cellStyle name="Currency 3 2 3 3 8 2" xfId="6506" xr:uid="{9B0A1D77-9ADB-4A7D-A176-D2B8D309BBA8}"/>
    <cellStyle name="Currency 3 2 3 3 9" xfId="5402" xr:uid="{FABE05AA-1F12-4D12-8FB9-8D30192995DD}"/>
    <cellStyle name="Currency 3 2 3 4" xfId="1173" xr:uid="{00000000-0005-0000-0000-0000DC030000}"/>
    <cellStyle name="Currency 3 2 3 4 2" xfId="1174" xr:uid="{00000000-0005-0000-0000-0000DD030000}"/>
    <cellStyle name="Currency 3 2 3 4 2 2" xfId="1175" xr:uid="{00000000-0005-0000-0000-0000DE030000}"/>
    <cellStyle name="Currency 3 2 3 4 2 2 2" xfId="6509" xr:uid="{5510891F-DB7C-4478-AA0C-762C6F2657BE}"/>
    <cellStyle name="Currency 3 2 3 4 2 3" xfId="1176" xr:uid="{00000000-0005-0000-0000-0000DF030000}"/>
    <cellStyle name="Currency 3 2 3 4 2 3 2" xfId="6510" xr:uid="{78680585-E23C-4654-BABF-2F07DFE3A2C1}"/>
    <cellStyle name="Currency 3 2 3 4 2 4" xfId="6508" xr:uid="{3AD06A24-2419-4C9B-B3AF-72DF0C69951B}"/>
    <cellStyle name="Currency 3 2 3 4 3" xfId="1177" xr:uid="{00000000-0005-0000-0000-0000E0030000}"/>
    <cellStyle name="Currency 3 2 3 4 3 2" xfId="6511" xr:uid="{86E8D2FE-723A-41CE-A774-38C76EA1A9CC}"/>
    <cellStyle name="Currency 3 2 3 4 4" xfId="1178" xr:uid="{00000000-0005-0000-0000-0000E1030000}"/>
    <cellStyle name="Currency 3 2 3 4 4 2" xfId="6512" xr:uid="{E7387732-BF20-4016-94E3-CAC1141E9587}"/>
    <cellStyle name="Currency 3 2 3 4 5" xfId="6507" xr:uid="{CEBCC2AF-0F58-40D2-BFDB-F05E969BECDE}"/>
    <cellStyle name="Currency 3 2 3 5" xfId="1179" xr:uid="{00000000-0005-0000-0000-0000E2030000}"/>
    <cellStyle name="Currency 3 2 3 5 2" xfId="1180" xr:uid="{00000000-0005-0000-0000-0000E3030000}"/>
    <cellStyle name="Currency 3 2 3 5 2 2" xfId="1181" xr:uid="{00000000-0005-0000-0000-0000E4030000}"/>
    <cellStyle name="Currency 3 2 3 5 2 2 2" xfId="6515" xr:uid="{85FC2D05-D65D-45F9-AE67-DBFC9B5ACD1C}"/>
    <cellStyle name="Currency 3 2 3 5 2 3" xfId="6514" xr:uid="{4EC26249-D4D7-470A-8BBC-BBB1B916DB87}"/>
    <cellStyle name="Currency 3 2 3 5 3" xfId="1182" xr:uid="{00000000-0005-0000-0000-0000E5030000}"/>
    <cellStyle name="Currency 3 2 3 5 3 2" xfId="6516" xr:uid="{F649239F-BE4B-4A67-A580-AC64155E3EDC}"/>
    <cellStyle name="Currency 3 2 3 5 4" xfId="1183" xr:uid="{00000000-0005-0000-0000-0000E6030000}"/>
    <cellStyle name="Currency 3 2 3 5 4 2" xfId="6517" xr:uid="{6B85DA77-38A3-43D9-AE7F-CA3E230146C7}"/>
    <cellStyle name="Currency 3 2 3 5 5" xfId="6513" xr:uid="{523A7466-A86F-4445-88EC-FE0CB1E4DD06}"/>
    <cellStyle name="Currency 3 2 3 6" xfId="1184" xr:uid="{00000000-0005-0000-0000-0000E7030000}"/>
    <cellStyle name="Currency 3 2 3 6 2" xfId="1185" xr:uid="{00000000-0005-0000-0000-0000E8030000}"/>
    <cellStyle name="Currency 3 2 3 6 2 2" xfId="6519" xr:uid="{82CF930A-8DCE-490E-A11D-C17CC03BDD0E}"/>
    <cellStyle name="Currency 3 2 3 6 3" xfId="6518" xr:uid="{5CF51D5D-A6C8-43AD-8BFF-F2014F7BECD9}"/>
    <cellStyle name="Currency 3 2 3 7" xfId="1186" xr:uid="{00000000-0005-0000-0000-0000E9030000}"/>
    <cellStyle name="Currency 3 2 3 7 2" xfId="1187" xr:uid="{00000000-0005-0000-0000-0000EA030000}"/>
    <cellStyle name="Currency 3 2 3 7 2 2" xfId="6521" xr:uid="{03D6609C-D5B9-477C-8A0F-5895445F69CF}"/>
    <cellStyle name="Currency 3 2 3 7 3" xfId="6520" xr:uid="{A3351FBC-9F74-4DC3-9152-889808C2D992}"/>
    <cellStyle name="Currency 3 2 3 8" xfId="1188" xr:uid="{00000000-0005-0000-0000-0000EB030000}"/>
    <cellStyle name="Currency 3 2 3 8 2" xfId="1189" xr:uid="{00000000-0005-0000-0000-0000EC030000}"/>
    <cellStyle name="Currency 3 2 3 8 2 2" xfId="6523" xr:uid="{866706C6-7F9E-4E3C-A450-D4BDECAB6270}"/>
    <cellStyle name="Currency 3 2 3 8 3" xfId="6522" xr:uid="{D13D91A4-E9C4-4436-9802-3620373AE9CC}"/>
    <cellStyle name="Currency 3 2 3 9" xfId="1190" xr:uid="{00000000-0005-0000-0000-0000ED030000}"/>
    <cellStyle name="Currency 3 2 3 9 2" xfId="6524" xr:uid="{BD5FB3B4-4EAA-4E71-82B6-FEB7648A3B3B}"/>
    <cellStyle name="Currency 3 2 4" xfId="68" xr:uid="{00000000-0005-0000-0000-0000EE030000}"/>
    <cellStyle name="Currency 3 2 4 10" xfId="5403" xr:uid="{F7FA787A-CD66-48C8-B30D-7575FA96F16A}"/>
    <cellStyle name="Currency 3 2 4 2" xfId="69" xr:uid="{00000000-0005-0000-0000-0000EF030000}"/>
    <cellStyle name="Currency 3 2 4 2 2" xfId="1191" xr:uid="{00000000-0005-0000-0000-0000F0030000}"/>
    <cellStyle name="Currency 3 2 4 2 2 2" xfId="1192" xr:uid="{00000000-0005-0000-0000-0000F1030000}"/>
    <cellStyle name="Currency 3 2 4 2 2 2 2" xfId="1193" xr:uid="{00000000-0005-0000-0000-0000F2030000}"/>
    <cellStyle name="Currency 3 2 4 2 2 2 2 2" xfId="6527" xr:uid="{001FB04A-3D30-4C0A-8F9F-395C9A3D4A26}"/>
    <cellStyle name="Currency 3 2 4 2 2 2 3" xfId="1194" xr:uid="{00000000-0005-0000-0000-0000F3030000}"/>
    <cellStyle name="Currency 3 2 4 2 2 2 3 2" xfId="6528" xr:uid="{55997F8A-183F-4828-A095-D0403A143BBB}"/>
    <cellStyle name="Currency 3 2 4 2 2 2 4" xfId="6526" xr:uid="{861E361B-2D4E-493B-B0F3-687B0C079C5B}"/>
    <cellStyle name="Currency 3 2 4 2 2 3" xfId="1195" xr:uid="{00000000-0005-0000-0000-0000F4030000}"/>
    <cellStyle name="Currency 3 2 4 2 2 3 2" xfId="6529" xr:uid="{540C6CBF-A9D5-46E6-870F-8E69902E289F}"/>
    <cellStyle name="Currency 3 2 4 2 2 4" xfId="1196" xr:uid="{00000000-0005-0000-0000-0000F5030000}"/>
    <cellStyle name="Currency 3 2 4 2 2 4 2" xfId="6530" xr:uid="{5EABF9A0-7EF6-4F5B-BB45-64C2C55662CE}"/>
    <cellStyle name="Currency 3 2 4 2 2 5" xfId="6525" xr:uid="{0164519A-8911-4DE9-A062-49EE141BB000}"/>
    <cellStyle name="Currency 3 2 4 2 3" xfId="1197" xr:uid="{00000000-0005-0000-0000-0000F6030000}"/>
    <cellStyle name="Currency 3 2 4 2 3 2" xfId="1198" xr:uid="{00000000-0005-0000-0000-0000F7030000}"/>
    <cellStyle name="Currency 3 2 4 2 3 2 2" xfId="1199" xr:uid="{00000000-0005-0000-0000-0000F8030000}"/>
    <cellStyle name="Currency 3 2 4 2 3 2 2 2" xfId="6533" xr:uid="{F8399E21-079B-4A75-B3FB-0D9A627BAF19}"/>
    <cellStyle name="Currency 3 2 4 2 3 2 3" xfId="6532" xr:uid="{41201542-025C-4B18-B005-496B61B029CA}"/>
    <cellStyle name="Currency 3 2 4 2 3 3" xfId="1200" xr:uid="{00000000-0005-0000-0000-0000F9030000}"/>
    <cellStyle name="Currency 3 2 4 2 3 3 2" xfId="6534" xr:uid="{5EE70FAB-36DE-48B7-AD84-A99E943247B5}"/>
    <cellStyle name="Currency 3 2 4 2 3 4" xfId="1201" xr:uid="{00000000-0005-0000-0000-0000FA030000}"/>
    <cellStyle name="Currency 3 2 4 2 3 4 2" xfId="6535" xr:uid="{3820D8F5-F3A1-441A-8DE7-38F5C386AF61}"/>
    <cellStyle name="Currency 3 2 4 2 3 5" xfId="6531" xr:uid="{30961DB5-D912-4147-A7C4-727971EBEAA0}"/>
    <cellStyle name="Currency 3 2 4 2 4" xfId="1202" xr:uid="{00000000-0005-0000-0000-0000FB030000}"/>
    <cellStyle name="Currency 3 2 4 2 4 2" xfId="1203" xr:uid="{00000000-0005-0000-0000-0000FC030000}"/>
    <cellStyle name="Currency 3 2 4 2 4 2 2" xfId="6537" xr:uid="{F77A87CB-83E4-4B60-954C-077928BC90C4}"/>
    <cellStyle name="Currency 3 2 4 2 4 3" xfId="6536" xr:uid="{999FC771-3F78-4AD1-9C1C-47B54253236A}"/>
    <cellStyle name="Currency 3 2 4 2 5" xfId="1204" xr:uid="{00000000-0005-0000-0000-0000FD030000}"/>
    <cellStyle name="Currency 3 2 4 2 5 2" xfId="1205" xr:uid="{00000000-0005-0000-0000-0000FE030000}"/>
    <cellStyle name="Currency 3 2 4 2 5 2 2" xfId="6539" xr:uid="{B947199C-E682-4989-837E-69C8EAD04B51}"/>
    <cellStyle name="Currency 3 2 4 2 5 3" xfId="6538" xr:uid="{CC10CA77-0F5D-42EA-B45C-AD8A0AEE68A7}"/>
    <cellStyle name="Currency 3 2 4 2 6" xfId="1206" xr:uid="{00000000-0005-0000-0000-0000FF030000}"/>
    <cellStyle name="Currency 3 2 4 2 6 2" xfId="1207" xr:uid="{00000000-0005-0000-0000-000000040000}"/>
    <cellStyle name="Currency 3 2 4 2 6 2 2" xfId="6541" xr:uid="{18EB189B-346C-41F0-BEA2-231EA190BD6B}"/>
    <cellStyle name="Currency 3 2 4 2 6 3" xfId="6540" xr:uid="{B0B160E0-C6F3-443A-B130-E9BE1A7436C5}"/>
    <cellStyle name="Currency 3 2 4 2 7" xfId="1208" xr:uid="{00000000-0005-0000-0000-000001040000}"/>
    <cellStyle name="Currency 3 2 4 2 7 2" xfId="6542" xr:uid="{16ECEC4B-9625-410D-8EE6-4FED79B03889}"/>
    <cellStyle name="Currency 3 2 4 2 8" xfId="1209" xr:uid="{00000000-0005-0000-0000-000002040000}"/>
    <cellStyle name="Currency 3 2 4 2 8 2" xfId="6543" xr:uid="{E7450811-D084-44C8-AC53-602571F53768}"/>
    <cellStyle name="Currency 3 2 4 2 9" xfId="5404" xr:uid="{7677CC3F-710D-4A53-B49F-4FABE4021321}"/>
    <cellStyle name="Currency 3 2 4 3" xfId="1210" xr:uid="{00000000-0005-0000-0000-000003040000}"/>
    <cellStyle name="Currency 3 2 4 3 2" xfId="1211" xr:uid="{00000000-0005-0000-0000-000004040000}"/>
    <cellStyle name="Currency 3 2 4 3 2 2" xfId="1212" xr:uid="{00000000-0005-0000-0000-000005040000}"/>
    <cellStyle name="Currency 3 2 4 3 2 2 2" xfId="6546" xr:uid="{83A2D704-2471-4F6A-AD9B-656EC77DF184}"/>
    <cellStyle name="Currency 3 2 4 3 2 3" xfId="1213" xr:uid="{00000000-0005-0000-0000-000006040000}"/>
    <cellStyle name="Currency 3 2 4 3 2 3 2" xfId="6547" xr:uid="{E66379A6-A14E-481D-98C5-C1A6CD0DF4C5}"/>
    <cellStyle name="Currency 3 2 4 3 2 4" xfId="6545" xr:uid="{0C2C0299-8A90-492C-9969-7BBCF28D575C}"/>
    <cellStyle name="Currency 3 2 4 3 3" xfId="1214" xr:uid="{00000000-0005-0000-0000-000007040000}"/>
    <cellStyle name="Currency 3 2 4 3 3 2" xfId="6548" xr:uid="{67A6AC69-ADFD-4A61-BD7E-ED505B11CE5C}"/>
    <cellStyle name="Currency 3 2 4 3 4" xfId="1215" xr:uid="{00000000-0005-0000-0000-000008040000}"/>
    <cellStyle name="Currency 3 2 4 3 4 2" xfId="6549" xr:uid="{7309D15E-FB10-4CE9-B3D7-C8F1199113A3}"/>
    <cellStyle name="Currency 3 2 4 3 5" xfId="6544" xr:uid="{58899CE2-3B24-48FB-B3C7-8518BDEFD30C}"/>
    <cellStyle name="Currency 3 2 4 4" xfId="1216" xr:uid="{00000000-0005-0000-0000-000009040000}"/>
    <cellStyle name="Currency 3 2 4 4 2" xfId="1217" xr:uid="{00000000-0005-0000-0000-00000A040000}"/>
    <cellStyle name="Currency 3 2 4 4 2 2" xfId="1218" xr:uid="{00000000-0005-0000-0000-00000B040000}"/>
    <cellStyle name="Currency 3 2 4 4 2 2 2" xfId="6552" xr:uid="{50675369-22FA-4DCB-A1B2-60581321E352}"/>
    <cellStyle name="Currency 3 2 4 4 2 3" xfId="6551" xr:uid="{F05A306C-E80B-4054-B3C1-D4B979EB0DF7}"/>
    <cellStyle name="Currency 3 2 4 4 3" xfId="1219" xr:uid="{00000000-0005-0000-0000-00000C040000}"/>
    <cellStyle name="Currency 3 2 4 4 3 2" xfId="6553" xr:uid="{14683647-48BE-4022-BA71-0E4B811D7DC6}"/>
    <cellStyle name="Currency 3 2 4 4 4" xfId="1220" xr:uid="{00000000-0005-0000-0000-00000D040000}"/>
    <cellStyle name="Currency 3 2 4 4 4 2" xfId="6554" xr:uid="{4A4B96FC-9797-4FB8-8050-58533F6A209B}"/>
    <cellStyle name="Currency 3 2 4 4 5" xfId="6550" xr:uid="{943262C5-A72F-480C-B33B-A5FC4A23B50A}"/>
    <cellStyle name="Currency 3 2 4 5" xfId="1221" xr:uid="{00000000-0005-0000-0000-00000E040000}"/>
    <cellStyle name="Currency 3 2 4 5 2" xfId="1222" xr:uid="{00000000-0005-0000-0000-00000F040000}"/>
    <cellStyle name="Currency 3 2 4 5 2 2" xfId="6556" xr:uid="{C2EC1948-C0F3-4E6E-B489-E6F4C7AD7DDA}"/>
    <cellStyle name="Currency 3 2 4 5 3" xfId="6555" xr:uid="{2846761D-2E01-4BBE-975E-8C5278C118B4}"/>
    <cellStyle name="Currency 3 2 4 6" xfId="1223" xr:uid="{00000000-0005-0000-0000-000010040000}"/>
    <cellStyle name="Currency 3 2 4 6 2" xfId="1224" xr:uid="{00000000-0005-0000-0000-000011040000}"/>
    <cellStyle name="Currency 3 2 4 6 2 2" xfId="6558" xr:uid="{4F665539-0251-4F5C-B143-2DD8E1864EB5}"/>
    <cellStyle name="Currency 3 2 4 6 3" xfId="6557" xr:uid="{31054C58-4ADE-4ADB-9408-0058F98C8228}"/>
    <cellStyle name="Currency 3 2 4 7" xfId="1225" xr:uid="{00000000-0005-0000-0000-000012040000}"/>
    <cellStyle name="Currency 3 2 4 7 2" xfId="1226" xr:uid="{00000000-0005-0000-0000-000013040000}"/>
    <cellStyle name="Currency 3 2 4 7 2 2" xfId="6560" xr:uid="{A88F2C50-F8B0-430F-9965-11C4D1B910CD}"/>
    <cellStyle name="Currency 3 2 4 7 3" xfId="6559" xr:uid="{583BFEF2-CD96-4DC4-BCAA-0702B7176BA5}"/>
    <cellStyle name="Currency 3 2 4 8" xfId="1227" xr:uid="{00000000-0005-0000-0000-000014040000}"/>
    <cellStyle name="Currency 3 2 4 8 2" xfId="6561" xr:uid="{09AAF9FC-152C-4917-A588-248BC3DD2D98}"/>
    <cellStyle name="Currency 3 2 4 9" xfId="1228" xr:uid="{00000000-0005-0000-0000-000015040000}"/>
    <cellStyle name="Currency 3 2 4 9 2" xfId="6562" xr:uid="{C5D99BC9-DCCC-44CF-AC37-D328D7741B37}"/>
    <cellStyle name="Currency 3 2 5" xfId="70" xr:uid="{00000000-0005-0000-0000-000016040000}"/>
    <cellStyle name="Currency 3 2 5 10" xfId="5405" xr:uid="{D3576244-F9D9-4466-B516-6E1363D126DD}"/>
    <cellStyle name="Currency 3 2 5 2" xfId="1229" xr:uid="{00000000-0005-0000-0000-000017040000}"/>
    <cellStyle name="Currency 3 2 5 2 2" xfId="1230" xr:uid="{00000000-0005-0000-0000-000018040000}"/>
    <cellStyle name="Currency 3 2 5 2 2 2" xfId="1231" xr:uid="{00000000-0005-0000-0000-000019040000}"/>
    <cellStyle name="Currency 3 2 5 2 2 2 2" xfId="1232" xr:uid="{00000000-0005-0000-0000-00001A040000}"/>
    <cellStyle name="Currency 3 2 5 2 2 2 2 2" xfId="6566" xr:uid="{60F7C002-6DD1-425E-AD75-3B8D2A263B09}"/>
    <cellStyle name="Currency 3 2 5 2 2 2 3" xfId="1233" xr:uid="{00000000-0005-0000-0000-00001B040000}"/>
    <cellStyle name="Currency 3 2 5 2 2 2 3 2" xfId="6567" xr:uid="{5EE001D8-565E-4F9A-BC69-9FF17DA35AC0}"/>
    <cellStyle name="Currency 3 2 5 2 2 2 4" xfId="6565" xr:uid="{00255449-2126-42F4-9695-3B7119B48348}"/>
    <cellStyle name="Currency 3 2 5 2 2 3" xfId="1234" xr:uid="{00000000-0005-0000-0000-00001C040000}"/>
    <cellStyle name="Currency 3 2 5 2 2 3 2" xfId="6568" xr:uid="{B2A53C88-E117-4AF3-890F-090DADDFEC1F}"/>
    <cellStyle name="Currency 3 2 5 2 2 4" xfId="1235" xr:uid="{00000000-0005-0000-0000-00001D040000}"/>
    <cellStyle name="Currency 3 2 5 2 2 4 2" xfId="6569" xr:uid="{D26C2660-ED58-4803-9D25-26035DF5CE3F}"/>
    <cellStyle name="Currency 3 2 5 2 2 5" xfId="6564" xr:uid="{26FEB632-077A-407B-A6B6-B75961424CB2}"/>
    <cellStyle name="Currency 3 2 5 2 3" xfId="1236" xr:uid="{00000000-0005-0000-0000-00001E040000}"/>
    <cellStyle name="Currency 3 2 5 2 3 2" xfId="1237" xr:uid="{00000000-0005-0000-0000-00001F040000}"/>
    <cellStyle name="Currency 3 2 5 2 3 2 2" xfId="1238" xr:uid="{00000000-0005-0000-0000-000020040000}"/>
    <cellStyle name="Currency 3 2 5 2 3 2 2 2" xfId="6572" xr:uid="{5D2A568A-BEEA-47C8-AF95-598CEAE7B7E0}"/>
    <cellStyle name="Currency 3 2 5 2 3 2 3" xfId="6571" xr:uid="{A204E90B-F6C4-4D69-8D34-B0EBA42F4F7D}"/>
    <cellStyle name="Currency 3 2 5 2 3 3" xfId="1239" xr:uid="{00000000-0005-0000-0000-000021040000}"/>
    <cellStyle name="Currency 3 2 5 2 3 3 2" xfId="6573" xr:uid="{440D5D50-D699-4E3B-89F4-1E5B9954A1D6}"/>
    <cellStyle name="Currency 3 2 5 2 3 4" xfId="1240" xr:uid="{00000000-0005-0000-0000-000022040000}"/>
    <cellStyle name="Currency 3 2 5 2 3 4 2" xfId="6574" xr:uid="{24BEF760-A60E-464D-93D6-531A25A72763}"/>
    <cellStyle name="Currency 3 2 5 2 3 5" xfId="6570" xr:uid="{64FBA54E-6B1E-445F-9A04-1CC52AB02CE3}"/>
    <cellStyle name="Currency 3 2 5 2 4" xfId="1241" xr:uid="{00000000-0005-0000-0000-000023040000}"/>
    <cellStyle name="Currency 3 2 5 2 4 2" xfId="1242" xr:uid="{00000000-0005-0000-0000-000024040000}"/>
    <cellStyle name="Currency 3 2 5 2 4 2 2" xfId="6576" xr:uid="{C3D7FACE-6ED7-4D46-8569-704E147F998E}"/>
    <cellStyle name="Currency 3 2 5 2 4 3" xfId="6575" xr:uid="{5E65F103-D1D4-4A81-84BB-06232E7E7E31}"/>
    <cellStyle name="Currency 3 2 5 2 5" xfId="1243" xr:uid="{00000000-0005-0000-0000-000025040000}"/>
    <cellStyle name="Currency 3 2 5 2 5 2" xfId="6577" xr:uid="{D7959AEC-487C-4589-B739-276AA5DB1D35}"/>
    <cellStyle name="Currency 3 2 5 2 6" xfId="1244" xr:uid="{00000000-0005-0000-0000-000026040000}"/>
    <cellStyle name="Currency 3 2 5 2 6 2" xfId="6578" xr:uid="{F3396B23-96F7-47FC-96E4-163EE9C4F427}"/>
    <cellStyle name="Currency 3 2 5 2 7" xfId="6563" xr:uid="{EC1DEB98-CF23-4B46-B378-FB7D336C95D2}"/>
    <cellStyle name="Currency 3 2 5 3" xfId="1245" xr:uid="{00000000-0005-0000-0000-000027040000}"/>
    <cellStyle name="Currency 3 2 5 3 2" xfId="1246" xr:uid="{00000000-0005-0000-0000-000028040000}"/>
    <cellStyle name="Currency 3 2 5 3 2 2" xfId="1247" xr:uid="{00000000-0005-0000-0000-000029040000}"/>
    <cellStyle name="Currency 3 2 5 3 2 2 2" xfId="6581" xr:uid="{FE6378C7-57EA-44A8-8835-BCEBAAB04FF2}"/>
    <cellStyle name="Currency 3 2 5 3 2 3" xfId="1248" xr:uid="{00000000-0005-0000-0000-00002A040000}"/>
    <cellStyle name="Currency 3 2 5 3 2 3 2" xfId="6582" xr:uid="{9867B32D-E098-49D0-86D4-7044B84C0D27}"/>
    <cellStyle name="Currency 3 2 5 3 2 4" xfId="6580" xr:uid="{39A66C84-2E3E-4948-86F3-71ECC8C0BC33}"/>
    <cellStyle name="Currency 3 2 5 3 3" xfId="1249" xr:uid="{00000000-0005-0000-0000-00002B040000}"/>
    <cellStyle name="Currency 3 2 5 3 3 2" xfId="6583" xr:uid="{0CC5A6D4-66D9-43A4-912A-D1DC482E80FF}"/>
    <cellStyle name="Currency 3 2 5 3 4" xfId="1250" xr:uid="{00000000-0005-0000-0000-00002C040000}"/>
    <cellStyle name="Currency 3 2 5 3 4 2" xfId="6584" xr:uid="{76CC87CB-D8E0-4607-AA22-FF68FDF74603}"/>
    <cellStyle name="Currency 3 2 5 3 5" xfId="6579" xr:uid="{17105CB0-02BA-4F69-A39E-631D5EAC4871}"/>
    <cellStyle name="Currency 3 2 5 4" xfId="1251" xr:uid="{00000000-0005-0000-0000-00002D040000}"/>
    <cellStyle name="Currency 3 2 5 4 2" xfId="1252" xr:uid="{00000000-0005-0000-0000-00002E040000}"/>
    <cellStyle name="Currency 3 2 5 4 2 2" xfId="1253" xr:uid="{00000000-0005-0000-0000-00002F040000}"/>
    <cellStyle name="Currency 3 2 5 4 2 2 2" xfId="6587" xr:uid="{4BFBBC42-1170-4403-8193-6E39E23B44B5}"/>
    <cellStyle name="Currency 3 2 5 4 2 3" xfId="6586" xr:uid="{9B635F57-0D27-4787-8450-A78939890AF6}"/>
    <cellStyle name="Currency 3 2 5 4 3" xfId="1254" xr:uid="{00000000-0005-0000-0000-000030040000}"/>
    <cellStyle name="Currency 3 2 5 4 3 2" xfId="6588" xr:uid="{882D134F-356B-4519-820C-6296E921873F}"/>
    <cellStyle name="Currency 3 2 5 4 4" xfId="1255" xr:uid="{00000000-0005-0000-0000-000031040000}"/>
    <cellStyle name="Currency 3 2 5 4 4 2" xfId="6589" xr:uid="{723647DB-EC8B-400A-99DC-FD528ABA2491}"/>
    <cellStyle name="Currency 3 2 5 4 5" xfId="6585" xr:uid="{CE20F8E1-BF3F-461D-99D9-F3C710E2DE23}"/>
    <cellStyle name="Currency 3 2 5 5" xfId="1256" xr:uid="{00000000-0005-0000-0000-000032040000}"/>
    <cellStyle name="Currency 3 2 5 5 2" xfId="1257" xr:uid="{00000000-0005-0000-0000-000033040000}"/>
    <cellStyle name="Currency 3 2 5 5 2 2" xfId="6591" xr:uid="{95648EBC-C909-4209-B928-0DC7B905E2B5}"/>
    <cellStyle name="Currency 3 2 5 5 3" xfId="6590" xr:uid="{BE621FF7-4F78-44C2-9045-D80E81DCD400}"/>
    <cellStyle name="Currency 3 2 5 6" xfId="1258" xr:uid="{00000000-0005-0000-0000-000034040000}"/>
    <cellStyle name="Currency 3 2 5 6 2" xfId="1259" xr:uid="{00000000-0005-0000-0000-000035040000}"/>
    <cellStyle name="Currency 3 2 5 6 2 2" xfId="6593" xr:uid="{79D2F6E0-04B3-475E-9347-56DA31C0CF6B}"/>
    <cellStyle name="Currency 3 2 5 6 3" xfId="6592" xr:uid="{70216438-60EE-4342-943B-325F8FC51A6A}"/>
    <cellStyle name="Currency 3 2 5 7" xfId="1260" xr:uid="{00000000-0005-0000-0000-000036040000}"/>
    <cellStyle name="Currency 3 2 5 7 2" xfId="1261" xr:uid="{00000000-0005-0000-0000-000037040000}"/>
    <cellStyle name="Currency 3 2 5 7 2 2" xfId="6595" xr:uid="{18DFD796-9B07-4434-9D7E-C81B498734B8}"/>
    <cellStyle name="Currency 3 2 5 7 3" xfId="6594" xr:uid="{A6BB72B2-6396-4B7F-843A-D002A357D9F5}"/>
    <cellStyle name="Currency 3 2 5 8" xfId="1262" xr:uid="{00000000-0005-0000-0000-000038040000}"/>
    <cellStyle name="Currency 3 2 5 8 2" xfId="6596" xr:uid="{D062F72F-DF3A-4938-83A4-DFC2A5FAC66A}"/>
    <cellStyle name="Currency 3 2 5 9" xfId="1263" xr:uid="{00000000-0005-0000-0000-000039040000}"/>
    <cellStyle name="Currency 3 2 5 9 2" xfId="6597" xr:uid="{5F8610AA-8003-4742-90A8-89EA2265742A}"/>
    <cellStyle name="Currency 3 2 6" xfId="1264" xr:uid="{00000000-0005-0000-0000-00003A040000}"/>
    <cellStyle name="Currency 3 2 6 2" xfId="1265" xr:uid="{00000000-0005-0000-0000-00003B040000}"/>
    <cellStyle name="Currency 3 2 6 2 2" xfId="1266" xr:uid="{00000000-0005-0000-0000-00003C040000}"/>
    <cellStyle name="Currency 3 2 6 2 2 2" xfId="1267" xr:uid="{00000000-0005-0000-0000-00003D040000}"/>
    <cellStyle name="Currency 3 2 6 2 2 2 2" xfId="6601" xr:uid="{563A51F0-69B5-4281-8F1E-ED4DD4AA78D4}"/>
    <cellStyle name="Currency 3 2 6 2 2 3" xfId="1268" xr:uid="{00000000-0005-0000-0000-00003E040000}"/>
    <cellStyle name="Currency 3 2 6 2 2 3 2" xfId="6602" xr:uid="{4FF22AEC-BF14-4426-9167-173AC99BE835}"/>
    <cellStyle name="Currency 3 2 6 2 2 4" xfId="6600" xr:uid="{3D5B004D-A061-4997-A9C1-60239A85AA85}"/>
    <cellStyle name="Currency 3 2 6 2 3" xfId="1269" xr:uid="{00000000-0005-0000-0000-00003F040000}"/>
    <cellStyle name="Currency 3 2 6 2 3 2" xfId="6603" xr:uid="{8C1FEF89-AFAF-429A-A4CB-F15E1D98CA07}"/>
    <cellStyle name="Currency 3 2 6 2 4" xfId="1270" xr:uid="{00000000-0005-0000-0000-000040040000}"/>
    <cellStyle name="Currency 3 2 6 2 4 2" xfId="6604" xr:uid="{9DF383C0-279D-483A-A0AB-30493039E903}"/>
    <cellStyle name="Currency 3 2 6 2 5" xfId="6599" xr:uid="{37BC058F-5E17-4A6B-BA2A-386D453DD09E}"/>
    <cellStyle name="Currency 3 2 6 3" xfId="1271" xr:uid="{00000000-0005-0000-0000-000041040000}"/>
    <cellStyle name="Currency 3 2 6 3 2" xfId="1272" xr:uid="{00000000-0005-0000-0000-000042040000}"/>
    <cellStyle name="Currency 3 2 6 3 2 2" xfId="1273" xr:uid="{00000000-0005-0000-0000-000043040000}"/>
    <cellStyle name="Currency 3 2 6 3 2 2 2" xfId="6607" xr:uid="{D5B303C1-EF74-4CBB-90C1-CDC2B1820382}"/>
    <cellStyle name="Currency 3 2 6 3 2 3" xfId="6606" xr:uid="{5A8A0F89-D4D6-4D67-8C8D-7B3C7BAB90DE}"/>
    <cellStyle name="Currency 3 2 6 3 3" xfId="1274" xr:uid="{00000000-0005-0000-0000-000044040000}"/>
    <cellStyle name="Currency 3 2 6 3 3 2" xfId="6608" xr:uid="{FE358417-CD27-4C6F-9AAC-9A212A369DA1}"/>
    <cellStyle name="Currency 3 2 6 3 4" xfId="1275" xr:uid="{00000000-0005-0000-0000-000045040000}"/>
    <cellStyle name="Currency 3 2 6 3 4 2" xfId="6609" xr:uid="{3678474E-57F6-490F-B638-0C82B7C6F523}"/>
    <cellStyle name="Currency 3 2 6 3 5" xfId="6605" xr:uid="{89AE8AC6-F2A9-44CD-B805-9288AD66A29E}"/>
    <cellStyle name="Currency 3 2 6 4" xfId="1276" xr:uid="{00000000-0005-0000-0000-000046040000}"/>
    <cellStyle name="Currency 3 2 6 4 2" xfId="1277" xr:uid="{00000000-0005-0000-0000-000047040000}"/>
    <cellStyle name="Currency 3 2 6 4 2 2" xfId="6611" xr:uid="{C2828E25-63F6-4501-B6B4-2896BFEF8338}"/>
    <cellStyle name="Currency 3 2 6 4 3" xfId="6610" xr:uid="{19BFC945-4751-4ECA-80EC-200ABD05ADB9}"/>
    <cellStyle name="Currency 3 2 6 5" xfId="1278" xr:uid="{00000000-0005-0000-0000-000048040000}"/>
    <cellStyle name="Currency 3 2 6 5 2" xfId="6612" xr:uid="{FFB0F99D-4E8E-42FE-A27F-2A1E859D6617}"/>
    <cellStyle name="Currency 3 2 6 6" xfId="1279" xr:uid="{00000000-0005-0000-0000-000049040000}"/>
    <cellStyle name="Currency 3 2 6 6 2" xfId="6613" xr:uid="{B4346A25-0F08-43C2-8D33-5730E4C8E7E3}"/>
    <cellStyle name="Currency 3 2 6 7" xfId="6598" xr:uid="{2A1F52B4-DE52-47C3-9475-9791AAD116AA}"/>
    <cellStyle name="Currency 3 2 7" xfId="1280" xr:uid="{00000000-0005-0000-0000-00004A040000}"/>
    <cellStyle name="Currency 3 2 7 2" xfId="1281" xr:uid="{00000000-0005-0000-0000-00004B040000}"/>
    <cellStyle name="Currency 3 2 7 2 2" xfId="1282" xr:uid="{00000000-0005-0000-0000-00004C040000}"/>
    <cellStyle name="Currency 3 2 7 2 2 2" xfId="6616" xr:uid="{3C52AC7C-9099-4F9D-A457-D85CEDDBEB2F}"/>
    <cellStyle name="Currency 3 2 7 2 3" xfId="1283" xr:uid="{00000000-0005-0000-0000-00004D040000}"/>
    <cellStyle name="Currency 3 2 7 2 3 2" xfId="6617" xr:uid="{3F4C8647-D825-4738-9599-23FE3CBB7192}"/>
    <cellStyle name="Currency 3 2 7 2 4" xfId="6615" xr:uid="{A5C90DF6-84DC-475C-B30C-529D3BA97B86}"/>
    <cellStyle name="Currency 3 2 7 3" xfId="1284" xr:uid="{00000000-0005-0000-0000-00004E040000}"/>
    <cellStyle name="Currency 3 2 7 3 2" xfId="1285" xr:uid="{00000000-0005-0000-0000-00004F040000}"/>
    <cellStyle name="Currency 3 2 7 3 2 2" xfId="6619" xr:uid="{E927EBD7-4C19-4BF9-8ED5-77D9E0363762}"/>
    <cellStyle name="Currency 3 2 7 3 3" xfId="6618" xr:uid="{D9C075FC-2518-421B-B157-17E260C762C9}"/>
    <cellStyle name="Currency 3 2 7 4" xfId="1286" xr:uid="{00000000-0005-0000-0000-000050040000}"/>
    <cellStyle name="Currency 3 2 7 4 2" xfId="6620" xr:uid="{D74AE857-7AD1-4A09-9D10-EE0543A12BDC}"/>
    <cellStyle name="Currency 3 2 7 5" xfId="6614" xr:uid="{39FE375F-9B99-49E9-8EA7-C084774BDF8F}"/>
    <cellStyle name="Currency 3 2 8" xfId="1287" xr:uid="{00000000-0005-0000-0000-000051040000}"/>
    <cellStyle name="Currency 3 2 8 2" xfId="1288" xr:uid="{00000000-0005-0000-0000-000052040000}"/>
    <cellStyle name="Currency 3 2 8 2 2" xfId="1289" xr:uid="{00000000-0005-0000-0000-000053040000}"/>
    <cellStyle name="Currency 3 2 8 2 2 2" xfId="6623" xr:uid="{8E9D4670-0569-4A63-A548-016D482D138C}"/>
    <cellStyle name="Currency 3 2 8 2 3" xfId="6622" xr:uid="{50EC6BC7-00EF-40BF-963B-BF4056379C43}"/>
    <cellStyle name="Currency 3 2 8 3" xfId="1290" xr:uid="{00000000-0005-0000-0000-000054040000}"/>
    <cellStyle name="Currency 3 2 8 3 2" xfId="6624" xr:uid="{27EDDE8D-305E-4DD6-8D2E-295F6EADAE61}"/>
    <cellStyle name="Currency 3 2 8 4" xfId="1291" xr:uid="{00000000-0005-0000-0000-000055040000}"/>
    <cellStyle name="Currency 3 2 8 4 2" xfId="6625" xr:uid="{D235EF25-BD7B-4146-847A-C99CB110BCE6}"/>
    <cellStyle name="Currency 3 2 8 5" xfId="6621" xr:uid="{10CEFA06-2582-4DF2-AE44-444A7A337943}"/>
    <cellStyle name="Currency 3 2 9" xfId="1292" xr:uid="{00000000-0005-0000-0000-000056040000}"/>
    <cellStyle name="Currency 3 2 9 2" xfId="1293" xr:uid="{00000000-0005-0000-0000-000057040000}"/>
    <cellStyle name="Currency 3 2 9 2 2" xfId="6627" xr:uid="{EE41D2E9-7387-4C5F-9AD7-4AC36AC4C418}"/>
    <cellStyle name="Currency 3 2 9 3" xfId="1294" xr:uid="{00000000-0005-0000-0000-000058040000}"/>
    <cellStyle name="Currency 3 2 9 3 2" xfId="6628" xr:uid="{FE89EEAB-419B-44CB-8E2D-6D10CE25C093}"/>
    <cellStyle name="Currency 3 2 9 4" xfId="6626" xr:uid="{73144E77-9B11-4B20-9199-01691325ADD4}"/>
    <cellStyle name="Currency 3 3" xfId="71" xr:uid="{00000000-0005-0000-0000-000059040000}"/>
    <cellStyle name="Currency 3 3 10" xfId="1295" xr:uid="{00000000-0005-0000-0000-00005A040000}"/>
    <cellStyle name="Currency 3 3 10 2" xfId="1296" xr:uid="{00000000-0005-0000-0000-00005B040000}"/>
    <cellStyle name="Currency 3 3 10 2 2" xfId="6630" xr:uid="{B360A91B-334A-457A-8FE4-B5C39BE89DE5}"/>
    <cellStyle name="Currency 3 3 10 3" xfId="6629" xr:uid="{D8940A99-B81E-4598-BA93-1659360D045D}"/>
    <cellStyle name="Currency 3 3 11" xfId="1297" xr:uid="{00000000-0005-0000-0000-00005C040000}"/>
    <cellStyle name="Currency 3 3 11 2" xfId="6631" xr:uid="{6D660DE0-C9BA-42DB-9AF9-DEBFEB5EFB13}"/>
    <cellStyle name="Currency 3 3 12" xfId="1298" xr:uid="{00000000-0005-0000-0000-00005D040000}"/>
    <cellStyle name="Currency 3 3 12 2" xfId="6632" xr:uid="{8F91910B-CCBA-477E-8E60-CC0D668A0C15}"/>
    <cellStyle name="Currency 3 3 13" xfId="5406" xr:uid="{CA57A3CB-C4BD-421A-A2F7-A8F9D0D40FFB}"/>
    <cellStyle name="Currency 3 3 2" xfId="72" xr:uid="{00000000-0005-0000-0000-00005E040000}"/>
    <cellStyle name="Currency 3 3 2 10" xfId="1299" xr:uid="{00000000-0005-0000-0000-00005F040000}"/>
    <cellStyle name="Currency 3 3 2 10 2" xfId="6633" xr:uid="{D61263A4-06E9-4617-BA35-E451D265243D}"/>
    <cellStyle name="Currency 3 3 2 11" xfId="5407" xr:uid="{D823BF78-07A1-4A65-A750-EFF135D82063}"/>
    <cellStyle name="Currency 3 3 2 2" xfId="73" xr:uid="{00000000-0005-0000-0000-000060040000}"/>
    <cellStyle name="Currency 3 3 2 2 10" xfId="5408" xr:uid="{0E3221F8-9FCD-4557-A0FF-72286E529503}"/>
    <cellStyle name="Currency 3 3 2 2 2" xfId="74" xr:uid="{00000000-0005-0000-0000-000061040000}"/>
    <cellStyle name="Currency 3 3 2 2 2 2" xfId="1300" xr:uid="{00000000-0005-0000-0000-000062040000}"/>
    <cellStyle name="Currency 3 3 2 2 2 2 2" xfId="1301" xr:uid="{00000000-0005-0000-0000-000063040000}"/>
    <cellStyle name="Currency 3 3 2 2 2 2 2 2" xfId="1302" xr:uid="{00000000-0005-0000-0000-000064040000}"/>
    <cellStyle name="Currency 3 3 2 2 2 2 2 2 2" xfId="6636" xr:uid="{B4651A5B-613B-4AF9-9F8A-DC24D5EEC8BE}"/>
    <cellStyle name="Currency 3 3 2 2 2 2 2 3" xfId="1303" xr:uid="{00000000-0005-0000-0000-000065040000}"/>
    <cellStyle name="Currency 3 3 2 2 2 2 2 3 2" xfId="6637" xr:uid="{E5E2449B-E861-4629-A753-6853ACED4736}"/>
    <cellStyle name="Currency 3 3 2 2 2 2 2 4" xfId="6635" xr:uid="{65B1FF7F-6E39-40D4-BC17-F8FEB505F71B}"/>
    <cellStyle name="Currency 3 3 2 2 2 2 3" xfId="1304" xr:uid="{00000000-0005-0000-0000-000066040000}"/>
    <cellStyle name="Currency 3 3 2 2 2 2 3 2" xfId="6638" xr:uid="{DDC2E4FB-09A3-44B8-84BB-81A14196C7FB}"/>
    <cellStyle name="Currency 3 3 2 2 2 2 4" xfId="1305" xr:uid="{00000000-0005-0000-0000-000067040000}"/>
    <cellStyle name="Currency 3 3 2 2 2 2 4 2" xfId="6639" xr:uid="{583BADBF-3F16-4C80-98A4-5E3BD9AA9907}"/>
    <cellStyle name="Currency 3 3 2 2 2 2 5" xfId="6634" xr:uid="{E514FDFC-B6E4-492F-8B5A-B3EE15BB8084}"/>
    <cellStyle name="Currency 3 3 2 2 2 3" xfId="1306" xr:uid="{00000000-0005-0000-0000-000068040000}"/>
    <cellStyle name="Currency 3 3 2 2 2 3 2" xfId="1307" xr:uid="{00000000-0005-0000-0000-000069040000}"/>
    <cellStyle name="Currency 3 3 2 2 2 3 2 2" xfId="1308" xr:uid="{00000000-0005-0000-0000-00006A040000}"/>
    <cellStyle name="Currency 3 3 2 2 2 3 2 2 2" xfId="6642" xr:uid="{B251CA8D-A0C5-4B10-BA92-7AC0E6E23018}"/>
    <cellStyle name="Currency 3 3 2 2 2 3 2 3" xfId="6641" xr:uid="{C57027AE-1C6F-4E42-BC0D-23C4CADF0B87}"/>
    <cellStyle name="Currency 3 3 2 2 2 3 3" xfId="1309" xr:uid="{00000000-0005-0000-0000-00006B040000}"/>
    <cellStyle name="Currency 3 3 2 2 2 3 3 2" xfId="6643" xr:uid="{23CE0E3D-BB5B-4545-98A7-7EFC91DB968B}"/>
    <cellStyle name="Currency 3 3 2 2 2 3 4" xfId="1310" xr:uid="{00000000-0005-0000-0000-00006C040000}"/>
    <cellStyle name="Currency 3 3 2 2 2 3 4 2" xfId="6644" xr:uid="{930D0DFB-AAA2-49CA-9C30-5BF2224B9121}"/>
    <cellStyle name="Currency 3 3 2 2 2 3 5" xfId="6640" xr:uid="{BB7E25AD-3007-4E41-A57A-7063C8BD8003}"/>
    <cellStyle name="Currency 3 3 2 2 2 4" xfId="1311" xr:uid="{00000000-0005-0000-0000-00006D040000}"/>
    <cellStyle name="Currency 3 3 2 2 2 4 2" xfId="1312" xr:uid="{00000000-0005-0000-0000-00006E040000}"/>
    <cellStyle name="Currency 3 3 2 2 2 4 2 2" xfId="6646" xr:uid="{56F52B88-302B-49BE-8D63-D424C4B4161C}"/>
    <cellStyle name="Currency 3 3 2 2 2 4 3" xfId="6645" xr:uid="{D21582BB-CFCA-4430-BDB9-FA66E14A9BC9}"/>
    <cellStyle name="Currency 3 3 2 2 2 5" xfId="1313" xr:uid="{00000000-0005-0000-0000-00006F040000}"/>
    <cellStyle name="Currency 3 3 2 2 2 5 2" xfId="1314" xr:uid="{00000000-0005-0000-0000-000070040000}"/>
    <cellStyle name="Currency 3 3 2 2 2 5 2 2" xfId="6648" xr:uid="{A3ADBD0C-49A8-416C-B85C-DE65D8A8BA7B}"/>
    <cellStyle name="Currency 3 3 2 2 2 5 3" xfId="6647" xr:uid="{BDD1BA6E-EE96-47BE-9960-BE031C908414}"/>
    <cellStyle name="Currency 3 3 2 2 2 6" xfId="1315" xr:uid="{00000000-0005-0000-0000-000071040000}"/>
    <cellStyle name="Currency 3 3 2 2 2 6 2" xfId="1316" xr:uid="{00000000-0005-0000-0000-000072040000}"/>
    <cellStyle name="Currency 3 3 2 2 2 6 2 2" xfId="6650" xr:uid="{B7618233-8A1B-467C-9F2E-3E19029D8358}"/>
    <cellStyle name="Currency 3 3 2 2 2 6 3" xfId="6649" xr:uid="{4631EA74-0151-4F4C-977C-967F7DA7E5B2}"/>
    <cellStyle name="Currency 3 3 2 2 2 7" xfId="1317" xr:uid="{00000000-0005-0000-0000-000073040000}"/>
    <cellStyle name="Currency 3 3 2 2 2 7 2" xfId="6651" xr:uid="{AAD1DF81-70FA-4285-ADC5-8957214AFDAB}"/>
    <cellStyle name="Currency 3 3 2 2 2 8" xfId="1318" xr:uid="{00000000-0005-0000-0000-000074040000}"/>
    <cellStyle name="Currency 3 3 2 2 2 8 2" xfId="6652" xr:uid="{2784B637-A4E8-4E90-9D71-A88EFEF95CE3}"/>
    <cellStyle name="Currency 3 3 2 2 2 9" xfId="5409" xr:uid="{0CE1CE12-1192-48C4-A811-CBC9DDF75C30}"/>
    <cellStyle name="Currency 3 3 2 2 3" xfId="1319" xr:uid="{00000000-0005-0000-0000-000075040000}"/>
    <cellStyle name="Currency 3 3 2 2 3 2" xfId="1320" xr:uid="{00000000-0005-0000-0000-000076040000}"/>
    <cellStyle name="Currency 3 3 2 2 3 2 2" xfId="1321" xr:uid="{00000000-0005-0000-0000-000077040000}"/>
    <cellStyle name="Currency 3 3 2 2 3 2 2 2" xfId="6655" xr:uid="{71C45730-9B7A-445D-BFB2-57F7686C0837}"/>
    <cellStyle name="Currency 3 3 2 2 3 2 3" xfId="1322" xr:uid="{00000000-0005-0000-0000-000078040000}"/>
    <cellStyle name="Currency 3 3 2 2 3 2 3 2" xfId="6656" xr:uid="{5DAC72AE-B859-418F-AE29-7E7F39427717}"/>
    <cellStyle name="Currency 3 3 2 2 3 2 4" xfId="6654" xr:uid="{A5309DDC-AAEE-4943-883A-906DBE890A12}"/>
    <cellStyle name="Currency 3 3 2 2 3 3" xfId="1323" xr:uid="{00000000-0005-0000-0000-000079040000}"/>
    <cellStyle name="Currency 3 3 2 2 3 3 2" xfId="6657" xr:uid="{98C5045D-1F26-4867-8A6A-6B15A2825EED}"/>
    <cellStyle name="Currency 3 3 2 2 3 4" xfId="1324" xr:uid="{00000000-0005-0000-0000-00007A040000}"/>
    <cellStyle name="Currency 3 3 2 2 3 4 2" xfId="6658" xr:uid="{632ACBBB-8B2B-4305-8A87-9BEE7971DCBC}"/>
    <cellStyle name="Currency 3 3 2 2 3 5" xfId="6653" xr:uid="{5876FB18-BE07-4F3A-BF26-4B04016999EF}"/>
    <cellStyle name="Currency 3 3 2 2 4" xfId="1325" xr:uid="{00000000-0005-0000-0000-00007B040000}"/>
    <cellStyle name="Currency 3 3 2 2 4 2" xfId="1326" xr:uid="{00000000-0005-0000-0000-00007C040000}"/>
    <cellStyle name="Currency 3 3 2 2 4 2 2" xfId="1327" xr:uid="{00000000-0005-0000-0000-00007D040000}"/>
    <cellStyle name="Currency 3 3 2 2 4 2 2 2" xfId="6661" xr:uid="{CA69B5B9-C1B9-4772-AD21-5016D4A5FD9E}"/>
    <cellStyle name="Currency 3 3 2 2 4 2 3" xfId="6660" xr:uid="{3CEF0A8F-9527-485E-8CE1-FA48546CD72D}"/>
    <cellStyle name="Currency 3 3 2 2 4 3" xfId="1328" xr:uid="{00000000-0005-0000-0000-00007E040000}"/>
    <cellStyle name="Currency 3 3 2 2 4 3 2" xfId="6662" xr:uid="{009B6190-E92D-43C4-8C03-B2A9B087B756}"/>
    <cellStyle name="Currency 3 3 2 2 4 4" xfId="1329" xr:uid="{00000000-0005-0000-0000-00007F040000}"/>
    <cellStyle name="Currency 3 3 2 2 4 4 2" xfId="6663" xr:uid="{5BAE0EF7-788B-462A-8C3F-274AE87E2775}"/>
    <cellStyle name="Currency 3 3 2 2 4 5" xfId="6659" xr:uid="{1895613C-B1A3-46D0-959F-3D2655DEFD57}"/>
    <cellStyle name="Currency 3 3 2 2 5" xfId="1330" xr:uid="{00000000-0005-0000-0000-000080040000}"/>
    <cellStyle name="Currency 3 3 2 2 5 2" xfId="1331" xr:uid="{00000000-0005-0000-0000-000081040000}"/>
    <cellStyle name="Currency 3 3 2 2 5 2 2" xfId="6665" xr:uid="{2DD5924E-B6B6-499A-BD12-19AB2A5D7CBC}"/>
    <cellStyle name="Currency 3 3 2 2 5 3" xfId="6664" xr:uid="{0567D213-2FD8-4A81-A0A3-15DC1CF1D587}"/>
    <cellStyle name="Currency 3 3 2 2 6" xfId="1332" xr:uid="{00000000-0005-0000-0000-000082040000}"/>
    <cellStyle name="Currency 3 3 2 2 6 2" xfId="1333" xr:uid="{00000000-0005-0000-0000-000083040000}"/>
    <cellStyle name="Currency 3 3 2 2 6 2 2" xfId="6667" xr:uid="{4CBA27FB-5863-4868-A1F7-D5525D5D4E48}"/>
    <cellStyle name="Currency 3 3 2 2 6 3" xfId="6666" xr:uid="{D17BF586-FE0E-401B-8B04-7D0D188B15BB}"/>
    <cellStyle name="Currency 3 3 2 2 7" xfId="1334" xr:uid="{00000000-0005-0000-0000-000084040000}"/>
    <cellStyle name="Currency 3 3 2 2 7 2" xfId="1335" xr:uid="{00000000-0005-0000-0000-000085040000}"/>
    <cellStyle name="Currency 3 3 2 2 7 2 2" xfId="6669" xr:uid="{52AD4CB1-9170-4061-AFEE-1FCB9D64DF63}"/>
    <cellStyle name="Currency 3 3 2 2 7 3" xfId="6668" xr:uid="{F3077ABD-E798-40A6-8810-AAE8F17AAD4A}"/>
    <cellStyle name="Currency 3 3 2 2 8" xfId="1336" xr:uid="{00000000-0005-0000-0000-000086040000}"/>
    <cellStyle name="Currency 3 3 2 2 8 2" xfId="6670" xr:uid="{841B8C4B-847F-424F-8B85-D7714605C35D}"/>
    <cellStyle name="Currency 3 3 2 2 9" xfId="1337" xr:uid="{00000000-0005-0000-0000-000087040000}"/>
    <cellStyle name="Currency 3 3 2 2 9 2" xfId="6671" xr:uid="{B558BE39-2DE1-4E9D-8CDE-56E7042BB17F}"/>
    <cellStyle name="Currency 3 3 2 3" xfId="75" xr:uid="{00000000-0005-0000-0000-000088040000}"/>
    <cellStyle name="Currency 3 3 2 3 2" xfId="1338" xr:uid="{00000000-0005-0000-0000-000089040000}"/>
    <cellStyle name="Currency 3 3 2 3 2 2" xfId="1339" xr:uid="{00000000-0005-0000-0000-00008A040000}"/>
    <cellStyle name="Currency 3 3 2 3 2 2 2" xfId="1340" xr:uid="{00000000-0005-0000-0000-00008B040000}"/>
    <cellStyle name="Currency 3 3 2 3 2 2 2 2" xfId="6674" xr:uid="{5344A911-C9D2-4AD7-A956-5EA83F914FB2}"/>
    <cellStyle name="Currency 3 3 2 3 2 2 3" xfId="1341" xr:uid="{00000000-0005-0000-0000-00008C040000}"/>
    <cellStyle name="Currency 3 3 2 3 2 2 3 2" xfId="6675" xr:uid="{FDF63560-B244-46BA-A1DE-1C1CF06C908B}"/>
    <cellStyle name="Currency 3 3 2 3 2 2 4" xfId="6673" xr:uid="{BE3B15EC-E23A-49A9-B459-4ABB8DFDBBC4}"/>
    <cellStyle name="Currency 3 3 2 3 2 3" xfId="1342" xr:uid="{00000000-0005-0000-0000-00008D040000}"/>
    <cellStyle name="Currency 3 3 2 3 2 3 2" xfId="6676" xr:uid="{EDAF42A9-FC7A-4C71-9B6E-421AC18E2636}"/>
    <cellStyle name="Currency 3 3 2 3 2 4" xfId="1343" xr:uid="{00000000-0005-0000-0000-00008E040000}"/>
    <cellStyle name="Currency 3 3 2 3 2 4 2" xfId="6677" xr:uid="{6863EB5F-FBF7-4727-B45E-225511AB741D}"/>
    <cellStyle name="Currency 3 3 2 3 2 5" xfId="6672" xr:uid="{8467E8F2-9E0E-4B0D-88DD-47273C7DA5C1}"/>
    <cellStyle name="Currency 3 3 2 3 3" xfId="1344" xr:uid="{00000000-0005-0000-0000-00008F040000}"/>
    <cellStyle name="Currency 3 3 2 3 3 2" xfId="1345" xr:uid="{00000000-0005-0000-0000-000090040000}"/>
    <cellStyle name="Currency 3 3 2 3 3 2 2" xfId="1346" xr:uid="{00000000-0005-0000-0000-000091040000}"/>
    <cellStyle name="Currency 3 3 2 3 3 2 2 2" xfId="6680" xr:uid="{94E74DC6-BC75-4BEA-BC3A-8717A40EA827}"/>
    <cellStyle name="Currency 3 3 2 3 3 2 3" xfId="6679" xr:uid="{05245AD5-C5EF-4053-8F9A-F44F945FFF6D}"/>
    <cellStyle name="Currency 3 3 2 3 3 3" xfId="1347" xr:uid="{00000000-0005-0000-0000-000092040000}"/>
    <cellStyle name="Currency 3 3 2 3 3 3 2" xfId="6681" xr:uid="{881579C5-732C-4AE8-AC0B-62FC6C64EAFF}"/>
    <cellStyle name="Currency 3 3 2 3 3 4" xfId="1348" xr:uid="{00000000-0005-0000-0000-000093040000}"/>
    <cellStyle name="Currency 3 3 2 3 3 4 2" xfId="6682" xr:uid="{90202902-C955-413F-9F89-FED7A5D433EF}"/>
    <cellStyle name="Currency 3 3 2 3 3 5" xfId="6678" xr:uid="{91F897B0-04FB-44A0-8AA5-975480199D9A}"/>
    <cellStyle name="Currency 3 3 2 3 4" xfId="1349" xr:uid="{00000000-0005-0000-0000-000094040000}"/>
    <cellStyle name="Currency 3 3 2 3 4 2" xfId="1350" xr:uid="{00000000-0005-0000-0000-000095040000}"/>
    <cellStyle name="Currency 3 3 2 3 4 2 2" xfId="6684" xr:uid="{7E93D60B-AACF-4A71-B343-B5FAA7DCA275}"/>
    <cellStyle name="Currency 3 3 2 3 4 3" xfId="6683" xr:uid="{BB54B58E-5A2F-42EF-835C-BF333702A25B}"/>
    <cellStyle name="Currency 3 3 2 3 5" xfId="1351" xr:uid="{00000000-0005-0000-0000-000096040000}"/>
    <cellStyle name="Currency 3 3 2 3 5 2" xfId="1352" xr:uid="{00000000-0005-0000-0000-000097040000}"/>
    <cellStyle name="Currency 3 3 2 3 5 2 2" xfId="6686" xr:uid="{3FEFB379-8A67-4927-8FD9-69E12CF29029}"/>
    <cellStyle name="Currency 3 3 2 3 5 3" xfId="6685" xr:uid="{EF452F54-6843-43FC-872F-D9856C3380C9}"/>
    <cellStyle name="Currency 3 3 2 3 6" xfId="1353" xr:uid="{00000000-0005-0000-0000-000098040000}"/>
    <cellStyle name="Currency 3 3 2 3 6 2" xfId="1354" xr:uid="{00000000-0005-0000-0000-000099040000}"/>
    <cellStyle name="Currency 3 3 2 3 6 2 2" xfId="6688" xr:uid="{F8F896AB-E61E-4DE7-A7F7-73D5B3EFB7A9}"/>
    <cellStyle name="Currency 3 3 2 3 6 3" xfId="6687" xr:uid="{31C74A08-98B8-440F-9252-33CCC059125B}"/>
    <cellStyle name="Currency 3 3 2 3 7" xfId="1355" xr:uid="{00000000-0005-0000-0000-00009A040000}"/>
    <cellStyle name="Currency 3 3 2 3 7 2" xfId="6689" xr:uid="{0722888A-440F-4B5F-8A35-E846428F6A29}"/>
    <cellStyle name="Currency 3 3 2 3 8" xfId="1356" xr:uid="{00000000-0005-0000-0000-00009B040000}"/>
    <cellStyle name="Currency 3 3 2 3 8 2" xfId="6690" xr:uid="{06A728BC-BB56-4588-AE01-701AA4A91A8F}"/>
    <cellStyle name="Currency 3 3 2 3 9" xfId="5410" xr:uid="{DFA5D3AB-2BDC-426E-A4C3-45B213F25AFA}"/>
    <cellStyle name="Currency 3 3 2 4" xfId="1357" xr:uid="{00000000-0005-0000-0000-00009C040000}"/>
    <cellStyle name="Currency 3 3 2 4 2" xfId="1358" xr:uid="{00000000-0005-0000-0000-00009D040000}"/>
    <cellStyle name="Currency 3 3 2 4 2 2" xfId="1359" xr:uid="{00000000-0005-0000-0000-00009E040000}"/>
    <cellStyle name="Currency 3 3 2 4 2 2 2" xfId="6693" xr:uid="{8F9CA3E5-A2A7-4F8E-B6B9-B016970BAAFE}"/>
    <cellStyle name="Currency 3 3 2 4 2 3" xfId="1360" xr:uid="{00000000-0005-0000-0000-00009F040000}"/>
    <cellStyle name="Currency 3 3 2 4 2 3 2" xfId="6694" xr:uid="{6CE2CF55-2ABF-4122-9DBF-06D0E4829468}"/>
    <cellStyle name="Currency 3 3 2 4 2 4" xfId="6692" xr:uid="{0DBD7F56-C155-47D8-AD82-ED8BF20D1DA2}"/>
    <cellStyle name="Currency 3 3 2 4 3" xfId="1361" xr:uid="{00000000-0005-0000-0000-0000A0040000}"/>
    <cellStyle name="Currency 3 3 2 4 3 2" xfId="6695" xr:uid="{8533EEFF-A01A-44B7-B82D-719614E18592}"/>
    <cellStyle name="Currency 3 3 2 4 4" xfId="1362" xr:uid="{00000000-0005-0000-0000-0000A1040000}"/>
    <cellStyle name="Currency 3 3 2 4 4 2" xfId="6696" xr:uid="{FDFD8B68-5192-4FA8-93C3-01143ACC3CCD}"/>
    <cellStyle name="Currency 3 3 2 4 5" xfId="6691" xr:uid="{88D9CA42-FAA1-40AC-A9B3-9817C537D0B6}"/>
    <cellStyle name="Currency 3 3 2 5" xfId="1363" xr:uid="{00000000-0005-0000-0000-0000A2040000}"/>
    <cellStyle name="Currency 3 3 2 5 2" xfId="1364" xr:uid="{00000000-0005-0000-0000-0000A3040000}"/>
    <cellStyle name="Currency 3 3 2 5 2 2" xfId="1365" xr:uid="{00000000-0005-0000-0000-0000A4040000}"/>
    <cellStyle name="Currency 3 3 2 5 2 2 2" xfId="6699" xr:uid="{3570FAAE-C67A-48D2-9F2C-17BCBE8A4668}"/>
    <cellStyle name="Currency 3 3 2 5 2 3" xfId="6698" xr:uid="{CC0BFDA9-AB41-4159-B7AB-0B6945528242}"/>
    <cellStyle name="Currency 3 3 2 5 3" xfId="1366" xr:uid="{00000000-0005-0000-0000-0000A5040000}"/>
    <cellStyle name="Currency 3 3 2 5 3 2" xfId="6700" xr:uid="{EEB07948-E468-4E1B-B37B-6E09C9C0DEB3}"/>
    <cellStyle name="Currency 3 3 2 5 4" xfId="1367" xr:uid="{00000000-0005-0000-0000-0000A6040000}"/>
    <cellStyle name="Currency 3 3 2 5 4 2" xfId="6701" xr:uid="{0FED0767-DFF4-44DE-9FC2-E43B3E2869E9}"/>
    <cellStyle name="Currency 3 3 2 5 5" xfId="6697" xr:uid="{E6399ECA-F8F2-4E38-B7A5-1D85BB4BA449}"/>
    <cellStyle name="Currency 3 3 2 6" xfId="1368" xr:uid="{00000000-0005-0000-0000-0000A7040000}"/>
    <cellStyle name="Currency 3 3 2 6 2" xfId="1369" xr:uid="{00000000-0005-0000-0000-0000A8040000}"/>
    <cellStyle name="Currency 3 3 2 6 2 2" xfId="6703" xr:uid="{7B37EF6E-2B3F-40D3-A641-F724E16F7B26}"/>
    <cellStyle name="Currency 3 3 2 6 3" xfId="6702" xr:uid="{2931F708-F2C8-44E5-839B-0078896A1946}"/>
    <cellStyle name="Currency 3 3 2 7" xfId="1370" xr:uid="{00000000-0005-0000-0000-0000A9040000}"/>
    <cellStyle name="Currency 3 3 2 7 2" xfId="1371" xr:uid="{00000000-0005-0000-0000-0000AA040000}"/>
    <cellStyle name="Currency 3 3 2 7 2 2" xfId="6705" xr:uid="{2810FCF8-D1EA-4463-903F-4774295A6B99}"/>
    <cellStyle name="Currency 3 3 2 7 3" xfId="6704" xr:uid="{0A697E48-AC2F-4977-A79B-C267A3EBBF69}"/>
    <cellStyle name="Currency 3 3 2 8" xfId="1372" xr:uid="{00000000-0005-0000-0000-0000AB040000}"/>
    <cellStyle name="Currency 3 3 2 8 2" xfId="1373" xr:uid="{00000000-0005-0000-0000-0000AC040000}"/>
    <cellStyle name="Currency 3 3 2 8 2 2" xfId="6707" xr:uid="{7A7184A3-AA22-4C44-A0C9-070495D6A9FB}"/>
    <cellStyle name="Currency 3 3 2 8 3" xfId="6706" xr:uid="{9B9E992A-44E3-4C17-BF92-0C4A08ACDBAD}"/>
    <cellStyle name="Currency 3 3 2 9" xfId="1374" xr:uid="{00000000-0005-0000-0000-0000AD040000}"/>
    <cellStyle name="Currency 3 3 2 9 2" xfId="6708" xr:uid="{0953FF7F-4278-423A-99E7-0B862A2F5D8E}"/>
    <cellStyle name="Currency 3 3 3" xfId="76" xr:uid="{00000000-0005-0000-0000-0000AE040000}"/>
    <cellStyle name="Currency 3 3 3 10" xfId="5411" xr:uid="{D08A6EE2-EA6E-41D7-9DC2-591F5DE0C909}"/>
    <cellStyle name="Currency 3 3 3 2" xfId="77" xr:uid="{00000000-0005-0000-0000-0000AF040000}"/>
    <cellStyle name="Currency 3 3 3 2 2" xfId="1375" xr:uid="{00000000-0005-0000-0000-0000B0040000}"/>
    <cellStyle name="Currency 3 3 3 2 2 2" xfId="1376" xr:uid="{00000000-0005-0000-0000-0000B1040000}"/>
    <cellStyle name="Currency 3 3 3 2 2 2 2" xfId="1377" xr:uid="{00000000-0005-0000-0000-0000B2040000}"/>
    <cellStyle name="Currency 3 3 3 2 2 2 2 2" xfId="6711" xr:uid="{721774DF-0CD5-4D8C-9DD4-DC39CDD49DE5}"/>
    <cellStyle name="Currency 3 3 3 2 2 2 3" xfId="1378" xr:uid="{00000000-0005-0000-0000-0000B3040000}"/>
    <cellStyle name="Currency 3 3 3 2 2 2 3 2" xfId="6712" xr:uid="{7D9CE5C1-88E8-478D-9500-828481AAB46E}"/>
    <cellStyle name="Currency 3 3 3 2 2 2 4" xfId="6710" xr:uid="{D45C8574-9BC1-452D-A99A-8C80C523416E}"/>
    <cellStyle name="Currency 3 3 3 2 2 3" xfId="1379" xr:uid="{00000000-0005-0000-0000-0000B4040000}"/>
    <cellStyle name="Currency 3 3 3 2 2 3 2" xfId="6713" xr:uid="{63598AFD-D2BF-4EA6-A532-CDD06A23BD54}"/>
    <cellStyle name="Currency 3 3 3 2 2 4" xfId="1380" xr:uid="{00000000-0005-0000-0000-0000B5040000}"/>
    <cellStyle name="Currency 3 3 3 2 2 4 2" xfId="6714" xr:uid="{A8436F12-7938-4DEB-AFF5-162E00BC5898}"/>
    <cellStyle name="Currency 3 3 3 2 2 5" xfId="6709" xr:uid="{973269E5-EC60-4750-B275-7343E0DEACC2}"/>
    <cellStyle name="Currency 3 3 3 2 3" xfId="1381" xr:uid="{00000000-0005-0000-0000-0000B6040000}"/>
    <cellStyle name="Currency 3 3 3 2 3 2" xfId="1382" xr:uid="{00000000-0005-0000-0000-0000B7040000}"/>
    <cellStyle name="Currency 3 3 3 2 3 2 2" xfId="1383" xr:uid="{00000000-0005-0000-0000-0000B8040000}"/>
    <cellStyle name="Currency 3 3 3 2 3 2 2 2" xfId="6717" xr:uid="{B338C73C-3C81-4B85-9CFC-612D61243EBE}"/>
    <cellStyle name="Currency 3 3 3 2 3 2 3" xfId="6716" xr:uid="{0E3511C0-FFC0-4A0A-8837-5D2B3E1C4C54}"/>
    <cellStyle name="Currency 3 3 3 2 3 3" xfId="1384" xr:uid="{00000000-0005-0000-0000-0000B9040000}"/>
    <cellStyle name="Currency 3 3 3 2 3 3 2" xfId="6718" xr:uid="{B089D19B-6038-4BBC-97C8-6D4759B6E342}"/>
    <cellStyle name="Currency 3 3 3 2 3 4" xfId="1385" xr:uid="{00000000-0005-0000-0000-0000BA040000}"/>
    <cellStyle name="Currency 3 3 3 2 3 4 2" xfId="6719" xr:uid="{C5C1C979-4515-4BA5-8F82-214FEC4CBDB4}"/>
    <cellStyle name="Currency 3 3 3 2 3 5" xfId="6715" xr:uid="{77C1EC68-FCF5-40BF-B762-160662C2431C}"/>
    <cellStyle name="Currency 3 3 3 2 4" xfId="1386" xr:uid="{00000000-0005-0000-0000-0000BB040000}"/>
    <cellStyle name="Currency 3 3 3 2 4 2" xfId="1387" xr:uid="{00000000-0005-0000-0000-0000BC040000}"/>
    <cellStyle name="Currency 3 3 3 2 4 2 2" xfId="6721" xr:uid="{E56A2282-D634-490C-9460-3EFDF8BDE34A}"/>
    <cellStyle name="Currency 3 3 3 2 4 3" xfId="6720" xr:uid="{A8679BE4-26AE-4EF9-9E59-B4B551D67572}"/>
    <cellStyle name="Currency 3 3 3 2 5" xfId="1388" xr:uid="{00000000-0005-0000-0000-0000BD040000}"/>
    <cellStyle name="Currency 3 3 3 2 5 2" xfId="1389" xr:uid="{00000000-0005-0000-0000-0000BE040000}"/>
    <cellStyle name="Currency 3 3 3 2 5 2 2" xfId="6723" xr:uid="{6D1DE9B6-5767-4251-9B7C-70F0267DDE75}"/>
    <cellStyle name="Currency 3 3 3 2 5 3" xfId="6722" xr:uid="{14A8C3CD-FAF9-46E7-9227-AC12DDBDF6F6}"/>
    <cellStyle name="Currency 3 3 3 2 6" xfId="1390" xr:uid="{00000000-0005-0000-0000-0000BF040000}"/>
    <cellStyle name="Currency 3 3 3 2 6 2" xfId="1391" xr:uid="{00000000-0005-0000-0000-0000C0040000}"/>
    <cellStyle name="Currency 3 3 3 2 6 2 2" xfId="6725" xr:uid="{7E5C0656-B4D9-4EDF-8E4E-C65D734C9AB5}"/>
    <cellStyle name="Currency 3 3 3 2 6 3" xfId="6724" xr:uid="{02780638-07B1-4700-9F22-C67AD7B74BF5}"/>
    <cellStyle name="Currency 3 3 3 2 7" xfId="1392" xr:uid="{00000000-0005-0000-0000-0000C1040000}"/>
    <cellStyle name="Currency 3 3 3 2 7 2" xfId="6726" xr:uid="{A4B0FC5B-EF2E-4E59-A615-C1C9A8AE6689}"/>
    <cellStyle name="Currency 3 3 3 2 8" xfId="1393" xr:uid="{00000000-0005-0000-0000-0000C2040000}"/>
    <cellStyle name="Currency 3 3 3 2 8 2" xfId="6727" xr:uid="{713459DA-C99B-48A7-A89E-4C0F771E14CF}"/>
    <cellStyle name="Currency 3 3 3 2 9" xfId="5412" xr:uid="{AFC69911-2286-4A0B-9630-709BACBF0361}"/>
    <cellStyle name="Currency 3 3 3 3" xfId="1394" xr:uid="{00000000-0005-0000-0000-0000C3040000}"/>
    <cellStyle name="Currency 3 3 3 3 2" xfId="1395" xr:uid="{00000000-0005-0000-0000-0000C4040000}"/>
    <cellStyle name="Currency 3 3 3 3 2 2" xfId="1396" xr:uid="{00000000-0005-0000-0000-0000C5040000}"/>
    <cellStyle name="Currency 3 3 3 3 2 2 2" xfId="6730" xr:uid="{DEF15B7C-8576-4C12-B887-4DDBDF0B1D07}"/>
    <cellStyle name="Currency 3 3 3 3 2 3" xfId="1397" xr:uid="{00000000-0005-0000-0000-0000C6040000}"/>
    <cellStyle name="Currency 3 3 3 3 2 3 2" xfId="6731" xr:uid="{20606F41-B368-4AB5-96DC-20D12EE22A56}"/>
    <cellStyle name="Currency 3 3 3 3 2 4" xfId="6729" xr:uid="{A081D047-32BA-4A0E-8894-8B9C1BE00522}"/>
    <cellStyle name="Currency 3 3 3 3 3" xfId="1398" xr:uid="{00000000-0005-0000-0000-0000C7040000}"/>
    <cellStyle name="Currency 3 3 3 3 3 2" xfId="6732" xr:uid="{52FE7A24-1F0B-4F36-874E-6162E1A567B4}"/>
    <cellStyle name="Currency 3 3 3 3 4" xfId="1399" xr:uid="{00000000-0005-0000-0000-0000C8040000}"/>
    <cellStyle name="Currency 3 3 3 3 4 2" xfId="6733" xr:uid="{978A37E7-ABFC-4CD9-8BF4-F39616D39D8F}"/>
    <cellStyle name="Currency 3 3 3 3 5" xfId="6728" xr:uid="{7EC2CC2F-A181-4616-938A-F53E2238E80A}"/>
    <cellStyle name="Currency 3 3 3 4" xfId="1400" xr:uid="{00000000-0005-0000-0000-0000C9040000}"/>
    <cellStyle name="Currency 3 3 3 4 2" xfId="1401" xr:uid="{00000000-0005-0000-0000-0000CA040000}"/>
    <cellStyle name="Currency 3 3 3 4 2 2" xfId="1402" xr:uid="{00000000-0005-0000-0000-0000CB040000}"/>
    <cellStyle name="Currency 3 3 3 4 2 2 2" xfId="6736" xr:uid="{8F928DF1-882D-49AC-B77B-508EC9D0A896}"/>
    <cellStyle name="Currency 3 3 3 4 2 3" xfId="6735" xr:uid="{08C793E9-AC13-41DB-990E-D8D54CA88625}"/>
    <cellStyle name="Currency 3 3 3 4 3" xfId="1403" xr:uid="{00000000-0005-0000-0000-0000CC040000}"/>
    <cellStyle name="Currency 3 3 3 4 3 2" xfId="6737" xr:uid="{5703A2F4-17A2-4B8F-97E5-8E8B79944C4A}"/>
    <cellStyle name="Currency 3 3 3 4 4" xfId="1404" xr:uid="{00000000-0005-0000-0000-0000CD040000}"/>
    <cellStyle name="Currency 3 3 3 4 4 2" xfId="6738" xr:uid="{37917D5A-3545-46B0-9CE2-D6DA52E4B14F}"/>
    <cellStyle name="Currency 3 3 3 4 5" xfId="6734" xr:uid="{8A883A09-942A-4FC5-8D00-242060161091}"/>
    <cellStyle name="Currency 3 3 3 5" xfId="1405" xr:uid="{00000000-0005-0000-0000-0000CE040000}"/>
    <cellStyle name="Currency 3 3 3 5 2" xfId="1406" xr:uid="{00000000-0005-0000-0000-0000CF040000}"/>
    <cellStyle name="Currency 3 3 3 5 2 2" xfId="6740" xr:uid="{CC944554-9BCD-4AE2-97E0-7526BC8228B5}"/>
    <cellStyle name="Currency 3 3 3 5 3" xfId="6739" xr:uid="{E2810F92-49A1-4B6B-BC12-5A52CF646621}"/>
    <cellStyle name="Currency 3 3 3 6" xfId="1407" xr:uid="{00000000-0005-0000-0000-0000D0040000}"/>
    <cellStyle name="Currency 3 3 3 6 2" xfId="1408" xr:uid="{00000000-0005-0000-0000-0000D1040000}"/>
    <cellStyle name="Currency 3 3 3 6 2 2" xfId="6742" xr:uid="{6E66C940-FB30-48F7-9526-42143AD45929}"/>
    <cellStyle name="Currency 3 3 3 6 3" xfId="6741" xr:uid="{359638B7-276C-4DF8-AA8F-3483BDAC5A80}"/>
    <cellStyle name="Currency 3 3 3 7" xfId="1409" xr:uid="{00000000-0005-0000-0000-0000D2040000}"/>
    <cellStyle name="Currency 3 3 3 7 2" xfId="1410" xr:uid="{00000000-0005-0000-0000-0000D3040000}"/>
    <cellStyle name="Currency 3 3 3 7 2 2" xfId="6744" xr:uid="{6A678B6B-71EB-45DB-A231-6EDC3326D53E}"/>
    <cellStyle name="Currency 3 3 3 7 3" xfId="6743" xr:uid="{10469D5B-E877-4CF7-952C-7E11869B7C0F}"/>
    <cellStyle name="Currency 3 3 3 8" xfId="1411" xr:uid="{00000000-0005-0000-0000-0000D4040000}"/>
    <cellStyle name="Currency 3 3 3 8 2" xfId="6745" xr:uid="{526C3233-95BD-4FD0-94AD-4C9C858CE95A}"/>
    <cellStyle name="Currency 3 3 3 9" xfId="1412" xr:uid="{00000000-0005-0000-0000-0000D5040000}"/>
    <cellStyle name="Currency 3 3 3 9 2" xfId="6746" xr:uid="{42E571E6-AF2D-4BD3-97B3-8679E3BCD8F1}"/>
    <cellStyle name="Currency 3 3 4" xfId="78" xr:uid="{00000000-0005-0000-0000-0000D6040000}"/>
    <cellStyle name="Currency 3 3 4 10" xfId="5413" xr:uid="{E86A963D-1F83-4573-8B0B-39843C6884BF}"/>
    <cellStyle name="Currency 3 3 4 2" xfId="1413" xr:uid="{00000000-0005-0000-0000-0000D7040000}"/>
    <cellStyle name="Currency 3 3 4 2 2" xfId="1414" xr:uid="{00000000-0005-0000-0000-0000D8040000}"/>
    <cellStyle name="Currency 3 3 4 2 2 2" xfId="1415" xr:uid="{00000000-0005-0000-0000-0000D9040000}"/>
    <cellStyle name="Currency 3 3 4 2 2 2 2" xfId="1416" xr:uid="{00000000-0005-0000-0000-0000DA040000}"/>
    <cellStyle name="Currency 3 3 4 2 2 2 2 2" xfId="6750" xr:uid="{6DD87E28-9B46-4F83-AA2F-58E45F26D0B4}"/>
    <cellStyle name="Currency 3 3 4 2 2 2 3" xfId="1417" xr:uid="{00000000-0005-0000-0000-0000DB040000}"/>
    <cellStyle name="Currency 3 3 4 2 2 2 3 2" xfId="6751" xr:uid="{6690918E-C9F9-4299-A41E-6394369EE121}"/>
    <cellStyle name="Currency 3 3 4 2 2 2 4" xfId="6749" xr:uid="{8832513F-6F33-4436-B57A-D039F1E4F5CB}"/>
    <cellStyle name="Currency 3 3 4 2 2 3" xfId="1418" xr:uid="{00000000-0005-0000-0000-0000DC040000}"/>
    <cellStyle name="Currency 3 3 4 2 2 3 2" xfId="6752" xr:uid="{ECABFCC0-A97C-43F2-8963-F3E4045EB18F}"/>
    <cellStyle name="Currency 3 3 4 2 2 4" xfId="1419" xr:uid="{00000000-0005-0000-0000-0000DD040000}"/>
    <cellStyle name="Currency 3 3 4 2 2 4 2" xfId="6753" xr:uid="{D4C346D5-D223-4B33-96EF-7E1AAB706009}"/>
    <cellStyle name="Currency 3 3 4 2 2 5" xfId="6748" xr:uid="{6701265C-1568-46C0-A3D8-F2882849BCFB}"/>
    <cellStyle name="Currency 3 3 4 2 3" xfId="1420" xr:uid="{00000000-0005-0000-0000-0000DE040000}"/>
    <cellStyle name="Currency 3 3 4 2 3 2" xfId="1421" xr:uid="{00000000-0005-0000-0000-0000DF040000}"/>
    <cellStyle name="Currency 3 3 4 2 3 2 2" xfId="1422" xr:uid="{00000000-0005-0000-0000-0000E0040000}"/>
    <cellStyle name="Currency 3 3 4 2 3 2 2 2" xfId="6756" xr:uid="{534E9160-CE03-4FC9-B2D8-A92AAD68D04B}"/>
    <cellStyle name="Currency 3 3 4 2 3 2 3" xfId="6755" xr:uid="{687AE026-D81C-4FB1-ABF4-35C511684649}"/>
    <cellStyle name="Currency 3 3 4 2 3 3" xfId="1423" xr:uid="{00000000-0005-0000-0000-0000E1040000}"/>
    <cellStyle name="Currency 3 3 4 2 3 3 2" xfId="6757" xr:uid="{1E6A05D4-5ED8-43C9-B517-0F321CD3E176}"/>
    <cellStyle name="Currency 3 3 4 2 3 4" xfId="1424" xr:uid="{00000000-0005-0000-0000-0000E2040000}"/>
    <cellStyle name="Currency 3 3 4 2 3 4 2" xfId="6758" xr:uid="{3ED066A0-BC89-4FE0-9840-A59E31F53CAE}"/>
    <cellStyle name="Currency 3 3 4 2 3 5" xfId="6754" xr:uid="{5D5145D8-3917-4B84-A09C-DAE384556253}"/>
    <cellStyle name="Currency 3 3 4 2 4" xfId="1425" xr:uid="{00000000-0005-0000-0000-0000E3040000}"/>
    <cellStyle name="Currency 3 3 4 2 4 2" xfId="1426" xr:uid="{00000000-0005-0000-0000-0000E4040000}"/>
    <cellStyle name="Currency 3 3 4 2 4 2 2" xfId="6760" xr:uid="{143EB54F-52C4-48A5-BB0F-3998C204E45B}"/>
    <cellStyle name="Currency 3 3 4 2 4 3" xfId="6759" xr:uid="{65FAC17A-7E02-42D2-9A84-3F19D88C45DC}"/>
    <cellStyle name="Currency 3 3 4 2 5" xfId="1427" xr:uid="{00000000-0005-0000-0000-0000E5040000}"/>
    <cellStyle name="Currency 3 3 4 2 5 2" xfId="6761" xr:uid="{9D441FF7-7B7D-4179-9D62-1721B514B454}"/>
    <cellStyle name="Currency 3 3 4 2 6" xfId="1428" xr:uid="{00000000-0005-0000-0000-0000E6040000}"/>
    <cellStyle name="Currency 3 3 4 2 6 2" xfId="6762" xr:uid="{5D4EF820-3827-40E9-A559-1C4B021EC375}"/>
    <cellStyle name="Currency 3 3 4 2 7" xfId="6747" xr:uid="{985FF852-E6ED-48DE-8091-526BBC60B735}"/>
    <cellStyle name="Currency 3 3 4 3" xfId="1429" xr:uid="{00000000-0005-0000-0000-0000E7040000}"/>
    <cellStyle name="Currency 3 3 4 3 2" xfId="1430" xr:uid="{00000000-0005-0000-0000-0000E8040000}"/>
    <cellStyle name="Currency 3 3 4 3 2 2" xfId="1431" xr:uid="{00000000-0005-0000-0000-0000E9040000}"/>
    <cellStyle name="Currency 3 3 4 3 2 2 2" xfId="6765" xr:uid="{3AC0B519-A76B-4246-ACE2-76AFC91521D0}"/>
    <cellStyle name="Currency 3 3 4 3 2 3" xfId="1432" xr:uid="{00000000-0005-0000-0000-0000EA040000}"/>
    <cellStyle name="Currency 3 3 4 3 2 3 2" xfId="6766" xr:uid="{5B99A6C7-CA22-4E0F-B4EA-1A612086144D}"/>
    <cellStyle name="Currency 3 3 4 3 2 4" xfId="6764" xr:uid="{0D70AC6E-989B-4BC4-A977-D5FFDC8F15E5}"/>
    <cellStyle name="Currency 3 3 4 3 3" xfId="1433" xr:uid="{00000000-0005-0000-0000-0000EB040000}"/>
    <cellStyle name="Currency 3 3 4 3 3 2" xfId="6767" xr:uid="{B4A81412-B62B-415E-92EE-101929FFC0B2}"/>
    <cellStyle name="Currency 3 3 4 3 4" xfId="1434" xr:uid="{00000000-0005-0000-0000-0000EC040000}"/>
    <cellStyle name="Currency 3 3 4 3 4 2" xfId="6768" xr:uid="{E1D39D37-0526-4CE5-A66A-0E783F9C192F}"/>
    <cellStyle name="Currency 3 3 4 3 5" xfId="6763" xr:uid="{F3B1715F-C8DF-4F67-9276-7FB37ED114CE}"/>
    <cellStyle name="Currency 3 3 4 4" xfId="1435" xr:uid="{00000000-0005-0000-0000-0000ED040000}"/>
    <cellStyle name="Currency 3 3 4 4 2" xfId="1436" xr:uid="{00000000-0005-0000-0000-0000EE040000}"/>
    <cellStyle name="Currency 3 3 4 4 2 2" xfId="1437" xr:uid="{00000000-0005-0000-0000-0000EF040000}"/>
    <cellStyle name="Currency 3 3 4 4 2 2 2" xfId="6771" xr:uid="{CAFBC70B-9803-4DF3-A749-8862E6850FD0}"/>
    <cellStyle name="Currency 3 3 4 4 2 3" xfId="6770" xr:uid="{00519647-324F-4DAB-8C68-518924B0B02B}"/>
    <cellStyle name="Currency 3 3 4 4 3" xfId="1438" xr:uid="{00000000-0005-0000-0000-0000F0040000}"/>
    <cellStyle name="Currency 3 3 4 4 3 2" xfId="6772" xr:uid="{C33F10D1-D1D9-444D-BF2C-3313F5E729BD}"/>
    <cellStyle name="Currency 3 3 4 4 4" xfId="1439" xr:uid="{00000000-0005-0000-0000-0000F1040000}"/>
    <cellStyle name="Currency 3 3 4 4 4 2" xfId="6773" xr:uid="{A72F06D0-51E8-4973-BBEA-4BA4A9436CD6}"/>
    <cellStyle name="Currency 3 3 4 4 5" xfId="6769" xr:uid="{15C754F9-BB47-48CC-BD88-D1496A267234}"/>
    <cellStyle name="Currency 3 3 4 5" xfId="1440" xr:uid="{00000000-0005-0000-0000-0000F2040000}"/>
    <cellStyle name="Currency 3 3 4 5 2" xfId="1441" xr:uid="{00000000-0005-0000-0000-0000F3040000}"/>
    <cellStyle name="Currency 3 3 4 5 2 2" xfId="6775" xr:uid="{4DA38EC1-36B3-4D40-B6DC-1BEF67643E01}"/>
    <cellStyle name="Currency 3 3 4 5 3" xfId="6774" xr:uid="{2C9E74B1-C982-4201-A730-2C7286D87114}"/>
    <cellStyle name="Currency 3 3 4 6" xfId="1442" xr:uid="{00000000-0005-0000-0000-0000F4040000}"/>
    <cellStyle name="Currency 3 3 4 6 2" xfId="1443" xr:uid="{00000000-0005-0000-0000-0000F5040000}"/>
    <cellStyle name="Currency 3 3 4 6 2 2" xfId="6777" xr:uid="{3C6F79A2-B1A9-436C-9C8B-CAE195EB100F}"/>
    <cellStyle name="Currency 3 3 4 6 3" xfId="6776" xr:uid="{F68B3FA0-E8EA-4EB5-978B-89F5040EB23A}"/>
    <cellStyle name="Currency 3 3 4 7" xfId="1444" xr:uid="{00000000-0005-0000-0000-0000F6040000}"/>
    <cellStyle name="Currency 3 3 4 7 2" xfId="1445" xr:uid="{00000000-0005-0000-0000-0000F7040000}"/>
    <cellStyle name="Currency 3 3 4 7 2 2" xfId="6779" xr:uid="{67984300-4EE7-4BFF-ADDE-D9F63051CCB5}"/>
    <cellStyle name="Currency 3 3 4 7 3" xfId="6778" xr:uid="{88A45B02-124D-49E5-8CEF-B58FAAB87D85}"/>
    <cellStyle name="Currency 3 3 4 8" xfId="1446" xr:uid="{00000000-0005-0000-0000-0000F8040000}"/>
    <cellStyle name="Currency 3 3 4 8 2" xfId="6780" xr:uid="{0EBA38BE-3EF4-4B40-8A16-765EE68878D2}"/>
    <cellStyle name="Currency 3 3 4 9" xfId="1447" xr:uid="{00000000-0005-0000-0000-0000F9040000}"/>
    <cellStyle name="Currency 3 3 4 9 2" xfId="6781" xr:uid="{12106DBA-666B-4714-B0BF-926868007E7A}"/>
    <cellStyle name="Currency 3 3 5" xfId="1448" xr:uid="{00000000-0005-0000-0000-0000FA040000}"/>
    <cellStyle name="Currency 3 3 5 2" xfId="1449" xr:uid="{00000000-0005-0000-0000-0000FB040000}"/>
    <cellStyle name="Currency 3 3 5 2 2" xfId="1450" xr:uid="{00000000-0005-0000-0000-0000FC040000}"/>
    <cellStyle name="Currency 3 3 5 2 2 2" xfId="1451" xr:uid="{00000000-0005-0000-0000-0000FD040000}"/>
    <cellStyle name="Currency 3 3 5 2 2 2 2" xfId="6785" xr:uid="{18D30F9C-602B-4F70-9DF7-EA4CC5D09E4F}"/>
    <cellStyle name="Currency 3 3 5 2 2 3" xfId="1452" xr:uid="{00000000-0005-0000-0000-0000FE040000}"/>
    <cellStyle name="Currency 3 3 5 2 2 3 2" xfId="6786" xr:uid="{FC2BB807-6924-4D6E-BF85-7E0F9724325F}"/>
    <cellStyle name="Currency 3 3 5 2 2 4" xfId="6784" xr:uid="{CCD7D5CF-3109-4B19-B4E0-F691685D8B99}"/>
    <cellStyle name="Currency 3 3 5 2 3" xfId="1453" xr:uid="{00000000-0005-0000-0000-0000FF040000}"/>
    <cellStyle name="Currency 3 3 5 2 3 2" xfId="6787" xr:uid="{6951CC3B-2F5A-4434-92E4-E8F1C68A13E8}"/>
    <cellStyle name="Currency 3 3 5 2 4" xfId="1454" xr:uid="{00000000-0005-0000-0000-000000050000}"/>
    <cellStyle name="Currency 3 3 5 2 4 2" xfId="6788" xr:uid="{74DF91D4-6C22-4544-A439-348ECBD8B08B}"/>
    <cellStyle name="Currency 3 3 5 2 5" xfId="6783" xr:uid="{A9971972-9519-44A0-A24D-85170FE4D0E6}"/>
    <cellStyle name="Currency 3 3 5 3" xfId="1455" xr:uid="{00000000-0005-0000-0000-000001050000}"/>
    <cellStyle name="Currency 3 3 5 3 2" xfId="1456" xr:uid="{00000000-0005-0000-0000-000002050000}"/>
    <cellStyle name="Currency 3 3 5 3 2 2" xfId="1457" xr:uid="{00000000-0005-0000-0000-000003050000}"/>
    <cellStyle name="Currency 3 3 5 3 2 2 2" xfId="6791" xr:uid="{C8B557D9-4A13-4061-9D77-1289FD9CE528}"/>
    <cellStyle name="Currency 3 3 5 3 2 3" xfId="6790" xr:uid="{E05F89B4-8099-4129-B496-5D1A096C5BFB}"/>
    <cellStyle name="Currency 3 3 5 3 3" xfId="1458" xr:uid="{00000000-0005-0000-0000-000004050000}"/>
    <cellStyle name="Currency 3 3 5 3 3 2" xfId="6792" xr:uid="{EAD56DA7-E6F8-4E6D-AF4F-EAD5873BE34D}"/>
    <cellStyle name="Currency 3 3 5 3 4" xfId="1459" xr:uid="{00000000-0005-0000-0000-000005050000}"/>
    <cellStyle name="Currency 3 3 5 3 4 2" xfId="6793" xr:uid="{6ADD45A3-7052-4701-95E2-86A372867DE2}"/>
    <cellStyle name="Currency 3 3 5 3 5" xfId="6789" xr:uid="{41FAC417-6A2C-4906-9E1F-0780972A89E3}"/>
    <cellStyle name="Currency 3 3 5 4" xfId="1460" xr:uid="{00000000-0005-0000-0000-000006050000}"/>
    <cellStyle name="Currency 3 3 5 4 2" xfId="1461" xr:uid="{00000000-0005-0000-0000-000007050000}"/>
    <cellStyle name="Currency 3 3 5 4 2 2" xfId="6795" xr:uid="{584FB1C3-2ED8-4216-8C1D-678E04EE4575}"/>
    <cellStyle name="Currency 3 3 5 4 3" xfId="6794" xr:uid="{A2597709-CA09-49A2-8702-2D2CD9B0FDBD}"/>
    <cellStyle name="Currency 3 3 5 5" xfId="1462" xr:uid="{00000000-0005-0000-0000-000008050000}"/>
    <cellStyle name="Currency 3 3 5 5 2" xfId="6796" xr:uid="{68634C5B-BF86-4B9F-B1C0-3264073092FF}"/>
    <cellStyle name="Currency 3 3 5 6" xfId="1463" xr:uid="{00000000-0005-0000-0000-000009050000}"/>
    <cellStyle name="Currency 3 3 5 6 2" xfId="6797" xr:uid="{E10C39EB-49B3-4C23-B503-2B835E4018E7}"/>
    <cellStyle name="Currency 3 3 5 7" xfId="6782" xr:uid="{70515C41-3192-47CD-8899-A8510037603F}"/>
    <cellStyle name="Currency 3 3 6" xfId="1464" xr:uid="{00000000-0005-0000-0000-00000A050000}"/>
    <cellStyle name="Currency 3 3 6 2" xfId="1465" xr:uid="{00000000-0005-0000-0000-00000B050000}"/>
    <cellStyle name="Currency 3 3 6 2 2" xfId="1466" xr:uid="{00000000-0005-0000-0000-00000C050000}"/>
    <cellStyle name="Currency 3 3 6 2 2 2" xfId="6800" xr:uid="{1B5ABED1-06A7-4AFD-BA06-0A0282D53395}"/>
    <cellStyle name="Currency 3 3 6 2 3" xfId="1467" xr:uid="{00000000-0005-0000-0000-00000D050000}"/>
    <cellStyle name="Currency 3 3 6 2 3 2" xfId="6801" xr:uid="{3007490A-B777-449D-9171-568964EBD98F}"/>
    <cellStyle name="Currency 3 3 6 2 4" xfId="6799" xr:uid="{F6D689C3-6EC7-4CB9-8BE6-11E45940A924}"/>
    <cellStyle name="Currency 3 3 6 3" xfId="1468" xr:uid="{00000000-0005-0000-0000-00000E050000}"/>
    <cellStyle name="Currency 3 3 6 3 2" xfId="1469" xr:uid="{00000000-0005-0000-0000-00000F050000}"/>
    <cellStyle name="Currency 3 3 6 3 2 2" xfId="6803" xr:uid="{22FF41E7-DE68-43EA-A860-A2D4F546342D}"/>
    <cellStyle name="Currency 3 3 6 3 3" xfId="6802" xr:uid="{9AB7A218-ED54-4F10-B007-63D63D604CE2}"/>
    <cellStyle name="Currency 3 3 6 4" xfId="1470" xr:uid="{00000000-0005-0000-0000-000010050000}"/>
    <cellStyle name="Currency 3 3 6 4 2" xfId="6804" xr:uid="{D60537DC-5EC8-4467-B4BC-0D61A1EDD612}"/>
    <cellStyle name="Currency 3 3 6 5" xfId="6798" xr:uid="{088C598A-E7AE-46F6-A30D-34E0A8BC1F72}"/>
    <cellStyle name="Currency 3 3 7" xfId="1471" xr:uid="{00000000-0005-0000-0000-000011050000}"/>
    <cellStyle name="Currency 3 3 7 2" xfId="1472" xr:uid="{00000000-0005-0000-0000-000012050000}"/>
    <cellStyle name="Currency 3 3 7 2 2" xfId="1473" xr:uid="{00000000-0005-0000-0000-000013050000}"/>
    <cellStyle name="Currency 3 3 7 2 2 2" xfId="6807" xr:uid="{0CB851F9-08F2-4D3E-86D2-4EF66BDF2E4D}"/>
    <cellStyle name="Currency 3 3 7 2 3" xfId="6806" xr:uid="{D0A7F895-62EB-4829-B87A-4EC5716B69E5}"/>
    <cellStyle name="Currency 3 3 7 3" xfId="1474" xr:uid="{00000000-0005-0000-0000-000014050000}"/>
    <cellStyle name="Currency 3 3 7 3 2" xfId="6808" xr:uid="{914FCE0A-D688-47AC-9C04-FAB298D33990}"/>
    <cellStyle name="Currency 3 3 7 4" xfId="1475" xr:uid="{00000000-0005-0000-0000-000015050000}"/>
    <cellStyle name="Currency 3 3 7 4 2" xfId="6809" xr:uid="{AF309A49-A30C-48CC-BD45-571CB8E1689A}"/>
    <cellStyle name="Currency 3 3 7 5" xfId="6805" xr:uid="{F9E78AF4-D09E-4410-8B5B-FE82C4496507}"/>
    <cellStyle name="Currency 3 3 8" xfId="1476" xr:uid="{00000000-0005-0000-0000-000016050000}"/>
    <cellStyle name="Currency 3 3 8 2" xfId="1477" xr:uid="{00000000-0005-0000-0000-000017050000}"/>
    <cellStyle name="Currency 3 3 8 2 2" xfId="6811" xr:uid="{164E300A-64C8-456E-9C35-75D6FAE94356}"/>
    <cellStyle name="Currency 3 3 8 3" xfId="1478" xr:uid="{00000000-0005-0000-0000-000018050000}"/>
    <cellStyle name="Currency 3 3 8 3 2" xfId="6812" xr:uid="{AAE23580-11C0-44A6-811B-97E925A0D957}"/>
    <cellStyle name="Currency 3 3 8 4" xfId="6810" xr:uid="{8A884B12-5931-4323-B819-53467490098E}"/>
    <cellStyle name="Currency 3 3 9" xfId="1479" xr:uid="{00000000-0005-0000-0000-000019050000}"/>
    <cellStyle name="Currency 3 3 9 2" xfId="1480" xr:uid="{00000000-0005-0000-0000-00001A050000}"/>
    <cellStyle name="Currency 3 3 9 2 2" xfId="6814" xr:uid="{9E922383-95F9-489C-ACDE-139E6A96C1D2}"/>
    <cellStyle name="Currency 3 3 9 3" xfId="6813" xr:uid="{0C755B18-5FD7-4D0D-8AD0-BCCDB8001EBB}"/>
    <cellStyle name="Currency 3 4" xfId="79" xr:uid="{00000000-0005-0000-0000-00001B050000}"/>
    <cellStyle name="Currency 3 4 10" xfId="1481" xr:uid="{00000000-0005-0000-0000-00001C050000}"/>
    <cellStyle name="Currency 3 4 10 2" xfId="6815" xr:uid="{302CCC12-7643-454C-BE10-299784264180}"/>
    <cellStyle name="Currency 3 4 11" xfId="5414" xr:uid="{0461F978-492B-4D96-945F-16E33C1AEEF1}"/>
    <cellStyle name="Currency 3 4 2" xfId="80" xr:uid="{00000000-0005-0000-0000-00001D050000}"/>
    <cellStyle name="Currency 3 4 2 10" xfId="5415" xr:uid="{896AAF82-E46A-4BD6-8179-9FCB0601D90E}"/>
    <cellStyle name="Currency 3 4 2 2" xfId="81" xr:uid="{00000000-0005-0000-0000-00001E050000}"/>
    <cellStyle name="Currency 3 4 2 2 2" xfId="1482" xr:uid="{00000000-0005-0000-0000-00001F050000}"/>
    <cellStyle name="Currency 3 4 2 2 2 2" xfId="1483" xr:uid="{00000000-0005-0000-0000-000020050000}"/>
    <cellStyle name="Currency 3 4 2 2 2 2 2" xfId="1484" xr:uid="{00000000-0005-0000-0000-000021050000}"/>
    <cellStyle name="Currency 3 4 2 2 2 2 2 2" xfId="6818" xr:uid="{67086E84-DB42-4A4B-906D-1A64FDDF9D6F}"/>
    <cellStyle name="Currency 3 4 2 2 2 2 3" xfId="1485" xr:uid="{00000000-0005-0000-0000-000022050000}"/>
    <cellStyle name="Currency 3 4 2 2 2 2 3 2" xfId="6819" xr:uid="{D3011929-44C5-43E1-AA4D-88732A21A447}"/>
    <cellStyle name="Currency 3 4 2 2 2 2 4" xfId="6817" xr:uid="{17BAC1E9-78F3-45A8-A7C6-5E92AC5E2C05}"/>
    <cellStyle name="Currency 3 4 2 2 2 3" xfId="1486" xr:uid="{00000000-0005-0000-0000-000023050000}"/>
    <cellStyle name="Currency 3 4 2 2 2 3 2" xfId="6820" xr:uid="{FF66D0FD-2909-42C4-BEBE-042FCF5769CA}"/>
    <cellStyle name="Currency 3 4 2 2 2 4" xfId="1487" xr:uid="{00000000-0005-0000-0000-000024050000}"/>
    <cellStyle name="Currency 3 4 2 2 2 4 2" xfId="6821" xr:uid="{4969BEDF-1D59-43E3-8D5D-CDB8019BE66A}"/>
    <cellStyle name="Currency 3 4 2 2 2 5" xfId="6816" xr:uid="{337F05B6-40B4-4747-A017-2FB82B0966A7}"/>
    <cellStyle name="Currency 3 4 2 2 3" xfId="1488" xr:uid="{00000000-0005-0000-0000-000025050000}"/>
    <cellStyle name="Currency 3 4 2 2 3 2" xfId="1489" xr:uid="{00000000-0005-0000-0000-000026050000}"/>
    <cellStyle name="Currency 3 4 2 2 3 2 2" xfId="1490" xr:uid="{00000000-0005-0000-0000-000027050000}"/>
    <cellStyle name="Currency 3 4 2 2 3 2 2 2" xfId="6824" xr:uid="{E15A1B1E-A2B7-47E5-B364-E6611681BD2B}"/>
    <cellStyle name="Currency 3 4 2 2 3 2 3" xfId="6823" xr:uid="{A68E5085-2E21-45C4-907F-6A0963C87087}"/>
    <cellStyle name="Currency 3 4 2 2 3 3" xfId="1491" xr:uid="{00000000-0005-0000-0000-000028050000}"/>
    <cellStyle name="Currency 3 4 2 2 3 3 2" xfId="6825" xr:uid="{F74D97BE-35A2-43EF-904C-0E1F1DBAF630}"/>
    <cellStyle name="Currency 3 4 2 2 3 4" xfId="1492" xr:uid="{00000000-0005-0000-0000-000029050000}"/>
    <cellStyle name="Currency 3 4 2 2 3 4 2" xfId="6826" xr:uid="{ABD59B84-180B-44E7-BBF7-5D495F64A8C1}"/>
    <cellStyle name="Currency 3 4 2 2 3 5" xfId="6822" xr:uid="{4366A5C6-D841-4856-9BF2-E8C52F060A5D}"/>
    <cellStyle name="Currency 3 4 2 2 4" xfId="1493" xr:uid="{00000000-0005-0000-0000-00002A050000}"/>
    <cellStyle name="Currency 3 4 2 2 4 2" xfId="1494" xr:uid="{00000000-0005-0000-0000-00002B050000}"/>
    <cellStyle name="Currency 3 4 2 2 4 2 2" xfId="6828" xr:uid="{4D4836DA-156C-4B5D-B62E-B8ABF24EA63C}"/>
    <cellStyle name="Currency 3 4 2 2 4 3" xfId="6827" xr:uid="{F50530D4-52E4-4BBA-B66A-79ADCA8507F8}"/>
    <cellStyle name="Currency 3 4 2 2 5" xfId="1495" xr:uid="{00000000-0005-0000-0000-00002C050000}"/>
    <cellStyle name="Currency 3 4 2 2 5 2" xfId="1496" xr:uid="{00000000-0005-0000-0000-00002D050000}"/>
    <cellStyle name="Currency 3 4 2 2 5 2 2" xfId="6830" xr:uid="{C0029C8C-78A7-4F39-9520-9147D93FDF5C}"/>
    <cellStyle name="Currency 3 4 2 2 5 3" xfId="6829" xr:uid="{E66F1EF6-3BEC-487E-9051-861D5BBC3C69}"/>
    <cellStyle name="Currency 3 4 2 2 6" xfId="1497" xr:uid="{00000000-0005-0000-0000-00002E050000}"/>
    <cellStyle name="Currency 3 4 2 2 6 2" xfId="1498" xr:uid="{00000000-0005-0000-0000-00002F050000}"/>
    <cellStyle name="Currency 3 4 2 2 6 2 2" xfId="6832" xr:uid="{29C170D1-E5B0-4F74-A2A8-C731AE0A45C9}"/>
    <cellStyle name="Currency 3 4 2 2 6 3" xfId="6831" xr:uid="{E6398249-8EBE-4448-83EA-0B372929B272}"/>
    <cellStyle name="Currency 3 4 2 2 7" xfId="1499" xr:uid="{00000000-0005-0000-0000-000030050000}"/>
    <cellStyle name="Currency 3 4 2 2 7 2" xfId="6833" xr:uid="{96218414-A1E7-49F7-BCBD-F04DEB2E80AE}"/>
    <cellStyle name="Currency 3 4 2 2 8" xfId="1500" xr:uid="{00000000-0005-0000-0000-000031050000}"/>
    <cellStyle name="Currency 3 4 2 2 8 2" xfId="6834" xr:uid="{FC0720C6-E947-481B-BF04-CAB3E117AE8F}"/>
    <cellStyle name="Currency 3 4 2 2 9" xfId="5416" xr:uid="{070F7366-E9AB-4501-AA6B-46C1424B03B0}"/>
    <cellStyle name="Currency 3 4 2 3" xfId="1501" xr:uid="{00000000-0005-0000-0000-000032050000}"/>
    <cellStyle name="Currency 3 4 2 3 2" xfId="1502" xr:uid="{00000000-0005-0000-0000-000033050000}"/>
    <cellStyle name="Currency 3 4 2 3 2 2" xfId="1503" xr:uid="{00000000-0005-0000-0000-000034050000}"/>
    <cellStyle name="Currency 3 4 2 3 2 2 2" xfId="6837" xr:uid="{07F11112-7869-415A-9F51-21C52C158566}"/>
    <cellStyle name="Currency 3 4 2 3 2 3" xfId="1504" xr:uid="{00000000-0005-0000-0000-000035050000}"/>
    <cellStyle name="Currency 3 4 2 3 2 3 2" xfId="6838" xr:uid="{DF062B2A-58CE-4790-ACBC-AA3B9C25DCEC}"/>
    <cellStyle name="Currency 3 4 2 3 2 4" xfId="6836" xr:uid="{98B3A797-198F-4D6C-BAA8-DEFA68D72533}"/>
    <cellStyle name="Currency 3 4 2 3 3" xfId="1505" xr:uid="{00000000-0005-0000-0000-000036050000}"/>
    <cellStyle name="Currency 3 4 2 3 3 2" xfId="6839" xr:uid="{304DB00D-5245-472A-BE1B-885AD28440D2}"/>
    <cellStyle name="Currency 3 4 2 3 4" xfId="1506" xr:uid="{00000000-0005-0000-0000-000037050000}"/>
    <cellStyle name="Currency 3 4 2 3 4 2" xfId="6840" xr:uid="{21B87EAE-5C25-4B0A-93A6-85E3947E6A3B}"/>
    <cellStyle name="Currency 3 4 2 3 5" xfId="6835" xr:uid="{5B72357A-79AC-4DE5-B8FA-FFFFC14213E7}"/>
    <cellStyle name="Currency 3 4 2 4" xfId="1507" xr:uid="{00000000-0005-0000-0000-000038050000}"/>
    <cellStyle name="Currency 3 4 2 4 2" xfId="1508" xr:uid="{00000000-0005-0000-0000-000039050000}"/>
    <cellStyle name="Currency 3 4 2 4 2 2" xfId="1509" xr:uid="{00000000-0005-0000-0000-00003A050000}"/>
    <cellStyle name="Currency 3 4 2 4 2 2 2" xfId="6843" xr:uid="{AEC33AF3-0A64-4681-8491-7BC09BFB8BB2}"/>
    <cellStyle name="Currency 3 4 2 4 2 3" xfId="6842" xr:uid="{DB2FCE99-42E6-4026-86CD-385D750E06E6}"/>
    <cellStyle name="Currency 3 4 2 4 3" xfId="1510" xr:uid="{00000000-0005-0000-0000-00003B050000}"/>
    <cellStyle name="Currency 3 4 2 4 3 2" xfId="6844" xr:uid="{8545F37D-CDA2-4C20-9DE0-56EFE1CB698E}"/>
    <cellStyle name="Currency 3 4 2 4 4" xfId="1511" xr:uid="{00000000-0005-0000-0000-00003C050000}"/>
    <cellStyle name="Currency 3 4 2 4 4 2" xfId="6845" xr:uid="{ECECB4E9-8F2C-4D5D-966F-F9DC8159BDED}"/>
    <cellStyle name="Currency 3 4 2 4 5" xfId="6841" xr:uid="{890DAC38-680F-443D-B25F-E6A864929836}"/>
    <cellStyle name="Currency 3 4 2 5" xfId="1512" xr:uid="{00000000-0005-0000-0000-00003D050000}"/>
    <cellStyle name="Currency 3 4 2 5 2" xfId="1513" xr:uid="{00000000-0005-0000-0000-00003E050000}"/>
    <cellStyle name="Currency 3 4 2 5 2 2" xfId="6847" xr:uid="{967D5644-6D35-4A86-A669-E5D4FE055F33}"/>
    <cellStyle name="Currency 3 4 2 5 3" xfId="6846" xr:uid="{7F31DB61-FCB5-470E-B6BE-FE8EF88FDCF6}"/>
    <cellStyle name="Currency 3 4 2 6" xfId="1514" xr:uid="{00000000-0005-0000-0000-00003F050000}"/>
    <cellStyle name="Currency 3 4 2 6 2" xfId="1515" xr:uid="{00000000-0005-0000-0000-000040050000}"/>
    <cellStyle name="Currency 3 4 2 6 2 2" xfId="6849" xr:uid="{3F839D84-F544-4D28-8B5D-63926E85D873}"/>
    <cellStyle name="Currency 3 4 2 6 3" xfId="6848" xr:uid="{113154F5-9A69-41B9-A837-925C93CA1DFD}"/>
    <cellStyle name="Currency 3 4 2 7" xfId="1516" xr:uid="{00000000-0005-0000-0000-000041050000}"/>
    <cellStyle name="Currency 3 4 2 7 2" xfId="1517" xr:uid="{00000000-0005-0000-0000-000042050000}"/>
    <cellStyle name="Currency 3 4 2 7 2 2" xfId="6851" xr:uid="{0F14F0D6-F4E7-416A-98E4-4E696DA97AE6}"/>
    <cellStyle name="Currency 3 4 2 7 3" xfId="6850" xr:uid="{197B7F26-854E-4A32-BED8-75665F1BBCD2}"/>
    <cellStyle name="Currency 3 4 2 8" xfId="1518" xr:uid="{00000000-0005-0000-0000-000043050000}"/>
    <cellStyle name="Currency 3 4 2 8 2" xfId="6852" xr:uid="{D6DF32CA-251D-4DA6-B001-CC508E177769}"/>
    <cellStyle name="Currency 3 4 2 9" xfId="1519" xr:uid="{00000000-0005-0000-0000-000044050000}"/>
    <cellStyle name="Currency 3 4 2 9 2" xfId="6853" xr:uid="{F9C41058-EA44-493F-96AA-885BCBFC6091}"/>
    <cellStyle name="Currency 3 4 3" xfId="82" xr:uid="{00000000-0005-0000-0000-000045050000}"/>
    <cellStyle name="Currency 3 4 3 2" xfId="1520" xr:uid="{00000000-0005-0000-0000-000046050000}"/>
    <cellStyle name="Currency 3 4 3 2 2" xfId="1521" xr:uid="{00000000-0005-0000-0000-000047050000}"/>
    <cellStyle name="Currency 3 4 3 2 2 2" xfId="1522" xr:uid="{00000000-0005-0000-0000-000048050000}"/>
    <cellStyle name="Currency 3 4 3 2 2 2 2" xfId="6856" xr:uid="{ECC27949-283A-4ACE-8119-A089F1337CB3}"/>
    <cellStyle name="Currency 3 4 3 2 2 3" xfId="1523" xr:uid="{00000000-0005-0000-0000-000049050000}"/>
    <cellStyle name="Currency 3 4 3 2 2 3 2" xfId="6857" xr:uid="{E9DF5E21-344C-4431-8070-162B39EFBC09}"/>
    <cellStyle name="Currency 3 4 3 2 2 4" xfId="6855" xr:uid="{C00E6DF5-65B7-45C6-BA33-CE6559B0694A}"/>
    <cellStyle name="Currency 3 4 3 2 3" xfId="1524" xr:uid="{00000000-0005-0000-0000-00004A050000}"/>
    <cellStyle name="Currency 3 4 3 2 3 2" xfId="6858" xr:uid="{C2AE2A4E-049B-4B6C-9190-4510388BA885}"/>
    <cellStyle name="Currency 3 4 3 2 4" xfId="1525" xr:uid="{00000000-0005-0000-0000-00004B050000}"/>
    <cellStyle name="Currency 3 4 3 2 4 2" xfId="6859" xr:uid="{75D8E6C9-5CB8-455C-9291-1F34C9961792}"/>
    <cellStyle name="Currency 3 4 3 2 5" xfId="6854" xr:uid="{9AC2E3C0-67F3-417A-AE88-C2F9160B4BC4}"/>
    <cellStyle name="Currency 3 4 3 3" xfId="1526" xr:uid="{00000000-0005-0000-0000-00004C050000}"/>
    <cellStyle name="Currency 3 4 3 3 2" xfId="1527" xr:uid="{00000000-0005-0000-0000-00004D050000}"/>
    <cellStyle name="Currency 3 4 3 3 2 2" xfId="1528" xr:uid="{00000000-0005-0000-0000-00004E050000}"/>
    <cellStyle name="Currency 3 4 3 3 2 2 2" xfId="6862" xr:uid="{990DA3B3-49C8-4DF2-9AC8-FD12D74471AE}"/>
    <cellStyle name="Currency 3 4 3 3 2 3" xfId="6861" xr:uid="{1DF3751E-8246-423D-9828-A4C502AD75D0}"/>
    <cellStyle name="Currency 3 4 3 3 3" xfId="1529" xr:uid="{00000000-0005-0000-0000-00004F050000}"/>
    <cellStyle name="Currency 3 4 3 3 3 2" xfId="6863" xr:uid="{DA1DDEDF-30A4-49C8-B547-F793463BE29C}"/>
    <cellStyle name="Currency 3 4 3 3 4" xfId="1530" xr:uid="{00000000-0005-0000-0000-000050050000}"/>
    <cellStyle name="Currency 3 4 3 3 4 2" xfId="6864" xr:uid="{A10A544A-4313-4C16-9B2D-E4818FBCAD8E}"/>
    <cellStyle name="Currency 3 4 3 3 5" xfId="6860" xr:uid="{02C79C2E-2A10-40B4-884D-15DE36768D16}"/>
    <cellStyle name="Currency 3 4 3 4" xfId="1531" xr:uid="{00000000-0005-0000-0000-000051050000}"/>
    <cellStyle name="Currency 3 4 3 4 2" xfId="1532" xr:uid="{00000000-0005-0000-0000-000052050000}"/>
    <cellStyle name="Currency 3 4 3 4 2 2" xfId="6866" xr:uid="{5A4B6A46-CD88-44AA-8A96-E94FFEF1E14F}"/>
    <cellStyle name="Currency 3 4 3 4 3" xfId="6865" xr:uid="{EF2A78B1-5150-4520-928A-5F5652939829}"/>
    <cellStyle name="Currency 3 4 3 5" xfId="1533" xr:uid="{00000000-0005-0000-0000-000053050000}"/>
    <cellStyle name="Currency 3 4 3 5 2" xfId="1534" xr:uid="{00000000-0005-0000-0000-000054050000}"/>
    <cellStyle name="Currency 3 4 3 5 2 2" xfId="6868" xr:uid="{91182504-14B9-4A0C-95AC-0AB2416E2BB6}"/>
    <cellStyle name="Currency 3 4 3 5 3" xfId="6867" xr:uid="{4AE78B86-ABAA-47FC-A95B-A2FD827E46BC}"/>
    <cellStyle name="Currency 3 4 3 6" xfId="1535" xr:uid="{00000000-0005-0000-0000-000055050000}"/>
    <cellStyle name="Currency 3 4 3 6 2" xfId="1536" xr:uid="{00000000-0005-0000-0000-000056050000}"/>
    <cellStyle name="Currency 3 4 3 6 2 2" xfId="6870" xr:uid="{C403F906-A832-4B41-87BE-230F8706CF82}"/>
    <cellStyle name="Currency 3 4 3 6 3" xfId="6869" xr:uid="{4899C634-428B-49EE-8398-86591B4E0793}"/>
    <cellStyle name="Currency 3 4 3 7" xfId="1537" xr:uid="{00000000-0005-0000-0000-000057050000}"/>
    <cellStyle name="Currency 3 4 3 7 2" xfId="6871" xr:uid="{F5527F80-96DF-449D-BC85-2C8387E61144}"/>
    <cellStyle name="Currency 3 4 3 8" xfId="1538" xr:uid="{00000000-0005-0000-0000-000058050000}"/>
    <cellStyle name="Currency 3 4 3 8 2" xfId="6872" xr:uid="{F2220E0D-FA5C-464A-AC88-D5E8BF4FC731}"/>
    <cellStyle name="Currency 3 4 3 9" xfId="5417" xr:uid="{3654A141-83BE-4AD7-8FF1-1ABEB911DDBB}"/>
    <cellStyle name="Currency 3 4 4" xfId="1539" xr:uid="{00000000-0005-0000-0000-000059050000}"/>
    <cellStyle name="Currency 3 4 4 2" xfId="1540" xr:uid="{00000000-0005-0000-0000-00005A050000}"/>
    <cellStyle name="Currency 3 4 4 2 2" xfId="1541" xr:uid="{00000000-0005-0000-0000-00005B050000}"/>
    <cellStyle name="Currency 3 4 4 2 2 2" xfId="6875" xr:uid="{4B7158DA-2D1A-449B-81A0-0741B25837F6}"/>
    <cellStyle name="Currency 3 4 4 2 3" xfId="1542" xr:uid="{00000000-0005-0000-0000-00005C050000}"/>
    <cellStyle name="Currency 3 4 4 2 3 2" xfId="6876" xr:uid="{F88F4DAE-30AE-4DA4-9BB5-1D9AE3E9B87E}"/>
    <cellStyle name="Currency 3 4 4 2 4" xfId="6874" xr:uid="{7C3F36D4-B67A-43B8-A685-5476C407AE07}"/>
    <cellStyle name="Currency 3 4 4 3" xfId="1543" xr:uid="{00000000-0005-0000-0000-00005D050000}"/>
    <cellStyle name="Currency 3 4 4 3 2" xfId="1544" xr:uid="{00000000-0005-0000-0000-00005E050000}"/>
    <cellStyle name="Currency 3 4 4 3 2 2" xfId="6878" xr:uid="{EC08385E-D007-4096-AC26-92A63AC11707}"/>
    <cellStyle name="Currency 3 4 4 3 3" xfId="6877" xr:uid="{5517B234-2913-428E-89FC-AE344FA1165F}"/>
    <cellStyle name="Currency 3 4 4 4" xfId="1545" xr:uid="{00000000-0005-0000-0000-00005F050000}"/>
    <cellStyle name="Currency 3 4 4 4 2" xfId="6879" xr:uid="{09950672-10AD-4877-9A48-E25C47A3F0A0}"/>
    <cellStyle name="Currency 3 4 4 5" xfId="6873" xr:uid="{A329270E-D293-46CE-8F63-0072286EF3B0}"/>
    <cellStyle name="Currency 3 4 5" xfId="1546" xr:uid="{00000000-0005-0000-0000-000060050000}"/>
    <cellStyle name="Currency 3 4 5 2" xfId="1547" xr:uid="{00000000-0005-0000-0000-000061050000}"/>
    <cellStyle name="Currency 3 4 5 2 2" xfId="1548" xr:uid="{00000000-0005-0000-0000-000062050000}"/>
    <cellStyle name="Currency 3 4 5 2 2 2" xfId="6882" xr:uid="{B0BA9F23-AF40-4CC7-8BA1-44D188556149}"/>
    <cellStyle name="Currency 3 4 5 2 3" xfId="6881" xr:uid="{CC2C391A-91F7-414C-B1EF-16CDF565772E}"/>
    <cellStyle name="Currency 3 4 5 3" xfId="1549" xr:uid="{00000000-0005-0000-0000-000063050000}"/>
    <cellStyle name="Currency 3 4 5 3 2" xfId="6883" xr:uid="{5A4C4FD7-B8BF-42C9-81B9-ACF311803414}"/>
    <cellStyle name="Currency 3 4 5 4" xfId="1550" xr:uid="{00000000-0005-0000-0000-000064050000}"/>
    <cellStyle name="Currency 3 4 5 4 2" xfId="6884" xr:uid="{35FC57D3-91C1-4323-8C18-A2EECF7EEB81}"/>
    <cellStyle name="Currency 3 4 5 5" xfId="6880" xr:uid="{39423D9D-844A-4C1C-99CC-870FF63A2F47}"/>
    <cellStyle name="Currency 3 4 6" xfId="1551" xr:uid="{00000000-0005-0000-0000-000065050000}"/>
    <cellStyle name="Currency 3 4 6 2" xfId="1552" xr:uid="{00000000-0005-0000-0000-000066050000}"/>
    <cellStyle name="Currency 3 4 6 2 2" xfId="6886" xr:uid="{AC526FCB-0788-49AD-899D-406EAA5B7904}"/>
    <cellStyle name="Currency 3 4 6 3" xfId="1553" xr:uid="{00000000-0005-0000-0000-000067050000}"/>
    <cellStyle name="Currency 3 4 6 3 2" xfId="6887" xr:uid="{97476A45-7740-4E6E-9E38-0B795E231E81}"/>
    <cellStyle name="Currency 3 4 6 4" xfId="6885" xr:uid="{266B2FF0-AA4A-42B3-A045-A4B6E4507FD7}"/>
    <cellStyle name="Currency 3 4 7" xfId="1554" xr:uid="{00000000-0005-0000-0000-000068050000}"/>
    <cellStyle name="Currency 3 4 7 2" xfId="1555" xr:uid="{00000000-0005-0000-0000-000069050000}"/>
    <cellStyle name="Currency 3 4 7 2 2" xfId="6889" xr:uid="{4A8DB903-B4F0-4F93-B912-B65E77F18FF8}"/>
    <cellStyle name="Currency 3 4 7 3" xfId="6888" xr:uid="{1D32CB93-49A8-44C0-ABC7-3FF719DECE7F}"/>
    <cellStyle name="Currency 3 4 8" xfId="1556" xr:uid="{00000000-0005-0000-0000-00006A050000}"/>
    <cellStyle name="Currency 3 4 8 2" xfId="1557" xr:uid="{00000000-0005-0000-0000-00006B050000}"/>
    <cellStyle name="Currency 3 4 8 2 2" xfId="6891" xr:uid="{1BA6E82F-FD15-41BD-8F54-118B65B8117E}"/>
    <cellStyle name="Currency 3 4 8 3" xfId="6890" xr:uid="{F1739435-2C81-4786-A1DC-58EFD391781E}"/>
    <cellStyle name="Currency 3 4 9" xfId="1558" xr:uid="{00000000-0005-0000-0000-00006C050000}"/>
    <cellStyle name="Currency 3 4 9 2" xfId="6892" xr:uid="{12590595-02CE-4EC2-8096-6230255AC315}"/>
    <cellStyle name="Currency 3 5" xfId="83" xr:uid="{00000000-0005-0000-0000-00006D050000}"/>
    <cellStyle name="Currency 3 5 10" xfId="5418" xr:uid="{0B69B864-AC17-459D-9B01-DF56B8B85517}"/>
    <cellStyle name="Currency 3 5 2" xfId="84" xr:uid="{00000000-0005-0000-0000-00006E050000}"/>
    <cellStyle name="Currency 3 5 2 2" xfId="1559" xr:uid="{00000000-0005-0000-0000-00006F050000}"/>
    <cellStyle name="Currency 3 5 2 2 2" xfId="1560" xr:uid="{00000000-0005-0000-0000-000070050000}"/>
    <cellStyle name="Currency 3 5 2 2 2 2" xfId="1561" xr:uid="{00000000-0005-0000-0000-000071050000}"/>
    <cellStyle name="Currency 3 5 2 2 2 2 2" xfId="6895" xr:uid="{D4E9623A-546B-4C7B-9287-36A09E6CB732}"/>
    <cellStyle name="Currency 3 5 2 2 2 3" xfId="1562" xr:uid="{00000000-0005-0000-0000-000072050000}"/>
    <cellStyle name="Currency 3 5 2 2 2 3 2" xfId="6896" xr:uid="{AF2A622D-F4E9-4C42-B3ED-C33B6A7A8EE5}"/>
    <cellStyle name="Currency 3 5 2 2 2 4" xfId="6894" xr:uid="{35B5336F-BDBC-4E3E-9CAC-754E6B1E5A07}"/>
    <cellStyle name="Currency 3 5 2 2 3" xfId="1563" xr:uid="{00000000-0005-0000-0000-000073050000}"/>
    <cellStyle name="Currency 3 5 2 2 3 2" xfId="6897" xr:uid="{E3E70BA8-DE4A-4AD5-90DE-31292B23BB47}"/>
    <cellStyle name="Currency 3 5 2 2 4" xfId="1564" xr:uid="{00000000-0005-0000-0000-000074050000}"/>
    <cellStyle name="Currency 3 5 2 2 4 2" xfId="6898" xr:uid="{10F1DD23-9E5B-4293-B451-57844A4EC9A4}"/>
    <cellStyle name="Currency 3 5 2 2 5" xfId="6893" xr:uid="{8E472F39-AB67-4988-8905-9B50904275D3}"/>
    <cellStyle name="Currency 3 5 2 3" xfId="1565" xr:uid="{00000000-0005-0000-0000-000075050000}"/>
    <cellStyle name="Currency 3 5 2 3 2" xfId="1566" xr:uid="{00000000-0005-0000-0000-000076050000}"/>
    <cellStyle name="Currency 3 5 2 3 2 2" xfId="1567" xr:uid="{00000000-0005-0000-0000-000077050000}"/>
    <cellStyle name="Currency 3 5 2 3 2 2 2" xfId="6901" xr:uid="{953BEAE4-E7EE-418A-AB94-F149B14219EF}"/>
    <cellStyle name="Currency 3 5 2 3 2 3" xfId="6900" xr:uid="{92247221-BAE4-48FD-84C8-D2EE6395750A}"/>
    <cellStyle name="Currency 3 5 2 3 3" xfId="1568" xr:uid="{00000000-0005-0000-0000-000078050000}"/>
    <cellStyle name="Currency 3 5 2 3 3 2" xfId="6902" xr:uid="{132554D2-3B76-4301-B295-BBC2A84CDA66}"/>
    <cellStyle name="Currency 3 5 2 3 4" xfId="1569" xr:uid="{00000000-0005-0000-0000-000079050000}"/>
    <cellStyle name="Currency 3 5 2 3 4 2" xfId="6903" xr:uid="{D834B4E7-F560-4551-9E50-253DE76A48DA}"/>
    <cellStyle name="Currency 3 5 2 3 5" xfId="6899" xr:uid="{3B4C1B7D-57E7-455A-B463-8A7694A23129}"/>
    <cellStyle name="Currency 3 5 2 4" xfId="1570" xr:uid="{00000000-0005-0000-0000-00007A050000}"/>
    <cellStyle name="Currency 3 5 2 4 2" xfId="1571" xr:uid="{00000000-0005-0000-0000-00007B050000}"/>
    <cellStyle name="Currency 3 5 2 4 2 2" xfId="6905" xr:uid="{B8DD9BB4-A6CB-4A29-A57B-BFAE2D7E931E}"/>
    <cellStyle name="Currency 3 5 2 4 3" xfId="6904" xr:uid="{608EE6BD-D801-4FB1-BCE4-D43881531942}"/>
    <cellStyle name="Currency 3 5 2 5" xfId="1572" xr:uid="{00000000-0005-0000-0000-00007C050000}"/>
    <cellStyle name="Currency 3 5 2 5 2" xfId="1573" xr:uid="{00000000-0005-0000-0000-00007D050000}"/>
    <cellStyle name="Currency 3 5 2 5 2 2" xfId="6907" xr:uid="{BCE36B98-2980-459B-BB7A-6F4E11CE7A51}"/>
    <cellStyle name="Currency 3 5 2 5 3" xfId="6906" xr:uid="{C5DB7170-B4DA-470E-A037-855B000E3082}"/>
    <cellStyle name="Currency 3 5 2 6" xfId="1574" xr:uid="{00000000-0005-0000-0000-00007E050000}"/>
    <cellStyle name="Currency 3 5 2 6 2" xfId="1575" xr:uid="{00000000-0005-0000-0000-00007F050000}"/>
    <cellStyle name="Currency 3 5 2 6 2 2" xfId="6909" xr:uid="{B8805FA2-57D5-489F-93F1-C7786375676F}"/>
    <cellStyle name="Currency 3 5 2 6 3" xfId="6908" xr:uid="{50748B70-7C47-4FB2-86C5-99715EAB4F96}"/>
    <cellStyle name="Currency 3 5 2 7" xfId="1576" xr:uid="{00000000-0005-0000-0000-000080050000}"/>
    <cellStyle name="Currency 3 5 2 7 2" xfId="6910" xr:uid="{E5FFA36D-6EBE-4050-8161-E96AA7FE1BCA}"/>
    <cellStyle name="Currency 3 5 2 8" xfId="1577" xr:uid="{00000000-0005-0000-0000-000081050000}"/>
    <cellStyle name="Currency 3 5 2 8 2" xfId="6911" xr:uid="{58BACE55-B707-4D65-ADB4-3B286B7E1EA2}"/>
    <cellStyle name="Currency 3 5 2 9" xfId="5419" xr:uid="{AFE6A552-20A5-481B-A03C-4DC795E8E3DE}"/>
    <cellStyle name="Currency 3 5 3" xfId="1578" xr:uid="{00000000-0005-0000-0000-000082050000}"/>
    <cellStyle name="Currency 3 5 3 2" xfId="1579" xr:uid="{00000000-0005-0000-0000-000083050000}"/>
    <cellStyle name="Currency 3 5 3 2 2" xfId="1580" xr:uid="{00000000-0005-0000-0000-000084050000}"/>
    <cellStyle name="Currency 3 5 3 2 2 2" xfId="6914" xr:uid="{60BC63C4-6F74-4082-96B8-ED6FF88720EF}"/>
    <cellStyle name="Currency 3 5 3 2 3" xfId="1581" xr:uid="{00000000-0005-0000-0000-000085050000}"/>
    <cellStyle name="Currency 3 5 3 2 3 2" xfId="6915" xr:uid="{6B74FED7-08FF-4760-B3B7-8ED38F55CCFC}"/>
    <cellStyle name="Currency 3 5 3 2 4" xfId="6913" xr:uid="{1C15E5FF-E8BE-4F75-98E5-B6D5B63AE26D}"/>
    <cellStyle name="Currency 3 5 3 3" xfId="1582" xr:uid="{00000000-0005-0000-0000-000086050000}"/>
    <cellStyle name="Currency 3 5 3 3 2" xfId="6916" xr:uid="{7229CA01-3C37-47F6-9461-B9E8525929D7}"/>
    <cellStyle name="Currency 3 5 3 4" xfId="1583" xr:uid="{00000000-0005-0000-0000-000087050000}"/>
    <cellStyle name="Currency 3 5 3 4 2" xfId="6917" xr:uid="{6A4005EE-C2A8-4C1E-BD70-BC33247CBC7D}"/>
    <cellStyle name="Currency 3 5 3 5" xfId="6912" xr:uid="{48B9E3BD-78C2-4BEA-BC61-5E8FB0FD6827}"/>
    <cellStyle name="Currency 3 5 4" xfId="1584" xr:uid="{00000000-0005-0000-0000-000088050000}"/>
    <cellStyle name="Currency 3 5 4 2" xfId="1585" xr:uid="{00000000-0005-0000-0000-000089050000}"/>
    <cellStyle name="Currency 3 5 4 2 2" xfId="1586" xr:uid="{00000000-0005-0000-0000-00008A050000}"/>
    <cellStyle name="Currency 3 5 4 2 2 2" xfId="6920" xr:uid="{4ED1C594-B690-4421-B19B-3548E5C59E61}"/>
    <cellStyle name="Currency 3 5 4 2 3" xfId="6919" xr:uid="{3D44A146-5949-4CB6-8E92-5CE32B7C1E64}"/>
    <cellStyle name="Currency 3 5 4 3" xfId="1587" xr:uid="{00000000-0005-0000-0000-00008B050000}"/>
    <cellStyle name="Currency 3 5 4 3 2" xfId="6921" xr:uid="{F6E6CE0B-3AA4-4EE7-AD39-799DD4B4F734}"/>
    <cellStyle name="Currency 3 5 4 4" xfId="1588" xr:uid="{00000000-0005-0000-0000-00008C050000}"/>
    <cellStyle name="Currency 3 5 4 4 2" xfId="6922" xr:uid="{A0739FC4-35CA-48F6-AC18-018D1DC7BC68}"/>
    <cellStyle name="Currency 3 5 4 5" xfId="6918" xr:uid="{4CD5D7EF-74B9-42CE-9E09-C1D677810057}"/>
    <cellStyle name="Currency 3 5 5" xfId="1589" xr:uid="{00000000-0005-0000-0000-00008D050000}"/>
    <cellStyle name="Currency 3 5 5 2" xfId="1590" xr:uid="{00000000-0005-0000-0000-00008E050000}"/>
    <cellStyle name="Currency 3 5 5 2 2" xfId="6924" xr:uid="{87808FC5-ACFC-4345-9A16-C23A7334F0B4}"/>
    <cellStyle name="Currency 3 5 5 3" xfId="6923" xr:uid="{BA3065D6-27DA-4424-AB58-EF54FC454F16}"/>
    <cellStyle name="Currency 3 5 6" xfId="1591" xr:uid="{00000000-0005-0000-0000-00008F050000}"/>
    <cellStyle name="Currency 3 5 6 2" xfId="1592" xr:uid="{00000000-0005-0000-0000-000090050000}"/>
    <cellStyle name="Currency 3 5 6 2 2" xfId="6926" xr:uid="{65285C2B-2ACD-4B17-B00A-ED594FA88AB7}"/>
    <cellStyle name="Currency 3 5 6 3" xfId="6925" xr:uid="{A6424DB2-D0D4-4A93-8EA0-FF0483D41B95}"/>
    <cellStyle name="Currency 3 5 7" xfId="1593" xr:uid="{00000000-0005-0000-0000-000091050000}"/>
    <cellStyle name="Currency 3 5 7 2" xfId="1594" xr:uid="{00000000-0005-0000-0000-000092050000}"/>
    <cellStyle name="Currency 3 5 7 2 2" xfId="6928" xr:uid="{744762E6-7CAA-4700-9045-3646E4C0F1D2}"/>
    <cellStyle name="Currency 3 5 7 3" xfId="6927" xr:uid="{D480AB76-DE58-4C42-B6DE-CBBD74D37D58}"/>
    <cellStyle name="Currency 3 5 8" xfId="1595" xr:uid="{00000000-0005-0000-0000-000093050000}"/>
    <cellStyle name="Currency 3 5 8 2" xfId="6929" xr:uid="{C63B47B3-3656-4633-8B97-C2699057D424}"/>
    <cellStyle name="Currency 3 5 9" xfId="1596" xr:uid="{00000000-0005-0000-0000-000094050000}"/>
    <cellStyle name="Currency 3 5 9 2" xfId="6930" xr:uid="{BE30C938-6D6B-43D8-87DB-7E4D20C4E714}"/>
    <cellStyle name="Currency 3 6" xfId="85" xr:uid="{00000000-0005-0000-0000-000095050000}"/>
    <cellStyle name="Currency 3 6 10" xfId="5420" xr:uid="{7E7D3A1D-EF7E-435C-B16C-81C4CE6DAF5B}"/>
    <cellStyle name="Currency 3 6 2" xfId="1597" xr:uid="{00000000-0005-0000-0000-000096050000}"/>
    <cellStyle name="Currency 3 6 2 2" xfId="1598" xr:uid="{00000000-0005-0000-0000-000097050000}"/>
    <cellStyle name="Currency 3 6 2 2 2" xfId="1599" xr:uid="{00000000-0005-0000-0000-000098050000}"/>
    <cellStyle name="Currency 3 6 2 2 2 2" xfId="1600" xr:uid="{00000000-0005-0000-0000-000099050000}"/>
    <cellStyle name="Currency 3 6 2 2 2 2 2" xfId="6934" xr:uid="{ABBBB2C3-B17B-4FAC-B6FC-C68F15BE1DE4}"/>
    <cellStyle name="Currency 3 6 2 2 2 3" xfId="1601" xr:uid="{00000000-0005-0000-0000-00009A050000}"/>
    <cellStyle name="Currency 3 6 2 2 2 3 2" xfId="6935" xr:uid="{4AD3C4BE-C7DB-457E-BEC0-41E056650251}"/>
    <cellStyle name="Currency 3 6 2 2 2 4" xfId="6933" xr:uid="{1CE74492-2474-4AA6-8D18-01DF8EF8D131}"/>
    <cellStyle name="Currency 3 6 2 2 3" xfId="1602" xr:uid="{00000000-0005-0000-0000-00009B050000}"/>
    <cellStyle name="Currency 3 6 2 2 3 2" xfId="6936" xr:uid="{A2BEC114-9E39-47C2-BCA9-8407317C8F45}"/>
    <cellStyle name="Currency 3 6 2 2 4" xfId="1603" xr:uid="{00000000-0005-0000-0000-00009C050000}"/>
    <cellStyle name="Currency 3 6 2 2 4 2" xfId="6937" xr:uid="{642F51CD-644C-45E7-92DD-4BC45087E8FB}"/>
    <cellStyle name="Currency 3 6 2 2 5" xfId="6932" xr:uid="{D02F8AA5-0CE3-410A-9E3D-38465DF0CEDD}"/>
    <cellStyle name="Currency 3 6 2 3" xfId="1604" xr:uid="{00000000-0005-0000-0000-00009D050000}"/>
    <cellStyle name="Currency 3 6 2 3 2" xfId="1605" xr:uid="{00000000-0005-0000-0000-00009E050000}"/>
    <cellStyle name="Currency 3 6 2 3 2 2" xfId="1606" xr:uid="{00000000-0005-0000-0000-00009F050000}"/>
    <cellStyle name="Currency 3 6 2 3 2 2 2" xfId="6940" xr:uid="{D37D3090-0441-4050-ADA4-3669FA9E694E}"/>
    <cellStyle name="Currency 3 6 2 3 2 3" xfId="6939" xr:uid="{BFE4C40C-C559-483F-8EFE-18F7ECD724A8}"/>
    <cellStyle name="Currency 3 6 2 3 3" xfId="1607" xr:uid="{00000000-0005-0000-0000-0000A0050000}"/>
    <cellStyle name="Currency 3 6 2 3 3 2" xfId="6941" xr:uid="{355FF6AA-CDA2-4D51-88E3-E3E9C0D683E5}"/>
    <cellStyle name="Currency 3 6 2 3 4" xfId="1608" xr:uid="{00000000-0005-0000-0000-0000A1050000}"/>
    <cellStyle name="Currency 3 6 2 3 4 2" xfId="6942" xr:uid="{F624914D-94B6-4FE3-AAB5-B022E53495D4}"/>
    <cellStyle name="Currency 3 6 2 3 5" xfId="6938" xr:uid="{CAC4AC86-C506-46AD-81FB-D75FD9BCDE68}"/>
    <cellStyle name="Currency 3 6 2 4" xfId="1609" xr:uid="{00000000-0005-0000-0000-0000A2050000}"/>
    <cellStyle name="Currency 3 6 2 4 2" xfId="1610" xr:uid="{00000000-0005-0000-0000-0000A3050000}"/>
    <cellStyle name="Currency 3 6 2 4 2 2" xfId="6944" xr:uid="{EFE1C9A3-51A5-4CA3-8F16-481D422D285E}"/>
    <cellStyle name="Currency 3 6 2 4 3" xfId="6943" xr:uid="{E56DBB08-5E9F-4EBD-946A-BE2A87EE125E}"/>
    <cellStyle name="Currency 3 6 2 5" xfId="1611" xr:uid="{00000000-0005-0000-0000-0000A4050000}"/>
    <cellStyle name="Currency 3 6 2 5 2" xfId="6945" xr:uid="{DB48D2DD-5C85-4C6D-8F0D-978C4DBE6F0F}"/>
    <cellStyle name="Currency 3 6 2 6" xfId="1612" xr:uid="{00000000-0005-0000-0000-0000A5050000}"/>
    <cellStyle name="Currency 3 6 2 6 2" xfId="6946" xr:uid="{7B2ED341-FE16-47B1-BF6B-588ACDA383A5}"/>
    <cellStyle name="Currency 3 6 2 7" xfId="6931" xr:uid="{384373C1-1A71-4BBC-AFD5-962950DE4C73}"/>
    <cellStyle name="Currency 3 6 3" xfId="1613" xr:uid="{00000000-0005-0000-0000-0000A6050000}"/>
    <cellStyle name="Currency 3 6 3 2" xfId="1614" xr:uid="{00000000-0005-0000-0000-0000A7050000}"/>
    <cellStyle name="Currency 3 6 3 2 2" xfId="1615" xr:uid="{00000000-0005-0000-0000-0000A8050000}"/>
    <cellStyle name="Currency 3 6 3 2 2 2" xfId="6949" xr:uid="{30FED944-BFB4-4D37-B7A9-A5D6948DB0C2}"/>
    <cellStyle name="Currency 3 6 3 2 3" xfId="1616" xr:uid="{00000000-0005-0000-0000-0000A9050000}"/>
    <cellStyle name="Currency 3 6 3 2 3 2" xfId="6950" xr:uid="{21905F43-DC63-475B-AA49-7211DF78F90E}"/>
    <cellStyle name="Currency 3 6 3 2 4" xfId="6948" xr:uid="{214C2B9C-5B72-4215-9507-0FF37EEA5E74}"/>
    <cellStyle name="Currency 3 6 3 3" xfId="1617" xr:uid="{00000000-0005-0000-0000-0000AA050000}"/>
    <cellStyle name="Currency 3 6 3 3 2" xfId="6951" xr:uid="{A962CD3B-97A8-425D-845E-ADC58C146EA4}"/>
    <cellStyle name="Currency 3 6 3 4" xfId="1618" xr:uid="{00000000-0005-0000-0000-0000AB050000}"/>
    <cellStyle name="Currency 3 6 3 4 2" xfId="6952" xr:uid="{84301A9D-2EFB-4B8B-8D11-DE5D64C3F4AE}"/>
    <cellStyle name="Currency 3 6 3 5" xfId="6947" xr:uid="{F3DA5695-B0EA-4C59-ABFF-E446CEF9EC3A}"/>
    <cellStyle name="Currency 3 6 4" xfId="1619" xr:uid="{00000000-0005-0000-0000-0000AC050000}"/>
    <cellStyle name="Currency 3 6 4 2" xfId="1620" xr:uid="{00000000-0005-0000-0000-0000AD050000}"/>
    <cellStyle name="Currency 3 6 4 2 2" xfId="1621" xr:uid="{00000000-0005-0000-0000-0000AE050000}"/>
    <cellStyle name="Currency 3 6 4 2 2 2" xfId="6955" xr:uid="{BE836FF5-BC2B-4D52-A2D9-15714545E1C5}"/>
    <cellStyle name="Currency 3 6 4 2 3" xfId="6954" xr:uid="{759785C4-BD63-4E13-A2F1-06BAC9A98AB1}"/>
    <cellStyle name="Currency 3 6 4 3" xfId="1622" xr:uid="{00000000-0005-0000-0000-0000AF050000}"/>
    <cellStyle name="Currency 3 6 4 3 2" xfId="6956" xr:uid="{772E9911-7319-458F-B05C-F56F2A88AED1}"/>
    <cellStyle name="Currency 3 6 4 4" xfId="1623" xr:uid="{00000000-0005-0000-0000-0000B0050000}"/>
    <cellStyle name="Currency 3 6 4 4 2" xfId="6957" xr:uid="{8FCC8069-479B-497D-B40C-C724105DCE90}"/>
    <cellStyle name="Currency 3 6 4 5" xfId="6953" xr:uid="{A64212F4-F44B-4CBD-9668-5FBFB758E1A0}"/>
    <cellStyle name="Currency 3 6 5" xfId="1624" xr:uid="{00000000-0005-0000-0000-0000B1050000}"/>
    <cellStyle name="Currency 3 6 5 2" xfId="1625" xr:uid="{00000000-0005-0000-0000-0000B2050000}"/>
    <cellStyle name="Currency 3 6 5 2 2" xfId="6959" xr:uid="{424EC669-12F4-40C6-91BB-11AD67A7CCF1}"/>
    <cellStyle name="Currency 3 6 5 3" xfId="6958" xr:uid="{78A23E71-0936-4003-AC9A-125DC9DC1662}"/>
    <cellStyle name="Currency 3 6 6" xfId="1626" xr:uid="{00000000-0005-0000-0000-0000B3050000}"/>
    <cellStyle name="Currency 3 6 6 2" xfId="1627" xr:uid="{00000000-0005-0000-0000-0000B4050000}"/>
    <cellStyle name="Currency 3 6 6 2 2" xfId="6961" xr:uid="{A312B70A-4C4C-4BAC-8888-7258E2946C6B}"/>
    <cellStyle name="Currency 3 6 6 3" xfId="6960" xr:uid="{C52A2CC5-DB5E-4A31-94B5-7AD8B63CC39B}"/>
    <cellStyle name="Currency 3 6 7" xfId="1628" xr:uid="{00000000-0005-0000-0000-0000B5050000}"/>
    <cellStyle name="Currency 3 6 7 2" xfId="1629" xr:uid="{00000000-0005-0000-0000-0000B6050000}"/>
    <cellStyle name="Currency 3 6 7 2 2" xfId="6963" xr:uid="{B7F5F36D-89C9-42FA-A13E-4689DA042A78}"/>
    <cellStyle name="Currency 3 6 7 3" xfId="6962" xr:uid="{CD06FDD2-E1F8-439F-A1B6-AF3AA2DDCB2B}"/>
    <cellStyle name="Currency 3 6 8" xfId="1630" xr:uid="{00000000-0005-0000-0000-0000B7050000}"/>
    <cellStyle name="Currency 3 6 8 2" xfId="6964" xr:uid="{73B89563-66A5-4D0D-9E13-81F05C3AB41C}"/>
    <cellStyle name="Currency 3 6 9" xfId="1631" xr:uid="{00000000-0005-0000-0000-0000B8050000}"/>
    <cellStyle name="Currency 3 6 9 2" xfId="6965" xr:uid="{69247DD8-7C89-4176-BD27-7A1FB9F5DDF7}"/>
    <cellStyle name="Currency 3 7" xfId="1632" xr:uid="{00000000-0005-0000-0000-0000B9050000}"/>
    <cellStyle name="Currency 3 7 2" xfId="1633" xr:uid="{00000000-0005-0000-0000-0000BA050000}"/>
    <cellStyle name="Currency 3 7 2 2" xfId="1634" xr:uid="{00000000-0005-0000-0000-0000BB050000}"/>
    <cellStyle name="Currency 3 7 2 2 2" xfId="1635" xr:uid="{00000000-0005-0000-0000-0000BC050000}"/>
    <cellStyle name="Currency 3 7 2 2 2 2" xfId="6969" xr:uid="{F6E71DB2-23AC-46D0-A542-61D38B282884}"/>
    <cellStyle name="Currency 3 7 2 2 3" xfId="1636" xr:uid="{00000000-0005-0000-0000-0000BD050000}"/>
    <cellStyle name="Currency 3 7 2 2 3 2" xfId="6970" xr:uid="{CB5BCD84-984B-40A1-8073-3333313E8F55}"/>
    <cellStyle name="Currency 3 7 2 2 4" xfId="6968" xr:uid="{8AECECEE-8859-4201-A536-D80FBC3BD9ED}"/>
    <cellStyle name="Currency 3 7 2 3" xfId="1637" xr:uid="{00000000-0005-0000-0000-0000BE050000}"/>
    <cellStyle name="Currency 3 7 2 3 2" xfId="6971" xr:uid="{92C17EC0-8D2C-407D-84BF-1BFE25EF5BD3}"/>
    <cellStyle name="Currency 3 7 2 4" xfId="1638" xr:uid="{00000000-0005-0000-0000-0000BF050000}"/>
    <cellStyle name="Currency 3 7 2 4 2" xfId="6972" xr:uid="{48090CDF-E6EA-444D-AF88-1C6DC861E363}"/>
    <cellStyle name="Currency 3 7 2 5" xfId="6967" xr:uid="{F6DE4B6B-1432-4FEA-AD0D-77AEDC2C8751}"/>
    <cellStyle name="Currency 3 7 3" xfId="1639" xr:uid="{00000000-0005-0000-0000-0000C0050000}"/>
    <cellStyle name="Currency 3 7 3 2" xfId="1640" xr:uid="{00000000-0005-0000-0000-0000C1050000}"/>
    <cellStyle name="Currency 3 7 3 2 2" xfId="1641" xr:uid="{00000000-0005-0000-0000-0000C2050000}"/>
    <cellStyle name="Currency 3 7 3 2 2 2" xfId="6975" xr:uid="{14E07D4F-393E-4CA9-9DC7-A82000B45897}"/>
    <cellStyle name="Currency 3 7 3 2 3" xfId="6974" xr:uid="{E9F9DA4F-1A00-47F6-AE5A-2E3A6A7DC74A}"/>
    <cellStyle name="Currency 3 7 3 3" xfId="1642" xr:uid="{00000000-0005-0000-0000-0000C3050000}"/>
    <cellStyle name="Currency 3 7 3 3 2" xfId="6976" xr:uid="{8C237F34-7929-4018-B9CB-F2020609981F}"/>
    <cellStyle name="Currency 3 7 3 4" xfId="1643" xr:uid="{00000000-0005-0000-0000-0000C4050000}"/>
    <cellStyle name="Currency 3 7 3 4 2" xfId="6977" xr:uid="{48941136-1AEE-4ADA-A8C2-99199DD9E00C}"/>
    <cellStyle name="Currency 3 7 3 5" xfId="6973" xr:uid="{0DB0EDAE-39A0-4ED4-BCAB-1F5D61B70E21}"/>
    <cellStyle name="Currency 3 7 4" xfId="1644" xr:uid="{00000000-0005-0000-0000-0000C5050000}"/>
    <cellStyle name="Currency 3 7 4 2" xfId="1645" xr:uid="{00000000-0005-0000-0000-0000C6050000}"/>
    <cellStyle name="Currency 3 7 4 2 2" xfId="6979" xr:uid="{6A27EE09-CA44-4D1B-9A54-29BBE8C87111}"/>
    <cellStyle name="Currency 3 7 4 3" xfId="6978" xr:uid="{E2A47A39-50BC-454F-8354-B007184FF514}"/>
    <cellStyle name="Currency 3 7 5" xfId="1646" xr:uid="{00000000-0005-0000-0000-0000C7050000}"/>
    <cellStyle name="Currency 3 7 5 2" xfId="6980" xr:uid="{A6D1654D-5247-496A-B47C-DD00F5B4A0F0}"/>
    <cellStyle name="Currency 3 7 6" xfId="1647" xr:uid="{00000000-0005-0000-0000-0000C8050000}"/>
    <cellStyle name="Currency 3 7 6 2" xfId="6981" xr:uid="{BD0DB8CB-4E00-4DE2-8EF2-8C8F30657596}"/>
    <cellStyle name="Currency 3 7 7" xfId="6966" xr:uid="{F68483CF-A031-438D-8BE2-17D91FB78BFB}"/>
    <cellStyle name="Currency 3 8" xfId="1648" xr:uid="{00000000-0005-0000-0000-0000C9050000}"/>
    <cellStyle name="Currency 3 8 2" xfId="1649" xr:uid="{00000000-0005-0000-0000-0000CA050000}"/>
    <cellStyle name="Currency 3 8 2 2" xfId="1650" xr:uid="{00000000-0005-0000-0000-0000CB050000}"/>
    <cellStyle name="Currency 3 8 2 2 2" xfId="6984" xr:uid="{82CF4CA2-7711-4C10-89B7-8FB70AB33E4C}"/>
    <cellStyle name="Currency 3 8 2 3" xfId="1651" xr:uid="{00000000-0005-0000-0000-0000CC050000}"/>
    <cellStyle name="Currency 3 8 2 3 2" xfId="6985" xr:uid="{132058AD-2480-4B3A-94E9-A759A693B22C}"/>
    <cellStyle name="Currency 3 8 2 4" xfId="6983" xr:uid="{F6E8CB86-CFFA-4C38-8F93-267F7B987619}"/>
    <cellStyle name="Currency 3 8 3" xfId="1652" xr:uid="{00000000-0005-0000-0000-0000CD050000}"/>
    <cellStyle name="Currency 3 8 3 2" xfId="1653" xr:uid="{00000000-0005-0000-0000-0000CE050000}"/>
    <cellStyle name="Currency 3 8 3 2 2" xfId="6987" xr:uid="{C836AC27-2A89-4A48-A282-79498317187C}"/>
    <cellStyle name="Currency 3 8 3 3" xfId="6986" xr:uid="{448028FF-397D-498F-B65A-C1560604703D}"/>
    <cellStyle name="Currency 3 8 4" xfId="1654" xr:uid="{00000000-0005-0000-0000-0000CF050000}"/>
    <cellStyle name="Currency 3 8 4 2" xfId="6988" xr:uid="{90A70420-5311-440A-B948-D76F0AECD483}"/>
    <cellStyle name="Currency 3 8 5" xfId="6982" xr:uid="{BCDD4E29-2256-4F38-83D5-9D6099402DE5}"/>
    <cellStyle name="Currency 3 9" xfId="1655" xr:uid="{00000000-0005-0000-0000-0000D0050000}"/>
    <cellStyle name="Currency 3 9 2" xfId="1656" xr:uid="{00000000-0005-0000-0000-0000D1050000}"/>
    <cellStyle name="Currency 3 9 2 2" xfId="1657" xr:uid="{00000000-0005-0000-0000-0000D2050000}"/>
    <cellStyle name="Currency 3 9 2 2 2" xfId="6991" xr:uid="{5E611277-3286-4263-B539-103D369D6285}"/>
    <cellStyle name="Currency 3 9 2 3" xfId="6990" xr:uid="{E6B20623-F041-4961-9E20-627FB9DA36E8}"/>
    <cellStyle name="Currency 3 9 3" xfId="1658" xr:uid="{00000000-0005-0000-0000-0000D3050000}"/>
    <cellStyle name="Currency 3 9 3 2" xfId="6992" xr:uid="{954B8240-FC7B-48AA-B564-D07538B2163A}"/>
    <cellStyle name="Currency 3 9 4" xfId="1659" xr:uid="{00000000-0005-0000-0000-0000D4050000}"/>
    <cellStyle name="Currency 3 9 4 2" xfId="6993" xr:uid="{3651F98B-6C6D-45F6-8261-FFAC07823CFA}"/>
    <cellStyle name="Currency 3 9 5" xfId="6989" xr:uid="{DA51A0F6-43BD-4F1B-939A-B7D6C4BDAA6B}"/>
    <cellStyle name="Currency 4" xfId="86" xr:uid="{00000000-0005-0000-0000-0000D5050000}"/>
    <cellStyle name="Currency 4 10" xfId="1660" xr:uid="{00000000-0005-0000-0000-0000D6050000}"/>
    <cellStyle name="Currency 4 10 2" xfId="1661" xr:uid="{00000000-0005-0000-0000-0000D7050000}"/>
    <cellStyle name="Currency 4 10 2 2" xfId="6995" xr:uid="{4B6E76CD-54FC-4F72-85FB-2510F1DC0BBA}"/>
    <cellStyle name="Currency 4 10 3" xfId="6994" xr:uid="{2066E8D8-5552-4BF4-8475-D72B6F034504}"/>
    <cellStyle name="Currency 4 11" xfId="1662" xr:uid="{00000000-0005-0000-0000-0000D8050000}"/>
    <cellStyle name="Currency 4 11 2" xfId="1663" xr:uid="{00000000-0005-0000-0000-0000D9050000}"/>
    <cellStyle name="Currency 4 11 2 2" xfId="6997" xr:uid="{FCD43B1B-5CA4-4E6F-9B96-79BD93754D81}"/>
    <cellStyle name="Currency 4 11 3" xfId="6996" xr:uid="{D8CC89A3-0D5B-49EB-81B6-1925E3F46538}"/>
    <cellStyle name="Currency 4 12" xfId="1664" xr:uid="{00000000-0005-0000-0000-0000DA050000}"/>
    <cellStyle name="Currency 4 12 2" xfId="6998" xr:uid="{E417EB98-523C-4DFD-82DC-613D1442895A}"/>
    <cellStyle name="Currency 4 13" xfId="1665" xr:uid="{00000000-0005-0000-0000-0000DB050000}"/>
    <cellStyle name="Currency 4 13 2" xfId="6999" xr:uid="{D72CA068-31B2-45C2-BC18-B02162B081EB}"/>
    <cellStyle name="Currency 4 14" xfId="5421" xr:uid="{3EA34769-6943-49BD-9E63-65C2D35F3399}"/>
    <cellStyle name="Currency 4 2" xfId="87" xr:uid="{00000000-0005-0000-0000-0000DC050000}"/>
    <cellStyle name="Currency 4 2 10" xfId="1666" xr:uid="{00000000-0005-0000-0000-0000DD050000}"/>
    <cellStyle name="Currency 4 2 10 2" xfId="1667" xr:uid="{00000000-0005-0000-0000-0000DE050000}"/>
    <cellStyle name="Currency 4 2 10 2 2" xfId="7001" xr:uid="{467E7B39-9092-4B50-B9F3-C64B489D7C0B}"/>
    <cellStyle name="Currency 4 2 10 3" xfId="7000" xr:uid="{0F4FF18A-256C-4AE6-8511-0F939B493C93}"/>
    <cellStyle name="Currency 4 2 11" xfId="1668" xr:uid="{00000000-0005-0000-0000-0000DF050000}"/>
    <cellStyle name="Currency 4 2 11 2" xfId="7002" xr:uid="{CBEEF946-C2A1-41B1-A44F-C808806DB7CD}"/>
    <cellStyle name="Currency 4 2 12" xfId="1669" xr:uid="{00000000-0005-0000-0000-0000E0050000}"/>
    <cellStyle name="Currency 4 2 12 2" xfId="7003" xr:uid="{59C73544-42A0-4EA8-A8EC-25049CF1723C}"/>
    <cellStyle name="Currency 4 2 13" xfId="5422" xr:uid="{60221E0B-236F-4AE0-BDB5-AFC036026462}"/>
    <cellStyle name="Currency 4 2 2" xfId="88" xr:uid="{00000000-0005-0000-0000-0000E1050000}"/>
    <cellStyle name="Currency 4 2 2 10" xfId="1670" xr:uid="{00000000-0005-0000-0000-0000E2050000}"/>
    <cellStyle name="Currency 4 2 2 10 2" xfId="7004" xr:uid="{D3CAC529-9886-40DC-BB70-66ECE15FDF50}"/>
    <cellStyle name="Currency 4 2 2 11" xfId="5423" xr:uid="{CA45FA09-3E0E-432C-A297-A52077433BAF}"/>
    <cellStyle name="Currency 4 2 2 2" xfId="89" xr:uid="{00000000-0005-0000-0000-0000E3050000}"/>
    <cellStyle name="Currency 4 2 2 2 10" xfId="5424" xr:uid="{6B12431F-FCB3-497C-AC87-B891E0D3883C}"/>
    <cellStyle name="Currency 4 2 2 2 2" xfId="90" xr:uid="{00000000-0005-0000-0000-0000E4050000}"/>
    <cellStyle name="Currency 4 2 2 2 2 2" xfId="1671" xr:uid="{00000000-0005-0000-0000-0000E5050000}"/>
    <cellStyle name="Currency 4 2 2 2 2 2 2" xfId="1672" xr:uid="{00000000-0005-0000-0000-0000E6050000}"/>
    <cellStyle name="Currency 4 2 2 2 2 2 2 2" xfId="1673" xr:uid="{00000000-0005-0000-0000-0000E7050000}"/>
    <cellStyle name="Currency 4 2 2 2 2 2 2 2 2" xfId="7007" xr:uid="{CEA4760B-40B9-431F-ADD0-CE28B20706FA}"/>
    <cellStyle name="Currency 4 2 2 2 2 2 2 3" xfId="1674" xr:uid="{00000000-0005-0000-0000-0000E8050000}"/>
    <cellStyle name="Currency 4 2 2 2 2 2 2 3 2" xfId="7008" xr:uid="{0919484A-ADDE-4B3A-9850-3C4ABD6EEA82}"/>
    <cellStyle name="Currency 4 2 2 2 2 2 2 4" xfId="7006" xr:uid="{A2B1D2F3-CBF3-45AC-ABC4-83D5A5AB1326}"/>
    <cellStyle name="Currency 4 2 2 2 2 2 3" xfId="1675" xr:uid="{00000000-0005-0000-0000-0000E9050000}"/>
    <cellStyle name="Currency 4 2 2 2 2 2 3 2" xfId="7009" xr:uid="{5AA0CD78-E45D-4306-B287-C307BFE3098D}"/>
    <cellStyle name="Currency 4 2 2 2 2 2 4" xfId="1676" xr:uid="{00000000-0005-0000-0000-0000EA050000}"/>
    <cellStyle name="Currency 4 2 2 2 2 2 4 2" xfId="7010" xr:uid="{99D4D718-98F1-40F7-8070-B7D99F23E0D6}"/>
    <cellStyle name="Currency 4 2 2 2 2 2 5" xfId="7005" xr:uid="{20BA3675-8DCB-4C04-988E-0D4DBE6B2D32}"/>
    <cellStyle name="Currency 4 2 2 2 2 3" xfId="1677" xr:uid="{00000000-0005-0000-0000-0000EB050000}"/>
    <cellStyle name="Currency 4 2 2 2 2 3 2" xfId="1678" xr:uid="{00000000-0005-0000-0000-0000EC050000}"/>
    <cellStyle name="Currency 4 2 2 2 2 3 2 2" xfId="1679" xr:uid="{00000000-0005-0000-0000-0000ED050000}"/>
    <cellStyle name="Currency 4 2 2 2 2 3 2 2 2" xfId="7013" xr:uid="{7C315C53-5917-4FB4-A1F2-C473B5B3F942}"/>
    <cellStyle name="Currency 4 2 2 2 2 3 2 3" xfId="7012" xr:uid="{30D79764-FD6D-4557-8E0A-F5D3E5D1AFC9}"/>
    <cellStyle name="Currency 4 2 2 2 2 3 3" xfId="1680" xr:uid="{00000000-0005-0000-0000-0000EE050000}"/>
    <cellStyle name="Currency 4 2 2 2 2 3 3 2" xfId="7014" xr:uid="{5B0F337B-C3B7-42CE-B541-D1EEC947E283}"/>
    <cellStyle name="Currency 4 2 2 2 2 3 4" xfId="1681" xr:uid="{00000000-0005-0000-0000-0000EF050000}"/>
    <cellStyle name="Currency 4 2 2 2 2 3 4 2" xfId="7015" xr:uid="{88A920B2-1B38-4582-92C0-6D73BDEE9595}"/>
    <cellStyle name="Currency 4 2 2 2 2 3 5" xfId="7011" xr:uid="{9959B868-9A57-4A5F-BA0F-40DADE47370A}"/>
    <cellStyle name="Currency 4 2 2 2 2 4" xfId="1682" xr:uid="{00000000-0005-0000-0000-0000F0050000}"/>
    <cellStyle name="Currency 4 2 2 2 2 4 2" xfId="1683" xr:uid="{00000000-0005-0000-0000-0000F1050000}"/>
    <cellStyle name="Currency 4 2 2 2 2 4 2 2" xfId="7017" xr:uid="{9D54BEC1-CC76-4C05-A26E-FE7E4D774CFA}"/>
    <cellStyle name="Currency 4 2 2 2 2 4 3" xfId="7016" xr:uid="{BB60E18F-DA19-44E6-A6C7-2AD1DD99D337}"/>
    <cellStyle name="Currency 4 2 2 2 2 5" xfId="1684" xr:uid="{00000000-0005-0000-0000-0000F2050000}"/>
    <cellStyle name="Currency 4 2 2 2 2 5 2" xfId="1685" xr:uid="{00000000-0005-0000-0000-0000F3050000}"/>
    <cellStyle name="Currency 4 2 2 2 2 5 2 2" xfId="7019" xr:uid="{8FC29429-2C2B-4D7C-B388-71DE04306838}"/>
    <cellStyle name="Currency 4 2 2 2 2 5 3" xfId="7018" xr:uid="{F9E267AD-E6D3-4CD3-9266-AA5B5ADBC394}"/>
    <cellStyle name="Currency 4 2 2 2 2 6" xfId="1686" xr:uid="{00000000-0005-0000-0000-0000F4050000}"/>
    <cellStyle name="Currency 4 2 2 2 2 6 2" xfId="1687" xr:uid="{00000000-0005-0000-0000-0000F5050000}"/>
    <cellStyle name="Currency 4 2 2 2 2 6 2 2" xfId="7021" xr:uid="{F7B7AE26-80C7-42CE-8D08-4A26F9150D32}"/>
    <cellStyle name="Currency 4 2 2 2 2 6 3" xfId="7020" xr:uid="{FCF386E0-904E-446D-BF24-7F650FBA4BA1}"/>
    <cellStyle name="Currency 4 2 2 2 2 7" xfId="1688" xr:uid="{00000000-0005-0000-0000-0000F6050000}"/>
    <cellStyle name="Currency 4 2 2 2 2 7 2" xfId="7022" xr:uid="{CE049298-E077-4CEC-8338-768800747275}"/>
    <cellStyle name="Currency 4 2 2 2 2 8" xfId="1689" xr:uid="{00000000-0005-0000-0000-0000F7050000}"/>
    <cellStyle name="Currency 4 2 2 2 2 8 2" xfId="7023" xr:uid="{4E3FD1DC-B646-4AB4-A4A4-C5B83388081A}"/>
    <cellStyle name="Currency 4 2 2 2 2 9" xfId="5425" xr:uid="{1CACE2D2-FAF7-4EA4-BEDB-54127686781D}"/>
    <cellStyle name="Currency 4 2 2 2 3" xfId="1690" xr:uid="{00000000-0005-0000-0000-0000F8050000}"/>
    <cellStyle name="Currency 4 2 2 2 3 2" xfId="1691" xr:uid="{00000000-0005-0000-0000-0000F9050000}"/>
    <cellStyle name="Currency 4 2 2 2 3 2 2" xfId="1692" xr:uid="{00000000-0005-0000-0000-0000FA050000}"/>
    <cellStyle name="Currency 4 2 2 2 3 2 2 2" xfId="7026" xr:uid="{CE985CD5-E7A0-4AF1-A36F-D4D9F2A48AF2}"/>
    <cellStyle name="Currency 4 2 2 2 3 2 3" xfId="1693" xr:uid="{00000000-0005-0000-0000-0000FB050000}"/>
    <cellStyle name="Currency 4 2 2 2 3 2 3 2" xfId="7027" xr:uid="{0C0342F2-8EAA-416A-8AEB-9F3E53C5D8C2}"/>
    <cellStyle name="Currency 4 2 2 2 3 2 4" xfId="7025" xr:uid="{D980FE94-C1EF-4C9D-B31B-D2BAE2119B6B}"/>
    <cellStyle name="Currency 4 2 2 2 3 3" xfId="1694" xr:uid="{00000000-0005-0000-0000-0000FC050000}"/>
    <cellStyle name="Currency 4 2 2 2 3 3 2" xfId="7028" xr:uid="{5B7CBD6C-8F11-404A-9F56-68A14D095644}"/>
    <cellStyle name="Currency 4 2 2 2 3 4" xfId="1695" xr:uid="{00000000-0005-0000-0000-0000FD050000}"/>
    <cellStyle name="Currency 4 2 2 2 3 4 2" xfId="7029" xr:uid="{4D0D9B94-AF9B-4E54-8230-FFEDB65A2F85}"/>
    <cellStyle name="Currency 4 2 2 2 3 5" xfId="7024" xr:uid="{74C6BE75-7E22-402D-A17E-5676544AD51B}"/>
    <cellStyle name="Currency 4 2 2 2 4" xfId="1696" xr:uid="{00000000-0005-0000-0000-0000FE050000}"/>
    <cellStyle name="Currency 4 2 2 2 4 2" xfId="1697" xr:uid="{00000000-0005-0000-0000-0000FF050000}"/>
    <cellStyle name="Currency 4 2 2 2 4 2 2" xfId="1698" xr:uid="{00000000-0005-0000-0000-000000060000}"/>
    <cellStyle name="Currency 4 2 2 2 4 2 2 2" xfId="7032" xr:uid="{FC2C581B-99AB-4398-B449-DC221284BF43}"/>
    <cellStyle name="Currency 4 2 2 2 4 2 3" xfId="7031" xr:uid="{C9AB3EB6-2F67-4B09-BE26-7FCB0393CB31}"/>
    <cellStyle name="Currency 4 2 2 2 4 3" xfId="1699" xr:uid="{00000000-0005-0000-0000-000001060000}"/>
    <cellStyle name="Currency 4 2 2 2 4 3 2" xfId="7033" xr:uid="{3D770EB7-6D09-4329-A10F-74778282635C}"/>
    <cellStyle name="Currency 4 2 2 2 4 4" xfId="1700" xr:uid="{00000000-0005-0000-0000-000002060000}"/>
    <cellStyle name="Currency 4 2 2 2 4 4 2" xfId="7034" xr:uid="{7C712C13-5991-42A9-992B-5EF86E3FAE0E}"/>
    <cellStyle name="Currency 4 2 2 2 4 5" xfId="7030" xr:uid="{69EDD6D8-3E3C-4482-931B-855DA722DDF2}"/>
    <cellStyle name="Currency 4 2 2 2 5" xfId="1701" xr:uid="{00000000-0005-0000-0000-000003060000}"/>
    <cellStyle name="Currency 4 2 2 2 5 2" xfId="1702" xr:uid="{00000000-0005-0000-0000-000004060000}"/>
    <cellStyle name="Currency 4 2 2 2 5 2 2" xfId="7036" xr:uid="{E4613097-FC98-4DE3-B30C-B75F2CA68153}"/>
    <cellStyle name="Currency 4 2 2 2 5 3" xfId="7035" xr:uid="{56E3DA06-E710-42F0-97D7-59B263A7B5CA}"/>
    <cellStyle name="Currency 4 2 2 2 6" xfId="1703" xr:uid="{00000000-0005-0000-0000-000005060000}"/>
    <cellStyle name="Currency 4 2 2 2 6 2" xfId="1704" xr:uid="{00000000-0005-0000-0000-000006060000}"/>
    <cellStyle name="Currency 4 2 2 2 6 2 2" xfId="7038" xr:uid="{8B0D2E9F-F7E3-4725-8577-2B66B83F4869}"/>
    <cellStyle name="Currency 4 2 2 2 6 3" xfId="7037" xr:uid="{64B5980A-CBF9-45E7-B08B-C9CB5AD171D6}"/>
    <cellStyle name="Currency 4 2 2 2 7" xfId="1705" xr:uid="{00000000-0005-0000-0000-000007060000}"/>
    <cellStyle name="Currency 4 2 2 2 7 2" xfId="1706" xr:uid="{00000000-0005-0000-0000-000008060000}"/>
    <cellStyle name="Currency 4 2 2 2 7 2 2" xfId="7040" xr:uid="{51D7E181-84ED-4BD8-BA06-8961239B50A3}"/>
    <cellStyle name="Currency 4 2 2 2 7 3" xfId="7039" xr:uid="{8C35E67A-DFB7-4ACA-9FCA-1BAA3AB6D33D}"/>
    <cellStyle name="Currency 4 2 2 2 8" xfId="1707" xr:uid="{00000000-0005-0000-0000-000009060000}"/>
    <cellStyle name="Currency 4 2 2 2 8 2" xfId="7041" xr:uid="{8C9DEC88-45B3-469A-881E-2E24C5453188}"/>
    <cellStyle name="Currency 4 2 2 2 9" xfId="1708" xr:uid="{00000000-0005-0000-0000-00000A060000}"/>
    <cellStyle name="Currency 4 2 2 2 9 2" xfId="7042" xr:uid="{D7B0CC86-5B12-45B9-AF3C-67F9D942E9CE}"/>
    <cellStyle name="Currency 4 2 2 3" xfId="91" xr:uid="{00000000-0005-0000-0000-00000B060000}"/>
    <cellStyle name="Currency 4 2 2 3 2" xfId="1709" xr:uid="{00000000-0005-0000-0000-00000C060000}"/>
    <cellStyle name="Currency 4 2 2 3 2 2" xfId="1710" xr:uid="{00000000-0005-0000-0000-00000D060000}"/>
    <cellStyle name="Currency 4 2 2 3 2 2 2" xfId="1711" xr:uid="{00000000-0005-0000-0000-00000E060000}"/>
    <cellStyle name="Currency 4 2 2 3 2 2 2 2" xfId="7045" xr:uid="{1F6D5D1C-7CFD-42E0-980F-C24C55309EA1}"/>
    <cellStyle name="Currency 4 2 2 3 2 2 3" xfId="1712" xr:uid="{00000000-0005-0000-0000-00000F060000}"/>
    <cellStyle name="Currency 4 2 2 3 2 2 3 2" xfId="7046" xr:uid="{BC6BC3F9-AF6F-4C7A-951D-C3CA38E84416}"/>
    <cellStyle name="Currency 4 2 2 3 2 2 4" xfId="7044" xr:uid="{52B42AAB-98C9-4C67-BB8D-FBB8BC4EFAD0}"/>
    <cellStyle name="Currency 4 2 2 3 2 3" xfId="1713" xr:uid="{00000000-0005-0000-0000-000010060000}"/>
    <cellStyle name="Currency 4 2 2 3 2 3 2" xfId="7047" xr:uid="{46A814CE-3973-417E-B117-228F5C8EFA6C}"/>
    <cellStyle name="Currency 4 2 2 3 2 4" xfId="1714" xr:uid="{00000000-0005-0000-0000-000011060000}"/>
    <cellStyle name="Currency 4 2 2 3 2 4 2" xfId="7048" xr:uid="{224B935F-40B7-48E9-B170-A4B606D9111E}"/>
    <cellStyle name="Currency 4 2 2 3 2 5" xfId="7043" xr:uid="{98F24138-4FA7-4431-BEDB-040EF53DFA33}"/>
    <cellStyle name="Currency 4 2 2 3 3" xfId="1715" xr:uid="{00000000-0005-0000-0000-000012060000}"/>
    <cellStyle name="Currency 4 2 2 3 3 2" xfId="1716" xr:uid="{00000000-0005-0000-0000-000013060000}"/>
    <cellStyle name="Currency 4 2 2 3 3 2 2" xfId="1717" xr:uid="{00000000-0005-0000-0000-000014060000}"/>
    <cellStyle name="Currency 4 2 2 3 3 2 2 2" xfId="7051" xr:uid="{268345D0-BAF2-4512-A9F4-374BB088BC9A}"/>
    <cellStyle name="Currency 4 2 2 3 3 2 3" xfId="7050" xr:uid="{C3C127D3-91D1-49DD-AEE2-B4C79DAF81E9}"/>
    <cellStyle name="Currency 4 2 2 3 3 3" xfId="1718" xr:uid="{00000000-0005-0000-0000-000015060000}"/>
    <cellStyle name="Currency 4 2 2 3 3 3 2" xfId="7052" xr:uid="{F34F27F8-E523-45E5-AD55-0B0356F6218A}"/>
    <cellStyle name="Currency 4 2 2 3 3 4" xfId="1719" xr:uid="{00000000-0005-0000-0000-000016060000}"/>
    <cellStyle name="Currency 4 2 2 3 3 4 2" xfId="7053" xr:uid="{D2153627-32DA-47B5-937C-3EDD7A26FD69}"/>
    <cellStyle name="Currency 4 2 2 3 3 5" xfId="7049" xr:uid="{1D2742CB-00C6-4B24-9499-B42B6C50889C}"/>
    <cellStyle name="Currency 4 2 2 3 4" xfId="1720" xr:uid="{00000000-0005-0000-0000-000017060000}"/>
    <cellStyle name="Currency 4 2 2 3 4 2" xfId="1721" xr:uid="{00000000-0005-0000-0000-000018060000}"/>
    <cellStyle name="Currency 4 2 2 3 4 2 2" xfId="7055" xr:uid="{9459E653-F693-49F7-8AA0-2C562112BCEC}"/>
    <cellStyle name="Currency 4 2 2 3 4 3" xfId="7054" xr:uid="{7B09B478-F74B-4658-BEF0-AFE7C7440731}"/>
    <cellStyle name="Currency 4 2 2 3 5" xfId="1722" xr:uid="{00000000-0005-0000-0000-000019060000}"/>
    <cellStyle name="Currency 4 2 2 3 5 2" xfId="1723" xr:uid="{00000000-0005-0000-0000-00001A060000}"/>
    <cellStyle name="Currency 4 2 2 3 5 2 2" xfId="7057" xr:uid="{673E1824-342E-4D3C-839F-4B5E08142784}"/>
    <cellStyle name="Currency 4 2 2 3 5 3" xfId="7056" xr:uid="{B3911BA6-D186-457E-BAA2-74D34F566790}"/>
    <cellStyle name="Currency 4 2 2 3 6" xfId="1724" xr:uid="{00000000-0005-0000-0000-00001B060000}"/>
    <cellStyle name="Currency 4 2 2 3 6 2" xfId="1725" xr:uid="{00000000-0005-0000-0000-00001C060000}"/>
    <cellStyle name="Currency 4 2 2 3 6 2 2" xfId="7059" xr:uid="{97E8B690-7313-41AE-8AA1-CC9960E5481D}"/>
    <cellStyle name="Currency 4 2 2 3 6 3" xfId="7058" xr:uid="{441E87BE-9292-4871-BC03-3E3F0DB15888}"/>
    <cellStyle name="Currency 4 2 2 3 7" xfId="1726" xr:uid="{00000000-0005-0000-0000-00001D060000}"/>
    <cellStyle name="Currency 4 2 2 3 7 2" xfId="7060" xr:uid="{6A01E6EA-5E7E-45C2-A7AF-FF72D435C278}"/>
    <cellStyle name="Currency 4 2 2 3 8" xfId="1727" xr:uid="{00000000-0005-0000-0000-00001E060000}"/>
    <cellStyle name="Currency 4 2 2 3 8 2" xfId="7061" xr:uid="{E92F85FD-8440-41E6-8E5B-547A1D07647E}"/>
    <cellStyle name="Currency 4 2 2 3 9" xfId="5426" xr:uid="{C8C69640-5804-4BAC-ABDD-0EAA631A26B5}"/>
    <cellStyle name="Currency 4 2 2 4" xfId="1728" xr:uid="{00000000-0005-0000-0000-00001F060000}"/>
    <cellStyle name="Currency 4 2 2 4 2" xfId="1729" xr:uid="{00000000-0005-0000-0000-000020060000}"/>
    <cellStyle name="Currency 4 2 2 4 2 2" xfId="1730" xr:uid="{00000000-0005-0000-0000-000021060000}"/>
    <cellStyle name="Currency 4 2 2 4 2 2 2" xfId="7064" xr:uid="{A618BF8B-B163-4E07-80BE-80F99E50B0BF}"/>
    <cellStyle name="Currency 4 2 2 4 2 3" xfId="1731" xr:uid="{00000000-0005-0000-0000-000022060000}"/>
    <cellStyle name="Currency 4 2 2 4 2 3 2" xfId="7065" xr:uid="{428EC80E-C8A6-4932-827A-7F5291A4E462}"/>
    <cellStyle name="Currency 4 2 2 4 2 4" xfId="7063" xr:uid="{A77938E9-D061-4CF3-A71F-518DDF67F33D}"/>
    <cellStyle name="Currency 4 2 2 4 3" xfId="1732" xr:uid="{00000000-0005-0000-0000-000023060000}"/>
    <cellStyle name="Currency 4 2 2 4 3 2" xfId="1733" xr:uid="{00000000-0005-0000-0000-000024060000}"/>
    <cellStyle name="Currency 4 2 2 4 3 2 2" xfId="7067" xr:uid="{3E948530-39A3-4BA0-AF45-2F57E8254EB4}"/>
    <cellStyle name="Currency 4 2 2 4 3 3" xfId="7066" xr:uid="{C08E0BFA-06A2-41EA-B780-DE8CCA00AEF3}"/>
    <cellStyle name="Currency 4 2 2 4 4" xfId="1734" xr:uid="{00000000-0005-0000-0000-000025060000}"/>
    <cellStyle name="Currency 4 2 2 4 4 2" xfId="7068" xr:uid="{2B6F9CD1-6B93-4FDC-8AB0-1B2689F1FDC4}"/>
    <cellStyle name="Currency 4 2 2 4 5" xfId="7062" xr:uid="{39871A86-0C43-4540-9B7C-D1A01503DFC4}"/>
    <cellStyle name="Currency 4 2 2 5" xfId="1735" xr:uid="{00000000-0005-0000-0000-000026060000}"/>
    <cellStyle name="Currency 4 2 2 5 2" xfId="1736" xr:uid="{00000000-0005-0000-0000-000027060000}"/>
    <cellStyle name="Currency 4 2 2 5 2 2" xfId="1737" xr:uid="{00000000-0005-0000-0000-000028060000}"/>
    <cellStyle name="Currency 4 2 2 5 2 2 2" xfId="7071" xr:uid="{C4B6DE46-E755-4436-B9B7-F2B112269026}"/>
    <cellStyle name="Currency 4 2 2 5 2 3" xfId="7070" xr:uid="{0166980F-6C4E-4BAE-AB44-6B6B5A746DE5}"/>
    <cellStyle name="Currency 4 2 2 5 3" xfId="1738" xr:uid="{00000000-0005-0000-0000-000029060000}"/>
    <cellStyle name="Currency 4 2 2 5 3 2" xfId="7072" xr:uid="{2652793F-1E0F-4C4E-8E07-E5E9D7077AB3}"/>
    <cellStyle name="Currency 4 2 2 5 4" xfId="1739" xr:uid="{00000000-0005-0000-0000-00002A060000}"/>
    <cellStyle name="Currency 4 2 2 5 4 2" xfId="7073" xr:uid="{808442DE-8C4E-4C02-9209-639E9730DF8E}"/>
    <cellStyle name="Currency 4 2 2 5 5" xfId="7069" xr:uid="{30621927-991A-4CBA-BC56-D74573BDF581}"/>
    <cellStyle name="Currency 4 2 2 6" xfId="1740" xr:uid="{00000000-0005-0000-0000-00002B060000}"/>
    <cellStyle name="Currency 4 2 2 6 2" xfId="1741" xr:uid="{00000000-0005-0000-0000-00002C060000}"/>
    <cellStyle name="Currency 4 2 2 6 2 2" xfId="7075" xr:uid="{F28E5D66-C626-446E-B6DD-D5DA6FD93558}"/>
    <cellStyle name="Currency 4 2 2 6 3" xfId="1742" xr:uid="{00000000-0005-0000-0000-00002D060000}"/>
    <cellStyle name="Currency 4 2 2 6 3 2" xfId="7076" xr:uid="{D2F43A18-9B14-4CEC-980B-3AF4BB1AC85E}"/>
    <cellStyle name="Currency 4 2 2 6 4" xfId="7074" xr:uid="{21D40C66-776E-498F-A383-88E2D5EDD591}"/>
    <cellStyle name="Currency 4 2 2 7" xfId="1743" xr:uid="{00000000-0005-0000-0000-00002E060000}"/>
    <cellStyle name="Currency 4 2 2 7 2" xfId="1744" xr:uid="{00000000-0005-0000-0000-00002F060000}"/>
    <cellStyle name="Currency 4 2 2 7 2 2" xfId="7078" xr:uid="{94F17B27-EA6B-4960-9E57-A34E4F884024}"/>
    <cellStyle name="Currency 4 2 2 7 3" xfId="7077" xr:uid="{C54650D7-32BF-4A56-96D6-36206BF58DB2}"/>
    <cellStyle name="Currency 4 2 2 8" xfId="1745" xr:uid="{00000000-0005-0000-0000-000030060000}"/>
    <cellStyle name="Currency 4 2 2 8 2" xfId="1746" xr:uid="{00000000-0005-0000-0000-000031060000}"/>
    <cellStyle name="Currency 4 2 2 8 2 2" xfId="7080" xr:uid="{6C029210-9E06-4C59-A819-5860B820AF92}"/>
    <cellStyle name="Currency 4 2 2 8 3" xfId="7079" xr:uid="{340BDD4B-9B9E-475A-B560-89C6CCB3AAE0}"/>
    <cellStyle name="Currency 4 2 2 9" xfId="1747" xr:uid="{00000000-0005-0000-0000-000032060000}"/>
    <cellStyle name="Currency 4 2 2 9 2" xfId="7081" xr:uid="{687417F9-125A-4924-BA33-D92CCF4ACB41}"/>
    <cellStyle name="Currency 4 2 3" xfId="92" xr:uid="{00000000-0005-0000-0000-000033060000}"/>
    <cellStyle name="Currency 4 2 3 10" xfId="5427" xr:uid="{D36E4F21-B6B5-4E59-A51B-12CB28D698AF}"/>
    <cellStyle name="Currency 4 2 3 2" xfId="93" xr:uid="{00000000-0005-0000-0000-000034060000}"/>
    <cellStyle name="Currency 4 2 3 2 2" xfId="1748" xr:uid="{00000000-0005-0000-0000-000035060000}"/>
    <cellStyle name="Currency 4 2 3 2 2 2" xfId="1749" xr:uid="{00000000-0005-0000-0000-000036060000}"/>
    <cellStyle name="Currency 4 2 3 2 2 2 2" xfId="1750" xr:uid="{00000000-0005-0000-0000-000037060000}"/>
    <cellStyle name="Currency 4 2 3 2 2 2 2 2" xfId="7084" xr:uid="{A32A20C2-6582-4050-9A70-4ADDA461D516}"/>
    <cellStyle name="Currency 4 2 3 2 2 2 3" xfId="1751" xr:uid="{00000000-0005-0000-0000-000038060000}"/>
    <cellStyle name="Currency 4 2 3 2 2 2 3 2" xfId="7085" xr:uid="{DA789E0A-CB69-4147-9C62-248CFEFFEF47}"/>
    <cellStyle name="Currency 4 2 3 2 2 2 4" xfId="7083" xr:uid="{E559DFCA-B297-4A79-A04C-154443C52ADA}"/>
    <cellStyle name="Currency 4 2 3 2 2 3" xfId="1752" xr:uid="{00000000-0005-0000-0000-000039060000}"/>
    <cellStyle name="Currency 4 2 3 2 2 3 2" xfId="7086" xr:uid="{3B894859-7779-42FC-8553-AED1B75C8703}"/>
    <cellStyle name="Currency 4 2 3 2 2 4" xfId="1753" xr:uid="{00000000-0005-0000-0000-00003A060000}"/>
    <cellStyle name="Currency 4 2 3 2 2 4 2" xfId="7087" xr:uid="{FBC42127-1373-4C3E-A06E-D4C68BB95F53}"/>
    <cellStyle name="Currency 4 2 3 2 2 5" xfId="7082" xr:uid="{4E144CD7-1D24-4C5F-9E9F-99450E27CB5F}"/>
    <cellStyle name="Currency 4 2 3 2 3" xfId="1754" xr:uid="{00000000-0005-0000-0000-00003B060000}"/>
    <cellStyle name="Currency 4 2 3 2 3 2" xfId="1755" xr:uid="{00000000-0005-0000-0000-00003C060000}"/>
    <cellStyle name="Currency 4 2 3 2 3 2 2" xfId="1756" xr:uid="{00000000-0005-0000-0000-00003D060000}"/>
    <cellStyle name="Currency 4 2 3 2 3 2 2 2" xfId="7090" xr:uid="{355B2D06-DBFA-457D-AE05-0898FED4B314}"/>
    <cellStyle name="Currency 4 2 3 2 3 2 3" xfId="7089" xr:uid="{AAA5010E-0BA2-482B-A89E-053399BFE654}"/>
    <cellStyle name="Currency 4 2 3 2 3 3" xfId="1757" xr:uid="{00000000-0005-0000-0000-00003E060000}"/>
    <cellStyle name="Currency 4 2 3 2 3 3 2" xfId="7091" xr:uid="{541158B8-43D3-451A-9877-733706B8314F}"/>
    <cellStyle name="Currency 4 2 3 2 3 4" xfId="1758" xr:uid="{00000000-0005-0000-0000-00003F060000}"/>
    <cellStyle name="Currency 4 2 3 2 3 4 2" xfId="7092" xr:uid="{6F7FEDDE-1091-42EB-8896-6F44978693C5}"/>
    <cellStyle name="Currency 4 2 3 2 3 5" xfId="7088" xr:uid="{EADBCFB9-D1D1-4016-BD6B-25D256474D8D}"/>
    <cellStyle name="Currency 4 2 3 2 4" xfId="1759" xr:uid="{00000000-0005-0000-0000-000040060000}"/>
    <cellStyle name="Currency 4 2 3 2 4 2" xfId="1760" xr:uid="{00000000-0005-0000-0000-000041060000}"/>
    <cellStyle name="Currency 4 2 3 2 4 2 2" xfId="7094" xr:uid="{4FC073E8-F12D-4CA1-A47A-6CDB91975B8C}"/>
    <cellStyle name="Currency 4 2 3 2 4 3" xfId="7093" xr:uid="{2E1A21FC-35DC-4365-9B1E-88ECB26BF31C}"/>
    <cellStyle name="Currency 4 2 3 2 5" xfId="1761" xr:uid="{00000000-0005-0000-0000-000042060000}"/>
    <cellStyle name="Currency 4 2 3 2 5 2" xfId="1762" xr:uid="{00000000-0005-0000-0000-000043060000}"/>
    <cellStyle name="Currency 4 2 3 2 5 2 2" xfId="7096" xr:uid="{FD65609B-F060-4FEC-9AA7-DAD63E2F9129}"/>
    <cellStyle name="Currency 4 2 3 2 5 3" xfId="7095" xr:uid="{8AB636D5-6630-4771-8FF0-47D7C18B7C2B}"/>
    <cellStyle name="Currency 4 2 3 2 6" xfId="1763" xr:uid="{00000000-0005-0000-0000-000044060000}"/>
    <cellStyle name="Currency 4 2 3 2 6 2" xfId="1764" xr:uid="{00000000-0005-0000-0000-000045060000}"/>
    <cellStyle name="Currency 4 2 3 2 6 2 2" xfId="7098" xr:uid="{979D8213-5F73-4C6E-A86A-5DB8F666FA4D}"/>
    <cellStyle name="Currency 4 2 3 2 6 3" xfId="7097" xr:uid="{71D388FA-84DD-4C27-85A2-CDEA099A931D}"/>
    <cellStyle name="Currency 4 2 3 2 7" xfId="1765" xr:uid="{00000000-0005-0000-0000-000046060000}"/>
    <cellStyle name="Currency 4 2 3 2 7 2" xfId="7099" xr:uid="{2ED731AA-9C18-4E79-8061-6A0B0E7F73A9}"/>
    <cellStyle name="Currency 4 2 3 2 8" xfId="1766" xr:uid="{00000000-0005-0000-0000-000047060000}"/>
    <cellStyle name="Currency 4 2 3 2 8 2" xfId="7100" xr:uid="{0933BF80-D8B2-417D-9CB6-7336874AB1A5}"/>
    <cellStyle name="Currency 4 2 3 2 9" xfId="5428" xr:uid="{DF408904-F28F-48F0-8432-9E3908DA8175}"/>
    <cellStyle name="Currency 4 2 3 3" xfId="1767" xr:uid="{00000000-0005-0000-0000-000048060000}"/>
    <cellStyle name="Currency 4 2 3 3 2" xfId="1768" xr:uid="{00000000-0005-0000-0000-000049060000}"/>
    <cellStyle name="Currency 4 2 3 3 2 2" xfId="1769" xr:uid="{00000000-0005-0000-0000-00004A060000}"/>
    <cellStyle name="Currency 4 2 3 3 2 2 2" xfId="7103" xr:uid="{7A16F02D-51D2-46EB-A65A-84E40F335B79}"/>
    <cellStyle name="Currency 4 2 3 3 2 3" xfId="1770" xr:uid="{00000000-0005-0000-0000-00004B060000}"/>
    <cellStyle name="Currency 4 2 3 3 2 3 2" xfId="7104" xr:uid="{D4C4DF8B-9BF3-4B01-8CD0-E461BC4B64FC}"/>
    <cellStyle name="Currency 4 2 3 3 2 4" xfId="7102" xr:uid="{4E02C7CD-E20C-486B-B453-EA2EE473E679}"/>
    <cellStyle name="Currency 4 2 3 3 3" xfId="1771" xr:uid="{00000000-0005-0000-0000-00004C060000}"/>
    <cellStyle name="Currency 4 2 3 3 3 2" xfId="7105" xr:uid="{07A2F65F-7719-490D-A201-B4F16E511FBE}"/>
    <cellStyle name="Currency 4 2 3 3 4" xfId="1772" xr:uid="{00000000-0005-0000-0000-00004D060000}"/>
    <cellStyle name="Currency 4 2 3 3 4 2" xfId="7106" xr:uid="{10D0C867-C902-4BAF-9E7D-5B28EAC7D4D8}"/>
    <cellStyle name="Currency 4 2 3 3 5" xfId="7101" xr:uid="{C76BAD9B-3938-40EC-B795-65717B310969}"/>
    <cellStyle name="Currency 4 2 3 4" xfId="1773" xr:uid="{00000000-0005-0000-0000-00004E060000}"/>
    <cellStyle name="Currency 4 2 3 4 2" xfId="1774" xr:uid="{00000000-0005-0000-0000-00004F060000}"/>
    <cellStyle name="Currency 4 2 3 4 2 2" xfId="1775" xr:uid="{00000000-0005-0000-0000-000050060000}"/>
    <cellStyle name="Currency 4 2 3 4 2 2 2" xfId="7109" xr:uid="{54EBC076-1876-4E26-B6C9-9CC91122EB3E}"/>
    <cellStyle name="Currency 4 2 3 4 2 3" xfId="7108" xr:uid="{E0FA4B1B-790C-418E-9EB5-2110FD6A41F5}"/>
    <cellStyle name="Currency 4 2 3 4 3" xfId="1776" xr:uid="{00000000-0005-0000-0000-000051060000}"/>
    <cellStyle name="Currency 4 2 3 4 3 2" xfId="7110" xr:uid="{AD6C4284-868E-44D9-BDD3-8A5ECE198D4C}"/>
    <cellStyle name="Currency 4 2 3 4 4" xfId="1777" xr:uid="{00000000-0005-0000-0000-000052060000}"/>
    <cellStyle name="Currency 4 2 3 4 4 2" xfId="7111" xr:uid="{D7E58337-18DF-4EAC-8980-0E33385CD9D3}"/>
    <cellStyle name="Currency 4 2 3 4 5" xfId="7107" xr:uid="{AB42518F-5004-45E5-BD2D-F13707AA50E2}"/>
    <cellStyle name="Currency 4 2 3 5" xfId="1778" xr:uid="{00000000-0005-0000-0000-000053060000}"/>
    <cellStyle name="Currency 4 2 3 5 2" xfId="1779" xr:uid="{00000000-0005-0000-0000-000054060000}"/>
    <cellStyle name="Currency 4 2 3 5 2 2" xfId="7113" xr:uid="{643ADDC4-8AB4-452D-8BB2-CB1930E6B490}"/>
    <cellStyle name="Currency 4 2 3 5 3" xfId="7112" xr:uid="{4BEE9F14-881D-42C5-9B38-2ABDEA5179CC}"/>
    <cellStyle name="Currency 4 2 3 6" xfId="1780" xr:uid="{00000000-0005-0000-0000-000055060000}"/>
    <cellStyle name="Currency 4 2 3 6 2" xfId="1781" xr:uid="{00000000-0005-0000-0000-000056060000}"/>
    <cellStyle name="Currency 4 2 3 6 2 2" xfId="7115" xr:uid="{0F9BD5A0-773D-4D55-88D1-6C3A72D1CDC0}"/>
    <cellStyle name="Currency 4 2 3 6 3" xfId="7114" xr:uid="{0E77847A-CB9C-4AAC-87B5-499AEF0B194D}"/>
    <cellStyle name="Currency 4 2 3 7" xfId="1782" xr:uid="{00000000-0005-0000-0000-000057060000}"/>
    <cellStyle name="Currency 4 2 3 7 2" xfId="1783" xr:uid="{00000000-0005-0000-0000-000058060000}"/>
    <cellStyle name="Currency 4 2 3 7 2 2" xfId="7117" xr:uid="{A0E4434B-7642-49EE-AC23-B9BED55B1E19}"/>
    <cellStyle name="Currency 4 2 3 7 3" xfId="7116" xr:uid="{D6E6EDCA-3C09-4AA3-BDFF-3A5E8F745769}"/>
    <cellStyle name="Currency 4 2 3 8" xfId="1784" xr:uid="{00000000-0005-0000-0000-000059060000}"/>
    <cellStyle name="Currency 4 2 3 8 2" xfId="7118" xr:uid="{4BA36749-DE9C-4275-8D34-28DE02AAF0CF}"/>
    <cellStyle name="Currency 4 2 3 9" xfId="1785" xr:uid="{00000000-0005-0000-0000-00005A060000}"/>
    <cellStyle name="Currency 4 2 3 9 2" xfId="7119" xr:uid="{DB917882-450B-4994-B2CB-45BCF058C034}"/>
    <cellStyle name="Currency 4 2 4" xfId="94" xr:uid="{00000000-0005-0000-0000-00005B060000}"/>
    <cellStyle name="Currency 4 2 4 10" xfId="5429" xr:uid="{481A7276-D042-4CCB-B025-8F94AD10C220}"/>
    <cellStyle name="Currency 4 2 4 2" xfId="1786" xr:uid="{00000000-0005-0000-0000-00005C060000}"/>
    <cellStyle name="Currency 4 2 4 2 2" xfId="1787" xr:uid="{00000000-0005-0000-0000-00005D060000}"/>
    <cellStyle name="Currency 4 2 4 2 2 2" xfId="1788" xr:uid="{00000000-0005-0000-0000-00005E060000}"/>
    <cellStyle name="Currency 4 2 4 2 2 2 2" xfId="1789" xr:uid="{00000000-0005-0000-0000-00005F060000}"/>
    <cellStyle name="Currency 4 2 4 2 2 2 2 2" xfId="7123" xr:uid="{61AB7E98-C12D-4F8D-B1AB-F9387108F698}"/>
    <cellStyle name="Currency 4 2 4 2 2 2 3" xfId="1790" xr:uid="{00000000-0005-0000-0000-000060060000}"/>
    <cellStyle name="Currency 4 2 4 2 2 2 3 2" xfId="7124" xr:uid="{87E4D7A0-43D4-488C-981E-5B0BAA3A7F13}"/>
    <cellStyle name="Currency 4 2 4 2 2 2 4" xfId="7122" xr:uid="{6B608816-DC3A-48A2-983B-1306F089AFAD}"/>
    <cellStyle name="Currency 4 2 4 2 2 3" xfId="1791" xr:uid="{00000000-0005-0000-0000-000061060000}"/>
    <cellStyle name="Currency 4 2 4 2 2 3 2" xfId="7125" xr:uid="{F2B813CD-3AA9-4D3C-BFA0-EFB5A8C68DAD}"/>
    <cellStyle name="Currency 4 2 4 2 2 4" xfId="1792" xr:uid="{00000000-0005-0000-0000-000062060000}"/>
    <cellStyle name="Currency 4 2 4 2 2 4 2" xfId="7126" xr:uid="{DF010C89-F558-4949-8103-45E3BE37F568}"/>
    <cellStyle name="Currency 4 2 4 2 2 5" xfId="7121" xr:uid="{4FA13140-F3F1-4868-8C84-74A6BCC118C9}"/>
    <cellStyle name="Currency 4 2 4 2 3" xfId="1793" xr:uid="{00000000-0005-0000-0000-000063060000}"/>
    <cellStyle name="Currency 4 2 4 2 3 2" xfId="1794" xr:uid="{00000000-0005-0000-0000-000064060000}"/>
    <cellStyle name="Currency 4 2 4 2 3 2 2" xfId="1795" xr:uid="{00000000-0005-0000-0000-000065060000}"/>
    <cellStyle name="Currency 4 2 4 2 3 2 2 2" xfId="7129" xr:uid="{0D935EF0-4DCB-458C-B751-73FE85B38739}"/>
    <cellStyle name="Currency 4 2 4 2 3 2 3" xfId="7128" xr:uid="{4147C308-8BD1-46A4-B515-1AC44DC72263}"/>
    <cellStyle name="Currency 4 2 4 2 3 3" xfId="1796" xr:uid="{00000000-0005-0000-0000-000066060000}"/>
    <cellStyle name="Currency 4 2 4 2 3 3 2" xfId="7130" xr:uid="{5097F1E8-D136-40A1-BA2F-0A78D0F8EBB1}"/>
    <cellStyle name="Currency 4 2 4 2 3 4" xfId="1797" xr:uid="{00000000-0005-0000-0000-000067060000}"/>
    <cellStyle name="Currency 4 2 4 2 3 4 2" xfId="7131" xr:uid="{792C23D3-5DCA-4318-A86E-337085C51837}"/>
    <cellStyle name="Currency 4 2 4 2 3 5" xfId="7127" xr:uid="{FEAD64DE-EA2B-4866-BA7C-02B8A3E29A44}"/>
    <cellStyle name="Currency 4 2 4 2 4" xfId="1798" xr:uid="{00000000-0005-0000-0000-000068060000}"/>
    <cellStyle name="Currency 4 2 4 2 4 2" xfId="1799" xr:uid="{00000000-0005-0000-0000-000069060000}"/>
    <cellStyle name="Currency 4 2 4 2 4 2 2" xfId="7133" xr:uid="{2B2C9BD2-66F8-4120-AAC4-897A3E52325E}"/>
    <cellStyle name="Currency 4 2 4 2 4 3" xfId="7132" xr:uid="{C2ABDC76-075F-4974-AC8F-577277DB4247}"/>
    <cellStyle name="Currency 4 2 4 2 5" xfId="1800" xr:uid="{00000000-0005-0000-0000-00006A060000}"/>
    <cellStyle name="Currency 4 2 4 2 5 2" xfId="7134" xr:uid="{3CE55ADE-F32E-4F88-A2E4-ECCC630F9C9D}"/>
    <cellStyle name="Currency 4 2 4 2 6" xfId="1801" xr:uid="{00000000-0005-0000-0000-00006B060000}"/>
    <cellStyle name="Currency 4 2 4 2 6 2" xfId="7135" xr:uid="{E4030911-5BB0-4E87-B3B4-D7511670FA72}"/>
    <cellStyle name="Currency 4 2 4 2 7" xfId="7120" xr:uid="{74EF3E5E-5A4E-44F0-9EB9-AD9B06BD91C0}"/>
    <cellStyle name="Currency 4 2 4 3" xfId="1802" xr:uid="{00000000-0005-0000-0000-00006C060000}"/>
    <cellStyle name="Currency 4 2 4 3 2" xfId="1803" xr:uid="{00000000-0005-0000-0000-00006D060000}"/>
    <cellStyle name="Currency 4 2 4 3 2 2" xfId="1804" xr:uid="{00000000-0005-0000-0000-00006E060000}"/>
    <cellStyle name="Currency 4 2 4 3 2 2 2" xfId="7138" xr:uid="{DCFDA918-EC4F-4F9F-B603-7533583DADC5}"/>
    <cellStyle name="Currency 4 2 4 3 2 3" xfId="1805" xr:uid="{00000000-0005-0000-0000-00006F060000}"/>
    <cellStyle name="Currency 4 2 4 3 2 3 2" xfId="7139" xr:uid="{F47B8818-FABD-4185-B7D2-73F563283C88}"/>
    <cellStyle name="Currency 4 2 4 3 2 4" xfId="7137" xr:uid="{E7FB9E39-9FE9-43FE-A43B-6484799FBD96}"/>
    <cellStyle name="Currency 4 2 4 3 3" xfId="1806" xr:uid="{00000000-0005-0000-0000-000070060000}"/>
    <cellStyle name="Currency 4 2 4 3 3 2" xfId="7140" xr:uid="{41777B75-AC7A-40DB-B995-9047DF951F41}"/>
    <cellStyle name="Currency 4 2 4 3 4" xfId="1807" xr:uid="{00000000-0005-0000-0000-000071060000}"/>
    <cellStyle name="Currency 4 2 4 3 4 2" xfId="7141" xr:uid="{48B111EE-3A88-42C9-80F3-3C1475549A2C}"/>
    <cellStyle name="Currency 4 2 4 3 5" xfId="7136" xr:uid="{DEFCCD70-9F66-49FC-80C6-79C86663F109}"/>
    <cellStyle name="Currency 4 2 4 4" xfId="1808" xr:uid="{00000000-0005-0000-0000-000072060000}"/>
    <cellStyle name="Currency 4 2 4 4 2" xfId="1809" xr:uid="{00000000-0005-0000-0000-000073060000}"/>
    <cellStyle name="Currency 4 2 4 4 2 2" xfId="1810" xr:uid="{00000000-0005-0000-0000-000074060000}"/>
    <cellStyle name="Currency 4 2 4 4 2 2 2" xfId="7144" xr:uid="{57927AAA-645D-47BD-BCC8-C9DEEF11407E}"/>
    <cellStyle name="Currency 4 2 4 4 2 3" xfId="7143" xr:uid="{DE65EE44-6B16-47D7-904A-1A29EE6D22FD}"/>
    <cellStyle name="Currency 4 2 4 4 3" xfId="1811" xr:uid="{00000000-0005-0000-0000-000075060000}"/>
    <cellStyle name="Currency 4 2 4 4 3 2" xfId="7145" xr:uid="{8EF3265F-91BA-4647-B8C8-0F441F272130}"/>
    <cellStyle name="Currency 4 2 4 4 4" xfId="1812" xr:uid="{00000000-0005-0000-0000-000076060000}"/>
    <cellStyle name="Currency 4 2 4 4 4 2" xfId="7146" xr:uid="{A1CFFFB1-FF37-4C9A-9C58-437C723C241A}"/>
    <cellStyle name="Currency 4 2 4 4 5" xfId="7142" xr:uid="{1B479631-3D23-4A56-BBD5-B9E12AAA7B2E}"/>
    <cellStyle name="Currency 4 2 4 5" xfId="1813" xr:uid="{00000000-0005-0000-0000-000077060000}"/>
    <cellStyle name="Currency 4 2 4 5 2" xfId="1814" xr:uid="{00000000-0005-0000-0000-000078060000}"/>
    <cellStyle name="Currency 4 2 4 5 2 2" xfId="7148" xr:uid="{1885727C-088F-4606-83E3-3DB883282CC4}"/>
    <cellStyle name="Currency 4 2 4 5 3" xfId="7147" xr:uid="{8BB19556-372D-4694-9B3D-087644BFC12E}"/>
    <cellStyle name="Currency 4 2 4 6" xfId="1815" xr:uid="{00000000-0005-0000-0000-000079060000}"/>
    <cellStyle name="Currency 4 2 4 6 2" xfId="1816" xr:uid="{00000000-0005-0000-0000-00007A060000}"/>
    <cellStyle name="Currency 4 2 4 6 2 2" xfId="7150" xr:uid="{22E8A107-A39C-48B4-8CE4-55427565F71E}"/>
    <cellStyle name="Currency 4 2 4 6 3" xfId="7149" xr:uid="{E41C1E63-2CEF-49E2-8E64-69DD89708076}"/>
    <cellStyle name="Currency 4 2 4 7" xfId="1817" xr:uid="{00000000-0005-0000-0000-00007B060000}"/>
    <cellStyle name="Currency 4 2 4 7 2" xfId="1818" xr:uid="{00000000-0005-0000-0000-00007C060000}"/>
    <cellStyle name="Currency 4 2 4 7 2 2" xfId="7152" xr:uid="{0EC4D2EA-1C9D-45D5-AEAC-A58570FABCB9}"/>
    <cellStyle name="Currency 4 2 4 7 3" xfId="7151" xr:uid="{84119115-5B4E-4776-80FD-2FC69478DCF2}"/>
    <cellStyle name="Currency 4 2 4 8" xfId="1819" xr:uid="{00000000-0005-0000-0000-00007D060000}"/>
    <cellStyle name="Currency 4 2 4 8 2" xfId="7153" xr:uid="{D05F91A0-5823-4EC4-A254-CDCE4CE5E1FC}"/>
    <cellStyle name="Currency 4 2 4 9" xfId="1820" xr:uid="{00000000-0005-0000-0000-00007E060000}"/>
    <cellStyle name="Currency 4 2 4 9 2" xfId="7154" xr:uid="{A890C2B5-15D9-45CD-8B00-3C7BFA8FA60F}"/>
    <cellStyle name="Currency 4 2 5" xfId="1821" xr:uid="{00000000-0005-0000-0000-00007F060000}"/>
    <cellStyle name="Currency 4 2 5 2" xfId="1822" xr:uid="{00000000-0005-0000-0000-000080060000}"/>
    <cellStyle name="Currency 4 2 5 2 2" xfId="1823" xr:uid="{00000000-0005-0000-0000-000081060000}"/>
    <cellStyle name="Currency 4 2 5 2 2 2" xfId="1824" xr:uid="{00000000-0005-0000-0000-000082060000}"/>
    <cellStyle name="Currency 4 2 5 2 2 2 2" xfId="7158" xr:uid="{D4A4B56A-F3D7-41D2-AC10-CC5F53EC77EE}"/>
    <cellStyle name="Currency 4 2 5 2 2 3" xfId="1825" xr:uid="{00000000-0005-0000-0000-000083060000}"/>
    <cellStyle name="Currency 4 2 5 2 2 3 2" xfId="7159" xr:uid="{1A344D45-7765-4E11-9995-E4EF7916C5D5}"/>
    <cellStyle name="Currency 4 2 5 2 2 4" xfId="7157" xr:uid="{7AD3B442-FE55-4C12-8BC3-2584C999AFD3}"/>
    <cellStyle name="Currency 4 2 5 2 3" xfId="1826" xr:uid="{00000000-0005-0000-0000-000084060000}"/>
    <cellStyle name="Currency 4 2 5 2 3 2" xfId="7160" xr:uid="{FC15F1B3-75D9-43DC-8DFC-36B185A77DF3}"/>
    <cellStyle name="Currency 4 2 5 2 4" xfId="1827" xr:uid="{00000000-0005-0000-0000-000085060000}"/>
    <cellStyle name="Currency 4 2 5 2 4 2" xfId="7161" xr:uid="{CEEF88FC-B9F7-4CA3-893F-A47BF758AFE7}"/>
    <cellStyle name="Currency 4 2 5 2 5" xfId="7156" xr:uid="{0DD3CF7C-4574-4CFF-9DAD-EF7DA2A8FDF9}"/>
    <cellStyle name="Currency 4 2 5 3" xfId="1828" xr:uid="{00000000-0005-0000-0000-000086060000}"/>
    <cellStyle name="Currency 4 2 5 3 2" xfId="1829" xr:uid="{00000000-0005-0000-0000-000087060000}"/>
    <cellStyle name="Currency 4 2 5 3 2 2" xfId="1830" xr:uid="{00000000-0005-0000-0000-000088060000}"/>
    <cellStyle name="Currency 4 2 5 3 2 2 2" xfId="7164" xr:uid="{5478178C-50E0-4D68-8311-D065750EC382}"/>
    <cellStyle name="Currency 4 2 5 3 2 3" xfId="7163" xr:uid="{AD1D835F-07D3-4EC8-B299-F15172B14E9E}"/>
    <cellStyle name="Currency 4 2 5 3 3" xfId="1831" xr:uid="{00000000-0005-0000-0000-000089060000}"/>
    <cellStyle name="Currency 4 2 5 3 3 2" xfId="7165" xr:uid="{AB82F653-EDA1-4EFA-9F0E-155E5B5E39CA}"/>
    <cellStyle name="Currency 4 2 5 3 4" xfId="1832" xr:uid="{00000000-0005-0000-0000-00008A060000}"/>
    <cellStyle name="Currency 4 2 5 3 4 2" xfId="7166" xr:uid="{F21094EC-036D-46DE-823D-5180F306888C}"/>
    <cellStyle name="Currency 4 2 5 3 5" xfId="7162" xr:uid="{BD64DF31-A039-49AD-A912-B62023ECAA48}"/>
    <cellStyle name="Currency 4 2 5 4" xfId="1833" xr:uid="{00000000-0005-0000-0000-00008B060000}"/>
    <cellStyle name="Currency 4 2 5 4 2" xfId="1834" xr:uid="{00000000-0005-0000-0000-00008C060000}"/>
    <cellStyle name="Currency 4 2 5 4 2 2" xfId="7168" xr:uid="{C7F9143C-43FA-484C-B0AF-10F91E86476B}"/>
    <cellStyle name="Currency 4 2 5 4 3" xfId="7167" xr:uid="{C9F090BC-5EA8-4A78-A35E-21E21D2E4EB3}"/>
    <cellStyle name="Currency 4 2 5 5" xfId="1835" xr:uid="{00000000-0005-0000-0000-00008D060000}"/>
    <cellStyle name="Currency 4 2 5 5 2" xfId="7169" xr:uid="{53E905FA-B098-4DB2-8951-B8CEAB819D6D}"/>
    <cellStyle name="Currency 4 2 5 6" xfId="1836" xr:uid="{00000000-0005-0000-0000-00008E060000}"/>
    <cellStyle name="Currency 4 2 5 6 2" xfId="7170" xr:uid="{D22E156D-C6BD-4C70-BA02-F39FA4B01DAA}"/>
    <cellStyle name="Currency 4 2 5 7" xfId="7155" xr:uid="{13A33DC9-09E2-4ECB-B1D1-9080CDB1C709}"/>
    <cellStyle name="Currency 4 2 6" xfId="1837" xr:uid="{00000000-0005-0000-0000-00008F060000}"/>
    <cellStyle name="Currency 4 2 6 2" xfId="1838" xr:uid="{00000000-0005-0000-0000-000090060000}"/>
    <cellStyle name="Currency 4 2 6 2 2" xfId="1839" xr:uid="{00000000-0005-0000-0000-000091060000}"/>
    <cellStyle name="Currency 4 2 6 2 2 2" xfId="7173" xr:uid="{9DB56EF1-36AD-40F6-B7A7-66ADDE8D0C8A}"/>
    <cellStyle name="Currency 4 2 6 2 3" xfId="1840" xr:uid="{00000000-0005-0000-0000-000092060000}"/>
    <cellStyle name="Currency 4 2 6 2 3 2" xfId="7174" xr:uid="{7862BD0E-2FF2-4C0C-AE0A-FF1CB0439E61}"/>
    <cellStyle name="Currency 4 2 6 2 4" xfId="7172" xr:uid="{80E351CB-6A60-4CA0-A5D5-A8E58B938A15}"/>
    <cellStyle name="Currency 4 2 6 3" xfId="1841" xr:uid="{00000000-0005-0000-0000-000093060000}"/>
    <cellStyle name="Currency 4 2 6 3 2" xfId="1842" xr:uid="{00000000-0005-0000-0000-000094060000}"/>
    <cellStyle name="Currency 4 2 6 3 2 2" xfId="7176" xr:uid="{D8643E94-85E3-4BF2-B995-154DFEAF10CF}"/>
    <cellStyle name="Currency 4 2 6 3 3" xfId="7175" xr:uid="{3FAA91DF-5230-44BD-8925-AD6992019D20}"/>
    <cellStyle name="Currency 4 2 6 4" xfId="1843" xr:uid="{00000000-0005-0000-0000-000095060000}"/>
    <cellStyle name="Currency 4 2 6 4 2" xfId="7177" xr:uid="{2CEDE150-4E92-4913-A08D-7BB7ECA446A7}"/>
    <cellStyle name="Currency 4 2 6 5" xfId="7171" xr:uid="{E63EC610-DD8C-419F-BEBF-DD5491162322}"/>
    <cellStyle name="Currency 4 2 7" xfId="1844" xr:uid="{00000000-0005-0000-0000-000096060000}"/>
    <cellStyle name="Currency 4 2 7 2" xfId="1845" xr:uid="{00000000-0005-0000-0000-000097060000}"/>
    <cellStyle name="Currency 4 2 7 2 2" xfId="1846" xr:uid="{00000000-0005-0000-0000-000098060000}"/>
    <cellStyle name="Currency 4 2 7 2 2 2" xfId="7180" xr:uid="{D4EA80DF-2FFB-4A23-85C3-52FB65E345F3}"/>
    <cellStyle name="Currency 4 2 7 2 3" xfId="7179" xr:uid="{2C565DFE-565F-45DB-B96D-566BF0757C14}"/>
    <cellStyle name="Currency 4 2 7 3" xfId="1847" xr:uid="{00000000-0005-0000-0000-000099060000}"/>
    <cellStyle name="Currency 4 2 7 3 2" xfId="7181" xr:uid="{7D107BA4-59EC-4883-BF2A-E5BD34160628}"/>
    <cellStyle name="Currency 4 2 7 4" xfId="1848" xr:uid="{00000000-0005-0000-0000-00009A060000}"/>
    <cellStyle name="Currency 4 2 7 4 2" xfId="7182" xr:uid="{60D11363-BE04-456B-86CE-1E6D81F33ADC}"/>
    <cellStyle name="Currency 4 2 7 5" xfId="7178" xr:uid="{6B04FFAC-BC7E-48BD-B403-D7A9B78A2A3A}"/>
    <cellStyle name="Currency 4 2 8" xfId="1849" xr:uid="{00000000-0005-0000-0000-00009B060000}"/>
    <cellStyle name="Currency 4 2 8 2" xfId="1850" xr:uid="{00000000-0005-0000-0000-00009C060000}"/>
    <cellStyle name="Currency 4 2 8 2 2" xfId="7184" xr:uid="{3EC1FAAF-88A3-407B-96DA-8535385278BE}"/>
    <cellStyle name="Currency 4 2 8 3" xfId="1851" xr:uid="{00000000-0005-0000-0000-00009D060000}"/>
    <cellStyle name="Currency 4 2 8 3 2" xfId="7185" xr:uid="{2AF790FB-F1DF-4E7D-9F7E-9E5ED2EA0164}"/>
    <cellStyle name="Currency 4 2 8 4" xfId="7183" xr:uid="{895A4529-B3FE-4932-86FC-C8EFFE052626}"/>
    <cellStyle name="Currency 4 2 9" xfId="1852" xr:uid="{00000000-0005-0000-0000-00009E060000}"/>
    <cellStyle name="Currency 4 2 9 2" xfId="1853" xr:uid="{00000000-0005-0000-0000-00009F060000}"/>
    <cellStyle name="Currency 4 2 9 2 2" xfId="7187" xr:uid="{D24B95B4-7A5E-4ED2-9BB7-3F8EB2D8981F}"/>
    <cellStyle name="Currency 4 2 9 3" xfId="7186" xr:uid="{2D128AC5-9DFA-47F2-84D2-B2137F6EC6E5}"/>
    <cellStyle name="Currency 4 3" xfId="95" xr:uid="{00000000-0005-0000-0000-0000A0060000}"/>
    <cellStyle name="Currency 4 3 10" xfId="1854" xr:uid="{00000000-0005-0000-0000-0000A1060000}"/>
    <cellStyle name="Currency 4 3 10 2" xfId="7188" xr:uid="{CE43202B-8A0B-47CC-B4EC-54ADCD89FC19}"/>
    <cellStyle name="Currency 4 3 11" xfId="5430" xr:uid="{AD758227-9BBA-476C-ACF6-4C5FABF5F4ED}"/>
    <cellStyle name="Currency 4 3 2" xfId="96" xr:uid="{00000000-0005-0000-0000-0000A2060000}"/>
    <cellStyle name="Currency 4 3 2 10" xfId="5431" xr:uid="{1867D945-081E-48B8-8215-D1D6926B1EE1}"/>
    <cellStyle name="Currency 4 3 2 2" xfId="97" xr:uid="{00000000-0005-0000-0000-0000A3060000}"/>
    <cellStyle name="Currency 4 3 2 2 2" xfId="1855" xr:uid="{00000000-0005-0000-0000-0000A4060000}"/>
    <cellStyle name="Currency 4 3 2 2 2 2" xfId="1856" xr:uid="{00000000-0005-0000-0000-0000A5060000}"/>
    <cellStyle name="Currency 4 3 2 2 2 2 2" xfId="1857" xr:uid="{00000000-0005-0000-0000-0000A6060000}"/>
    <cellStyle name="Currency 4 3 2 2 2 2 2 2" xfId="7191" xr:uid="{AF5277C9-7D36-4018-AB72-4C71065AE843}"/>
    <cellStyle name="Currency 4 3 2 2 2 2 3" xfId="1858" xr:uid="{00000000-0005-0000-0000-0000A7060000}"/>
    <cellStyle name="Currency 4 3 2 2 2 2 3 2" xfId="7192" xr:uid="{4E922390-C403-4202-BB26-68F7840967EB}"/>
    <cellStyle name="Currency 4 3 2 2 2 2 4" xfId="7190" xr:uid="{EB342E3E-A3C2-4D7F-9A81-010F46529AEB}"/>
    <cellStyle name="Currency 4 3 2 2 2 3" xfId="1859" xr:uid="{00000000-0005-0000-0000-0000A8060000}"/>
    <cellStyle name="Currency 4 3 2 2 2 3 2" xfId="7193" xr:uid="{29494651-B16B-4724-BAC5-AC8A4A245E3B}"/>
    <cellStyle name="Currency 4 3 2 2 2 4" xfId="1860" xr:uid="{00000000-0005-0000-0000-0000A9060000}"/>
    <cellStyle name="Currency 4 3 2 2 2 4 2" xfId="7194" xr:uid="{169F5152-5DFC-4F15-B89F-0C90095075B4}"/>
    <cellStyle name="Currency 4 3 2 2 2 5" xfId="7189" xr:uid="{5F775B53-A83B-48CC-89A8-76A5F4575F0F}"/>
    <cellStyle name="Currency 4 3 2 2 3" xfId="1861" xr:uid="{00000000-0005-0000-0000-0000AA060000}"/>
    <cellStyle name="Currency 4 3 2 2 3 2" xfId="1862" xr:uid="{00000000-0005-0000-0000-0000AB060000}"/>
    <cellStyle name="Currency 4 3 2 2 3 2 2" xfId="1863" xr:uid="{00000000-0005-0000-0000-0000AC060000}"/>
    <cellStyle name="Currency 4 3 2 2 3 2 2 2" xfId="7197" xr:uid="{650C8629-34EA-4390-A522-042DF4DC0543}"/>
    <cellStyle name="Currency 4 3 2 2 3 2 3" xfId="7196" xr:uid="{C842B367-1B9E-4DBF-B5FF-8314217DEF44}"/>
    <cellStyle name="Currency 4 3 2 2 3 3" xfId="1864" xr:uid="{00000000-0005-0000-0000-0000AD060000}"/>
    <cellStyle name="Currency 4 3 2 2 3 3 2" xfId="7198" xr:uid="{B2B09FB5-4139-4167-8DA5-4F18CB617569}"/>
    <cellStyle name="Currency 4 3 2 2 3 4" xfId="1865" xr:uid="{00000000-0005-0000-0000-0000AE060000}"/>
    <cellStyle name="Currency 4 3 2 2 3 4 2" xfId="7199" xr:uid="{53E8E4F4-E60D-458D-A0AE-A1250FFA6752}"/>
    <cellStyle name="Currency 4 3 2 2 3 5" xfId="7195" xr:uid="{27A4C5EB-98AD-42C5-B8BE-B21F87FA188F}"/>
    <cellStyle name="Currency 4 3 2 2 4" xfId="1866" xr:uid="{00000000-0005-0000-0000-0000AF060000}"/>
    <cellStyle name="Currency 4 3 2 2 4 2" xfId="1867" xr:uid="{00000000-0005-0000-0000-0000B0060000}"/>
    <cellStyle name="Currency 4 3 2 2 4 2 2" xfId="7201" xr:uid="{7F788C9B-BF0C-4C9B-8478-267FA8FA9103}"/>
    <cellStyle name="Currency 4 3 2 2 4 3" xfId="7200" xr:uid="{8476F212-9358-4149-B1D9-9E6D111DE644}"/>
    <cellStyle name="Currency 4 3 2 2 5" xfId="1868" xr:uid="{00000000-0005-0000-0000-0000B1060000}"/>
    <cellStyle name="Currency 4 3 2 2 5 2" xfId="1869" xr:uid="{00000000-0005-0000-0000-0000B2060000}"/>
    <cellStyle name="Currency 4 3 2 2 5 2 2" xfId="7203" xr:uid="{CB7CC906-937F-4C4B-A34F-30761BF6B125}"/>
    <cellStyle name="Currency 4 3 2 2 5 3" xfId="7202" xr:uid="{88E97D52-635B-4D12-91D9-FBE5CE50F268}"/>
    <cellStyle name="Currency 4 3 2 2 6" xfId="1870" xr:uid="{00000000-0005-0000-0000-0000B3060000}"/>
    <cellStyle name="Currency 4 3 2 2 6 2" xfId="1871" xr:uid="{00000000-0005-0000-0000-0000B4060000}"/>
    <cellStyle name="Currency 4 3 2 2 6 2 2" xfId="7205" xr:uid="{BCDF7E3F-4357-4409-8406-35F55600FD08}"/>
    <cellStyle name="Currency 4 3 2 2 6 3" xfId="7204" xr:uid="{72508257-DB7C-469D-B654-595F4B3C5077}"/>
    <cellStyle name="Currency 4 3 2 2 7" xfId="1872" xr:uid="{00000000-0005-0000-0000-0000B5060000}"/>
    <cellStyle name="Currency 4 3 2 2 7 2" xfId="7206" xr:uid="{CC4090E4-7136-4F2C-A711-4CD2E6C42EB6}"/>
    <cellStyle name="Currency 4 3 2 2 8" xfId="1873" xr:uid="{00000000-0005-0000-0000-0000B6060000}"/>
    <cellStyle name="Currency 4 3 2 2 8 2" xfId="7207" xr:uid="{2E4686DA-44B3-4A7F-9322-EC8C715FC71D}"/>
    <cellStyle name="Currency 4 3 2 2 9" xfId="5432" xr:uid="{162BE1FA-DC20-4FB5-ADFC-A4241778F87C}"/>
    <cellStyle name="Currency 4 3 2 3" xfId="1874" xr:uid="{00000000-0005-0000-0000-0000B7060000}"/>
    <cellStyle name="Currency 4 3 2 3 2" xfId="1875" xr:uid="{00000000-0005-0000-0000-0000B8060000}"/>
    <cellStyle name="Currency 4 3 2 3 2 2" xfId="1876" xr:uid="{00000000-0005-0000-0000-0000B9060000}"/>
    <cellStyle name="Currency 4 3 2 3 2 2 2" xfId="7210" xr:uid="{4CA723DA-0223-4188-804A-6F2396E64859}"/>
    <cellStyle name="Currency 4 3 2 3 2 3" xfId="1877" xr:uid="{00000000-0005-0000-0000-0000BA060000}"/>
    <cellStyle name="Currency 4 3 2 3 2 3 2" xfId="7211" xr:uid="{72C12EFD-C214-4729-866E-F23DD2FC3150}"/>
    <cellStyle name="Currency 4 3 2 3 2 4" xfId="7209" xr:uid="{62B0C04C-6985-439D-9D99-8B345B53B399}"/>
    <cellStyle name="Currency 4 3 2 3 3" xfId="1878" xr:uid="{00000000-0005-0000-0000-0000BB060000}"/>
    <cellStyle name="Currency 4 3 2 3 3 2" xfId="7212" xr:uid="{AB3C8B43-3FF2-436D-A28B-CCD76FBA2C68}"/>
    <cellStyle name="Currency 4 3 2 3 4" xfId="1879" xr:uid="{00000000-0005-0000-0000-0000BC060000}"/>
    <cellStyle name="Currency 4 3 2 3 4 2" xfId="7213" xr:uid="{1B1CE4D5-D012-4287-815D-400B1CBDC771}"/>
    <cellStyle name="Currency 4 3 2 3 5" xfId="7208" xr:uid="{689182B8-D62B-4D46-BE9D-4CB6800035C1}"/>
    <cellStyle name="Currency 4 3 2 4" xfId="1880" xr:uid="{00000000-0005-0000-0000-0000BD060000}"/>
    <cellStyle name="Currency 4 3 2 4 2" xfId="1881" xr:uid="{00000000-0005-0000-0000-0000BE060000}"/>
    <cellStyle name="Currency 4 3 2 4 2 2" xfId="1882" xr:uid="{00000000-0005-0000-0000-0000BF060000}"/>
    <cellStyle name="Currency 4 3 2 4 2 2 2" xfId="7216" xr:uid="{5CBF7147-9292-499B-B03B-A44B857CF768}"/>
    <cellStyle name="Currency 4 3 2 4 2 3" xfId="7215" xr:uid="{B9A63E99-40AC-43D1-80FF-D1BC7DD96C26}"/>
    <cellStyle name="Currency 4 3 2 4 3" xfId="1883" xr:uid="{00000000-0005-0000-0000-0000C0060000}"/>
    <cellStyle name="Currency 4 3 2 4 3 2" xfId="7217" xr:uid="{C27360E5-5B87-4710-A1E8-7EB5A8879B5E}"/>
    <cellStyle name="Currency 4 3 2 4 4" xfId="1884" xr:uid="{00000000-0005-0000-0000-0000C1060000}"/>
    <cellStyle name="Currency 4 3 2 4 4 2" xfId="7218" xr:uid="{4B03D387-0234-4231-9DA0-130132D5D1CB}"/>
    <cellStyle name="Currency 4 3 2 4 5" xfId="7214" xr:uid="{A47698E3-2D7B-400F-A5B3-BFB8C2C261BD}"/>
    <cellStyle name="Currency 4 3 2 5" xfId="1885" xr:uid="{00000000-0005-0000-0000-0000C2060000}"/>
    <cellStyle name="Currency 4 3 2 5 2" xfId="1886" xr:uid="{00000000-0005-0000-0000-0000C3060000}"/>
    <cellStyle name="Currency 4 3 2 5 2 2" xfId="7220" xr:uid="{1A8D7DE4-D5DC-48DC-B9ED-34EB911572BE}"/>
    <cellStyle name="Currency 4 3 2 5 3" xfId="7219" xr:uid="{E19657DB-1083-4446-AECF-7A3E790BA91A}"/>
    <cellStyle name="Currency 4 3 2 6" xfId="1887" xr:uid="{00000000-0005-0000-0000-0000C4060000}"/>
    <cellStyle name="Currency 4 3 2 6 2" xfId="1888" xr:uid="{00000000-0005-0000-0000-0000C5060000}"/>
    <cellStyle name="Currency 4 3 2 6 2 2" xfId="7222" xr:uid="{AE421431-F57A-44EB-B8E4-B28ACA37CC61}"/>
    <cellStyle name="Currency 4 3 2 6 3" xfId="7221" xr:uid="{5D6CDBE1-F763-4FB1-9778-0932F9CFD1BE}"/>
    <cellStyle name="Currency 4 3 2 7" xfId="1889" xr:uid="{00000000-0005-0000-0000-0000C6060000}"/>
    <cellStyle name="Currency 4 3 2 7 2" xfId="1890" xr:uid="{00000000-0005-0000-0000-0000C7060000}"/>
    <cellStyle name="Currency 4 3 2 7 2 2" xfId="7224" xr:uid="{11C10AF0-E2B5-49F7-89C2-271885AA7CA5}"/>
    <cellStyle name="Currency 4 3 2 7 3" xfId="7223" xr:uid="{B6C71DBB-86B5-4831-A80C-C7F3E3D7C855}"/>
    <cellStyle name="Currency 4 3 2 8" xfId="1891" xr:uid="{00000000-0005-0000-0000-0000C8060000}"/>
    <cellStyle name="Currency 4 3 2 8 2" xfId="7225" xr:uid="{0220B26E-3D09-4BA2-A4C8-8D59F47D452E}"/>
    <cellStyle name="Currency 4 3 2 9" xfId="1892" xr:uid="{00000000-0005-0000-0000-0000C9060000}"/>
    <cellStyle name="Currency 4 3 2 9 2" xfId="7226" xr:uid="{C8202F37-60F5-4D94-A75B-319C16534BA8}"/>
    <cellStyle name="Currency 4 3 3" xfId="98" xr:uid="{00000000-0005-0000-0000-0000CA060000}"/>
    <cellStyle name="Currency 4 3 3 2" xfId="1893" xr:uid="{00000000-0005-0000-0000-0000CB060000}"/>
    <cellStyle name="Currency 4 3 3 2 2" xfId="1894" xr:uid="{00000000-0005-0000-0000-0000CC060000}"/>
    <cellStyle name="Currency 4 3 3 2 2 2" xfId="1895" xr:uid="{00000000-0005-0000-0000-0000CD060000}"/>
    <cellStyle name="Currency 4 3 3 2 2 2 2" xfId="7229" xr:uid="{4FD60ABD-7E64-4023-8CB8-A2A4DE4E7C47}"/>
    <cellStyle name="Currency 4 3 3 2 2 3" xfId="1896" xr:uid="{00000000-0005-0000-0000-0000CE060000}"/>
    <cellStyle name="Currency 4 3 3 2 2 3 2" xfId="7230" xr:uid="{3999A187-5EDF-4AB1-8D77-02986E4E60FA}"/>
    <cellStyle name="Currency 4 3 3 2 2 4" xfId="7228" xr:uid="{97638C1F-C171-48DE-8327-92AE76694614}"/>
    <cellStyle name="Currency 4 3 3 2 3" xfId="1897" xr:uid="{00000000-0005-0000-0000-0000CF060000}"/>
    <cellStyle name="Currency 4 3 3 2 3 2" xfId="7231" xr:uid="{4C7DD58B-00C4-43BE-A004-24CB6C2D39F5}"/>
    <cellStyle name="Currency 4 3 3 2 4" xfId="1898" xr:uid="{00000000-0005-0000-0000-0000D0060000}"/>
    <cellStyle name="Currency 4 3 3 2 4 2" xfId="7232" xr:uid="{42557659-0BBD-4C75-966A-AD12A6A5604D}"/>
    <cellStyle name="Currency 4 3 3 2 5" xfId="7227" xr:uid="{0757CEDE-A693-4252-84EB-B37EE40215EA}"/>
    <cellStyle name="Currency 4 3 3 3" xfId="1899" xr:uid="{00000000-0005-0000-0000-0000D1060000}"/>
    <cellStyle name="Currency 4 3 3 3 2" xfId="1900" xr:uid="{00000000-0005-0000-0000-0000D2060000}"/>
    <cellStyle name="Currency 4 3 3 3 2 2" xfId="1901" xr:uid="{00000000-0005-0000-0000-0000D3060000}"/>
    <cellStyle name="Currency 4 3 3 3 2 2 2" xfId="7235" xr:uid="{B09E0B09-3E75-4EBC-8563-0DDA92EE2E7D}"/>
    <cellStyle name="Currency 4 3 3 3 2 3" xfId="7234" xr:uid="{A9991532-7D48-43BC-A3B4-1F6362E01FDC}"/>
    <cellStyle name="Currency 4 3 3 3 3" xfId="1902" xr:uid="{00000000-0005-0000-0000-0000D4060000}"/>
    <cellStyle name="Currency 4 3 3 3 3 2" xfId="7236" xr:uid="{5B987669-F902-4FBF-9464-1280F4B68688}"/>
    <cellStyle name="Currency 4 3 3 3 4" xfId="1903" xr:uid="{00000000-0005-0000-0000-0000D5060000}"/>
    <cellStyle name="Currency 4 3 3 3 4 2" xfId="7237" xr:uid="{AEA951C0-6E8D-4E5C-B44A-DF7C11CF1423}"/>
    <cellStyle name="Currency 4 3 3 3 5" xfId="7233" xr:uid="{E7D68CB8-6EBF-4961-8994-98BDD540E13A}"/>
    <cellStyle name="Currency 4 3 3 4" xfId="1904" xr:uid="{00000000-0005-0000-0000-0000D6060000}"/>
    <cellStyle name="Currency 4 3 3 4 2" xfId="1905" xr:uid="{00000000-0005-0000-0000-0000D7060000}"/>
    <cellStyle name="Currency 4 3 3 4 2 2" xfId="7239" xr:uid="{3862851C-F970-4DDA-ACDE-BA7C0FAAC5C0}"/>
    <cellStyle name="Currency 4 3 3 4 3" xfId="7238" xr:uid="{B303D187-3A3C-4D0B-9EC7-066CDDB9E37B}"/>
    <cellStyle name="Currency 4 3 3 5" xfId="1906" xr:uid="{00000000-0005-0000-0000-0000D8060000}"/>
    <cellStyle name="Currency 4 3 3 5 2" xfId="1907" xr:uid="{00000000-0005-0000-0000-0000D9060000}"/>
    <cellStyle name="Currency 4 3 3 5 2 2" xfId="7241" xr:uid="{B88D72AC-29AA-4EA6-9857-5D6DCBBF237C}"/>
    <cellStyle name="Currency 4 3 3 5 3" xfId="7240" xr:uid="{96F5539F-F622-4F9D-AD02-4A52B6447888}"/>
    <cellStyle name="Currency 4 3 3 6" xfId="1908" xr:uid="{00000000-0005-0000-0000-0000DA060000}"/>
    <cellStyle name="Currency 4 3 3 6 2" xfId="1909" xr:uid="{00000000-0005-0000-0000-0000DB060000}"/>
    <cellStyle name="Currency 4 3 3 6 2 2" xfId="7243" xr:uid="{E87D8C8E-89B8-4123-9F10-C4012C55FB57}"/>
    <cellStyle name="Currency 4 3 3 6 3" xfId="7242" xr:uid="{8AEA988D-6461-4A8B-B9FB-12A4F6A5D575}"/>
    <cellStyle name="Currency 4 3 3 7" xfId="1910" xr:uid="{00000000-0005-0000-0000-0000DC060000}"/>
    <cellStyle name="Currency 4 3 3 7 2" xfId="7244" xr:uid="{D1C52848-C7EB-4D4A-9263-E8ABA3F31215}"/>
    <cellStyle name="Currency 4 3 3 8" xfId="1911" xr:uid="{00000000-0005-0000-0000-0000DD060000}"/>
    <cellStyle name="Currency 4 3 3 8 2" xfId="7245" xr:uid="{A8B4F337-0211-4A61-99BA-D84B81B6196A}"/>
    <cellStyle name="Currency 4 3 3 9" xfId="5433" xr:uid="{967F88FA-0CEB-413B-8997-FDA8390065F6}"/>
    <cellStyle name="Currency 4 3 4" xfId="1912" xr:uid="{00000000-0005-0000-0000-0000DE060000}"/>
    <cellStyle name="Currency 4 3 4 2" xfId="1913" xr:uid="{00000000-0005-0000-0000-0000DF060000}"/>
    <cellStyle name="Currency 4 3 4 2 2" xfId="1914" xr:uid="{00000000-0005-0000-0000-0000E0060000}"/>
    <cellStyle name="Currency 4 3 4 2 2 2" xfId="7248" xr:uid="{AF4DA3AD-8515-486A-B0E2-F7A3689B674D}"/>
    <cellStyle name="Currency 4 3 4 2 3" xfId="1915" xr:uid="{00000000-0005-0000-0000-0000E1060000}"/>
    <cellStyle name="Currency 4 3 4 2 3 2" xfId="7249" xr:uid="{7F21D4E5-F402-4F5B-9CDA-A5C7C0B8EBE9}"/>
    <cellStyle name="Currency 4 3 4 2 4" xfId="7247" xr:uid="{A71A5A85-4C2C-4147-8D9E-07C1DDE929BA}"/>
    <cellStyle name="Currency 4 3 4 3" xfId="1916" xr:uid="{00000000-0005-0000-0000-0000E2060000}"/>
    <cellStyle name="Currency 4 3 4 3 2" xfId="1917" xr:uid="{00000000-0005-0000-0000-0000E3060000}"/>
    <cellStyle name="Currency 4 3 4 3 2 2" xfId="7251" xr:uid="{24A3E8CB-25B6-4096-A3EC-E343A015D009}"/>
    <cellStyle name="Currency 4 3 4 3 3" xfId="7250" xr:uid="{F3E13BF8-57D9-49C7-A8B9-FE005A1F41D8}"/>
    <cellStyle name="Currency 4 3 4 4" xfId="1918" xr:uid="{00000000-0005-0000-0000-0000E4060000}"/>
    <cellStyle name="Currency 4 3 4 4 2" xfId="7252" xr:uid="{B1AD172B-2A9C-4F70-A86E-41DB6819A854}"/>
    <cellStyle name="Currency 4 3 4 5" xfId="7246" xr:uid="{AD71AF8D-7DBE-4C7E-AB81-A9F7487A5F2A}"/>
    <cellStyle name="Currency 4 3 5" xfId="1919" xr:uid="{00000000-0005-0000-0000-0000E5060000}"/>
    <cellStyle name="Currency 4 3 5 2" xfId="1920" xr:uid="{00000000-0005-0000-0000-0000E6060000}"/>
    <cellStyle name="Currency 4 3 5 2 2" xfId="1921" xr:uid="{00000000-0005-0000-0000-0000E7060000}"/>
    <cellStyle name="Currency 4 3 5 2 2 2" xfId="7255" xr:uid="{10D2CFB6-6B31-4272-A157-26EF00B451A2}"/>
    <cellStyle name="Currency 4 3 5 2 3" xfId="7254" xr:uid="{DF06B158-BBAE-4ACB-A6F9-0468BFFE0C94}"/>
    <cellStyle name="Currency 4 3 5 3" xfId="1922" xr:uid="{00000000-0005-0000-0000-0000E8060000}"/>
    <cellStyle name="Currency 4 3 5 3 2" xfId="7256" xr:uid="{ACD3F066-9CCC-45DE-8FFE-553EB10A7E80}"/>
    <cellStyle name="Currency 4 3 5 4" xfId="1923" xr:uid="{00000000-0005-0000-0000-0000E9060000}"/>
    <cellStyle name="Currency 4 3 5 4 2" xfId="7257" xr:uid="{94099C19-9118-4C40-BC03-6EE276A02C91}"/>
    <cellStyle name="Currency 4 3 5 5" xfId="7253" xr:uid="{E3596BBA-C6C5-43EA-A2E1-18D24EECC7B3}"/>
    <cellStyle name="Currency 4 3 6" xfId="1924" xr:uid="{00000000-0005-0000-0000-0000EA060000}"/>
    <cellStyle name="Currency 4 3 6 2" xfId="1925" xr:uid="{00000000-0005-0000-0000-0000EB060000}"/>
    <cellStyle name="Currency 4 3 6 2 2" xfId="7259" xr:uid="{401B3783-2E3F-4579-AC1D-00BEA4BD5F23}"/>
    <cellStyle name="Currency 4 3 6 3" xfId="1926" xr:uid="{00000000-0005-0000-0000-0000EC060000}"/>
    <cellStyle name="Currency 4 3 6 3 2" xfId="7260" xr:uid="{E348D258-A3F2-4E95-83C6-84F328762D45}"/>
    <cellStyle name="Currency 4 3 6 4" xfId="7258" xr:uid="{7980F83A-6D92-4CEB-AAD2-B2A6E71173D3}"/>
    <cellStyle name="Currency 4 3 7" xfId="1927" xr:uid="{00000000-0005-0000-0000-0000ED060000}"/>
    <cellStyle name="Currency 4 3 7 2" xfId="1928" xr:uid="{00000000-0005-0000-0000-0000EE060000}"/>
    <cellStyle name="Currency 4 3 7 2 2" xfId="7262" xr:uid="{B2F93D4A-0424-43BA-9601-FD8548DD6762}"/>
    <cellStyle name="Currency 4 3 7 3" xfId="7261" xr:uid="{A8C8A77F-7833-4528-861D-47665ABBA5D5}"/>
    <cellStyle name="Currency 4 3 8" xfId="1929" xr:uid="{00000000-0005-0000-0000-0000EF060000}"/>
    <cellStyle name="Currency 4 3 8 2" xfId="1930" xr:uid="{00000000-0005-0000-0000-0000F0060000}"/>
    <cellStyle name="Currency 4 3 8 2 2" xfId="7264" xr:uid="{400C9E10-93BC-4DC8-8D2D-22F97800EE2F}"/>
    <cellStyle name="Currency 4 3 8 3" xfId="7263" xr:uid="{B02D168A-A01C-49EF-8D52-8B6A1802567C}"/>
    <cellStyle name="Currency 4 3 9" xfId="1931" xr:uid="{00000000-0005-0000-0000-0000F1060000}"/>
    <cellStyle name="Currency 4 3 9 2" xfId="7265" xr:uid="{00149257-63AC-4F6C-9168-52FD7DBB92C7}"/>
    <cellStyle name="Currency 4 4" xfId="99" xr:uid="{00000000-0005-0000-0000-0000F2060000}"/>
    <cellStyle name="Currency 4 4 10" xfId="5434" xr:uid="{5E55D1CC-07AD-4EB7-9A9D-7249FFDF445B}"/>
    <cellStyle name="Currency 4 4 2" xfId="100" xr:uid="{00000000-0005-0000-0000-0000F3060000}"/>
    <cellStyle name="Currency 4 4 2 2" xfId="1932" xr:uid="{00000000-0005-0000-0000-0000F4060000}"/>
    <cellStyle name="Currency 4 4 2 2 2" xfId="1933" xr:uid="{00000000-0005-0000-0000-0000F5060000}"/>
    <cellStyle name="Currency 4 4 2 2 2 2" xfId="1934" xr:uid="{00000000-0005-0000-0000-0000F6060000}"/>
    <cellStyle name="Currency 4 4 2 2 2 2 2" xfId="7268" xr:uid="{C117CCCB-6824-4507-A375-42A7DB09B5FA}"/>
    <cellStyle name="Currency 4 4 2 2 2 3" xfId="1935" xr:uid="{00000000-0005-0000-0000-0000F7060000}"/>
    <cellStyle name="Currency 4 4 2 2 2 3 2" xfId="7269" xr:uid="{467A0A24-07ED-41E9-9D8C-5E9BD8D5D708}"/>
    <cellStyle name="Currency 4 4 2 2 2 4" xfId="7267" xr:uid="{AF55B6EB-1A7E-49BC-B3FB-8A6D0F1ACA66}"/>
    <cellStyle name="Currency 4 4 2 2 3" xfId="1936" xr:uid="{00000000-0005-0000-0000-0000F8060000}"/>
    <cellStyle name="Currency 4 4 2 2 3 2" xfId="7270" xr:uid="{5C65F852-0F85-47A2-8989-AA80812A9061}"/>
    <cellStyle name="Currency 4 4 2 2 4" xfId="1937" xr:uid="{00000000-0005-0000-0000-0000F9060000}"/>
    <cellStyle name="Currency 4 4 2 2 4 2" xfId="7271" xr:uid="{9034077F-37C1-48D8-A6E6-0442F6ADCC0A}"/>
    <cellStyle name="Currency 4 4 2 2 5" xfId="7266" xr:uid="{700B9669-2611-40DE-A233-D8F797234141}"/>
    <cellStyle name="Currency 4 4 2 3" xfId="1938" xr:uid="{00000000-0005-0000-0000-0000FA060000}"/>
    <cellStyle name="Currency 4 4 2 3 2" xfId="1939" xr:uid="{00000000-0005-0000-0000-0000FB060000}"/>
    <cellStyle name="Currency 4 4 2 3 2 2" xfId="1940" xr:uid="{00000000-0005-0000-0000-0000FC060000}"/>
    <cellStyle name="Currency 4 4 2 3 2 2 2" xfId="7274" xr:uid="{8621F4B4-F1E4-452D-AAC7-40DF816043E1}"/>
    <cellStyle name="Currency 4 4 2 3 2 3" xfId="7273" xr:uid="{7CE6256C-25F0-40F4-9E35-764F9E21D337}"/>
    <cellStyle name="Currency 4 4 2 3 3" xfId="1941" xr:uid="{00000000-0005-0000-0000-0000FD060000}"/>
    <cellStyle name="Currency 4 4 2 3 3 2" xfId="7275" xr:uid="{47AB731C-ABA4-4310-8535-52E1330A70EE}"/>
    <cellStyle name="Currency 4 4 2 3 4" xfId="1942" xr:uid="{00000000-0005-0000-0000-0000FE060000}"/>
    <cellStyle name="Currency 4 4 2 3 4 2" xfId="7276" xr:uid="{AF74F82B-F4A7-48C8-9361-DF7876BFB9C2}"/>
    <cellStyle name="Currency 4 4 2 3 5" xfId="7272" xr:uid="{80808D34-57A8-4E50-9FFE-22062E354204}"/>
    <cellStyle name="Currency 4 4 2 4" xfId="1943" xr:uid="{00000000-0005-0000-0000-0000FF060000}"/>
    <cellStyle name="Currency 4 4 2 4 2" xfId="1944" xr:uid="{00000000-0005-0000-0000-000000070000}"/>
    <cellStyle name="Currency 4 4 2 4 2 2" xfId="7278" xr:uid="{7FC846F4-A41B-4F9C-BA35-CF8F1711DE63}"/>
    <cellStyle name="Currency 4 4 2 4 3" xfId="7277" xr:uid="{79D94523-5AD5-4C6B-A6BB-D7E47E1DCFDA}"/>
    <cellStyle name="Currency 4 4 2 5" xfId="1945" xr:uid="{00000000-0005-0000-0000-000001070000}"/>
    <cellStyle name="Currency 4 4 2 5 2" xfId="1946" xr:uid="{00000000-0005-0000-0000-000002070000}"/>
    <cellStyle name="Currency 4 4 2 5 2 2" xfId="7280" xr:uid="{933E7EB3-2F3E-4CA2-8ACD-49DDDF6B74D7}"/>
    <cellStyle name="Currency 4 4 2 5 3" xfId="7279" xr:uid="{4E914A76-5152-424D-A65C-F90AC337B1CE}"/>
    <cellStyle name="Currency 4 4 2 6" xfId="1947" xr:uid="{00000000-0005-0000-0000-000003070000}"/>
    <cellStyle name="Currency 4 4 2 6 2" xfId="1948" xr:uid="{00000000-0005-0000-0000-000004070000}"/>
    <cellStyle name="Currency 4 4 2 6 2 2" xfId="7282" xr:uid="{FBD01BB0-8571-4EA1-B5B7-AB363C55D853}"/>
    <cellStyle name="Currency 4 4 2 6 3" xfId="7281" xr:uid="{A83DECEA-C28E-4330-84CC-5B00B0DE2FA6}"/>
    <cellStyle name="Currency 4 4 2 7" xfId="1949" xr:uid="{00000000-0005-0000-0000-000005070000}"/>
    <cellStyle name="Currency 4 4 2 7 2" xfId="7283" xr:uid="{8A4E5F2D-3BCC-43D4-9ECF-20FEA333780B}"/>
    <cellStyle name="Currency 4 4 2 8" xfId="1950" xr:uid="{00000000-0005-0000-0000-000006070000}"/>
    <cellStyle name="Currency 4 4 2 8 2" xfId="7284" xr:uid="{16EF0EA0-963B-43CA-97B7-74652A3534BE}"/>
    <cellStyle name="Currency 4 4 2 9" xfId="5435" xr:uid="{E02D947A-AF98-43FE-AD93-B8F34C096AA7}"/>
    <cellStyle name="Currency 4 4 3" xfId="1951" xr:uid="{00000000-0005-0000-0000-000007070000}"/>
    <cellStyle name="Currency 4 4 3 2" xfId="1952" xr:uid="{00000000-0005-0000-0000-000008070000}"/>
    <cellStyle name="Currency 4 4 3 2 2" xfId="1953" xr:uid="{00000000-0005-0000-0000-000009070000}"/>
    <cellStyle name="Currency 4 4 3 2 2 2" xfId="7287" xr:uid="{FA07EC85-BFB7-4D92-AC81-EDF0CDE64061}"/>
    <cellStyle name="Currency 4 4 3 2 3" xfId="1954" xr:uid="{00000000-0005-0000-0000-00000A070000}"/>
    <cellStyle name="Currency 4 4 3 2 3 2" xfId="7288" xr:uid="{4A898597-696B-4216-B6E5-D1068807AD92}"/>
    <cellStyle name="Currency 4 4 3 2 4" xfId="7286" xr:uid="{020A8141-C2E6-4AFA-977F-B11E9BE31B76}"/>
    <cellStyle name="Currency 4 4 3 3" xfId="1955" xr:uid="{00000000-0005-0000-0000-00000B070000}"/>
    <cellStyle name="Currency 4 4 3 3 2" xfId="7289" xr:uid="{421B80AF-47AD-48B8-858A-EF7A54D00961}"/>
    <cellStyle name="Currency 4 4 3 4" xfId="1956" xr:uid="{00000000-0005-0000-0000-00000C070000}"/>
    <cellStyle name="Currency 4 4 3 4 2" xfId="7290" xr:uid="{E85B19A4-50B4-4B9E-8BA1-97DFFAFB1D71}"/>
    <cellStyle name="Currency 4 4 3 5" xfId="7285" xr:uid="{72E9F99F-2786-44CA-8D15-722F5BFF1CEB}"/>
    <cellStyle name="Currency 4 4 4" xfId="1957" xr:uid="{00000000-0005-0000-0000-00000D070000}"/>
    <cellStyle name="Currency 4 4 4 2" xfId="1958" xr:uid="{00000000-0005-0000-0000-00000E070000}"/>
    <cellStyle name="Currency 4 4 4 2 2" xfId="1959" xr:uid="{00000000-0005-0000-0000-00000F070000}"/>
    <cellStyle name="Currency 4 4 4 2 2 2" xfId="7293" xr:uid="{A5460A37-5065-4DF6-A3D2-8326951EBA80}"/>
    <cellStyle name="Currency 4 4 4 2 3" xfId="7292" xr:uid="{1B1168DE-36B4-4ABD-B319-6BE5D111F443}"/>
    <cellStyle name="Currency 4 4 4 3" xfId="1960" xr:uid="{00000000-0005-0000-0000-000010070000}"/>
    <cellStyle name="Currency 4 4 4 3 2" xfId="7294" xr:uid="{ABC3BBD4-9414-4144-89E5-F46D5B397CD2}"/>
    <cellStyle name="Currency 4 4 4 4" xfId="1961" xr:uid="{00000000-0005-0000-0000-000011070000}"/>
    <cellStyle name="Currency 4 4 4 4 2" xfId="7295" xr:uid="{2879E442-916F-49B5-97AC-8F650DC61B51}"/>
    <cellStyle name="Currency 4 4 4 5" xfId="7291" xr:uid="{7E6214B4-3761-4CD7-911F-647B15198393}"/>
    <cellStyle name="Currency 4 4 5" xfId="1962" xr:uid="{00000000-0005-0000-0000-000012070000}"/>
    <cellStyle name="Currency 4 4 5 2" xfId="1963" xr:uid="{00000000-0005-0000-0000-000013070000}"/>
    <cellStyle name="Currency 4 4 5 2 2" xfId="7297" xr:uid="{2583DEF2-8A64-4935-836F-EFBA9BB67A53}"/>
    <cellStyle name="Currency 4 4 5 3" xfId="7296" xr:uid="{76522C13-E58F-4018-B07D-8D463922EFBB}"/>
    <cellStyle name="Currency 4 4 6" xfId="1964" xr:uid="{00000000-0005-0000-0000-000014070000}"/>
    <cellStyle name="Currency 4 4 6 2" xfId="1965" xr:uid="{00000000-0005-0000-0000-000015070000}"/>
    <cellStyle name="Currency 4 4 6 2 2" xfId="7299" xr:uid="{5CBDD466-275C-4DD4-8D16-35B472898E1B}"/>
    <cellStyle name="Currency 4 4 6 3" xfId="7298" xr:uid="{B1119942-37CF-4CE8-A2F9-9F039F9083D2}"/>
    <cellStyle name="Currency 4 4 7" xfId="1966" xr:uid="{00000000-0005-0000-0000-000016070000}"/>
    <cellStyle name="Currency 4 4 7 2" xfId="1967" xr:uid="{00000000-0005-0000-0000-000017070000}"/>
    <cellStyle name="Currency 4 4 7 2 2" xfId="7301" xr:uid="{62B845B1-8767-4C4D-AF7E-961A18A1BA9E}"/>
    <cellStyle name="Currency 4 4 7 3" xfId="7300" xr:uid="{F72C2715-5F6E-4040-9F97-FF36C634BF8F}"/>
    <cellStyle name="Currency 4 4 8" xfId="1968" xr:uid="{00000000-0005-0000-0000-000018070000}"/>
    <cellStyle name="Currency 4 4 8 2" xfId="7302" xr:uid="{6F88FCA6-7448-418D-95E5-8DA66B88C118}"/>
    <cellStyle name="Currency 4 4 9" xfId="1969" xr:uid="{00000000-0005-0000-0000-000019070000}"/>
    <cellStyle name="Currency 4 4 9 2" xfId="7303" xr:uid="{79FCA077-ED12-4ED8-88BF-723AD1397EFE}"/>
    <cellStyle name="Currency 4 5" xfId="101" xr:uid="{00000000-0005-0000-0000-00001A070000}"/>
    <cellStyle name="Currency 4 5 10" xfId="5436" xr:uid="{0EB259AA-A114-47D6-8C01-75F60C362F00}"/>
    <cellStyle name="Currency 4 5 2" xfId="1970" xr:uid="{00000000-0005-0000-0000-00001B070000}"/>
    <cellStyle name="Currency 4 5 2 2" xfId="1971" xr:uid="{00000000-0005-0000-0000-00001C070000}"/>
    <cellStyle name="Currency 4 5 2 2 2" xfId="1972" xr:uid="{00000000-0005-0000-0000-00001D070000}"/>
    <cellStyle name="Currency 4 5 2 2 2 2" xfId="1973" xr:uid="{00000000-0005-0000-0000-00001E070000}"/>
    <cellStyle name="Currency 4 5 2 2 2 2 2" xfId="7307" xr:uid="{9A3962B0-29A9-41BA-96D4-5296ADD4CA76}"/>
    <cellStyle name="Currency 4 5 2 2 2 3" xfId="1974" xr:uid="{00000000-0005-0000-0000-00001F070000}"/>
    <cellStyle name="Currency 4 5 2 2 2 3 2" xfId="7308" xr:uid="{4C04F295-55C7-4C70-84DE-78D42A558105}"/>
    <cellStyle name="Currency 4 5 2 2 2 4" xfId="7306" xr:uid="{1913C5C6-E20D-4E3D-962D-333492B78836}"/>
    <cellStyle name="Currency 4 5 2 2 3" xfId="1975" xr:uid="{00000000-0005-0000-0000-000020070000}"/>
    <cellStyle name="Currency 4 5 2 2 3 2" xfId="7309" xr:uid="{3F5EA4BA-BE47-49CB-837A-2500A72F63F2}"/>
    <cellStyle name="Currency 4 5 2 2 4" xfId="1976" xr:uid="{00000000-0005-0000-0000-000021070000}"/>
    <cellStyle name="Currency 4 5 2 2 4 2" xfId="7310" xr:uid="{3FBB529F-1175-42B1-AFF9-E4B0A43BBD86}"/>
    <cellStyle name="Currency 4 5 2 2 5" xfId="7305" xr:uid="{1DC1D31B-460B-4EBE-98D1-04CF226CCF2C}"/>
    <cellStyle name="Currency 4 5 2 3" xfId="1977" xr:uid="{00000000-0005-0000-0000-000022070000}"/>
    <cellStyle name="Currency 4 5 2 3 2" xfId="1978" xr:uid="{00000000-0005-0000-0000-000023070000}"/>
    <cellStyle name="Currency 4 5 2 3 2 2" xfId="1979" xr:uid="{00000000-0005-0000-0000-000024070000}"/>
    <cellStyle name="Currency 4 5 2 3 2 2 2" xfId="7313" xr:uid="{45806BFB-C86E-4488-91AD-E8B84C00B424}"/>
    <cellStyle name="Currency 4 5 2 3 2 3" xfId="7312" xr:uid="{9FB5B362-81F9-49D6-8B47-C1C03511F8C1}"/>
    <cellStyle name="Currency 4 5 2 3 3" xfId="1980" xr:uid="{00000000-0005-0000-0000-000025070000}"/>
    <cellStyle name="Currency 4 5 2 3 3 2" xfId="7314" xr:uid="{5F142326-27F1-4349-8511-30B6233F3976}"/>
    <cellStyle name="Currency 4 5 2 3 4" xfId="1981" xr:uid="{00000000-0005-0000-0000-000026070000}"/>
    <cellStyle name="Currency 4 5 2 3 4 2" xfId="7315" xr:uid="{FC8BC32B-A3F4-4C46-A98B-D317E52277D0}"/>
    <cellStyle name="Currency 4 5 2 3 5" xfId="7311" xr:uid="{2A2B592A-C499-4BFD-85E1-1BE009B7426B}"/>
    <cellStyle name="Currency 4 5 2 4" xfId="1982" xr:uid="{00000000-0005-0000-0000-000027070000}"/>
    <cellStyle name="Currency 4 5 2 4 2" xfId="1983" xr:uid="{00000000-0005-0000-0000-000028070000}"/>
    <cellStyle name="Currency 4 5 2 4 2 2" xfId="7317" xr:uid="{851CE64E-2941-4416-B26C-3C5D76914F7C}"/>
    <cellStyle name="Currency 4 5 2 4 3" xfId="7316" xr:uid="{AA803BD1-CCC5-4648-A60C-50095696FC81}"/>
    <cellStyle name="Currency 4 5 2 5" xfId="1984" xr:uid="{00000000-0005-0000-0000-000029070000}"/>
    <cellStyle name="Currency 4 5 2 5 2" xfId="7318" xr:uid="{0F956390-B12A-4A14-8524-F5D0B75BC51F}"/>
    <cellStyle name="Currency 4 5 2 6" xfId="1985" xr:uid="{00000000-0005-0000-0000-00002A070000}"/>
    <cellStyle name="Currency 4 5 2 6 2" xfId="7319" xr:uid="{9203FA16-E185-452E-B67B-B6C84FC6094F}"/>
    <cellStyle name="Currency 4 5 2 7" xfId="7304" xr:uid="{B83A3E5F-F080-4B0E-A5EB-2ADB4F8F371C}"/>
    <cellStyle name="Currency 4 5 3" xfId="1986" xr:uid="{00000000-0005-0000-0000-00002B070000}"/>
    <cellStyle name="Currency 4 5 3 2" xfId="1987" xr:uid="{00000000-0005-0000-0000-00002C070000}"/>
    <cellStyle name="Currency 4 5 3 2 2" xfId="1988" xr:uid="{00000000-0005-0000-0000-00002D070000}"/>
    <cellStyle name="Currency 4 5 3 2 2 2" xfId="7322" xr:uid="{8E714EF5-15BD-44FF-8FC5-5591A540CB84}"/>
    <cellStyle name="Currency 4 5 3 2 3" xfId="1989" xr:uid="{00000000-0005-0000-0000-00002E070000}"/>
    <cellStyle name="Currency 4 5 3 2 3 2" xfId="7323" xr:uid="{4D873B73-2B36-4B41-B854-9C8510D28526}"/>
    <cellStyle name="Currency 4 5 3 2 4" xfId="7321" xr:uid="{BD8AC565-BE22-4206-B8AA-C779C8353D3B}"/>
    <cellStyle name="Currency 4 5 3 3" xfId="1990" xr:uid="{00000000-0005-0000-0000-00002F070000}"/>
    <cellStyle name="Currency 4 5 3 3 2" xfId="7324" xr:uid="{E605B1EE-8269-4D23-A21D-FED875A1AB91}"/>
    <cellStyle name="Currency 4 5 3 4" xfId="1991" xr:uid="{00000000-0005-0000-0000-000030070000}"/>
    <cellStyle name="Currency 4 5 3 4 2" xfId="7325" xr:uid="{2A3FA7B0-BE02-472C-8FF2-E8CC0B913FC1}"/>
    <cellStyle name="Currency 4 5 3 5" xfId="7320" xr:uid="{1EE85215-9AC2-4392-8906-BB3AB8A2726A}"/>
    <cellStyle name="Currency 4 5 4" xfId="1992" xr:uid="{00000000-0005-0000-0000-000031070000}"/>
    <cellStyle name="Currency 4 5 4 2" xfId="1993" xr:uid="{00000000-0005-0000-0000-000032070000}"/>
    <cellStyle name="Currency 4 5 4 2 2" xfId="1994" xr:uid="{00000000-0005-0000-0000-000033070000}"/>
    <cellStyle name="Currency 4 5 4 2 2 2" xfId="7328" xr:uid="{FDBC5907-ECF5-4858-B73B-224A56C58697}"/>
    <cellStyle name="Currency 4 5 4 2 3" xfId="7327" xr:uid="{115C2087-06D7-42AC-9E36-175C8AEC0912}"/>
    <cellStyle name="Currency 4 5 4 3" xfId="1995" xr:uid="{00000000-0005-0000-0000-000034070000}"/>
    <cellStyle name="Currency 4 5 4 3 2" xfId="7329" xr:uid="{6644BB11-08B8-42DE-A7D2-64611F854A8A}"/>
    <cellStyle name="Currency 4 5 4 4" xfId="1996" xr:uid="{00000000-0005-0000-0000-000035070000}"/>
    <cellStyle name="Currency 4 5 4 4 2" xfId="7330" xr:uid="{6EFF20E3-783D-4DE5-A466-69EB4D0E90DC}"/>
    <cellStyle name="Currency 4 5 4 5" xfId="7326" xr:uid="{1850E3F6-4F8B-4A14-825B-16106F3F5768}"/>
    <cellStyle name="Currency 4 5 5" xfId="1997" xr:uid="{00000000-0005-0000-0000-000036070000}"/>
    <cellStyle name="Currency 4 5 5 2" xfId="1998" xr:uid="{00000000-0005-0000-0000-000037070000}"/>
    <cellStyle name="Currency 4 5 5 2 2" xfId="7332" xr:uid="{7D7C61FC-16D0-43BC-8D62-3B4FE8D6A2C5}"/>
    <cellStyle name="Currency 4 5 5 3" xfId="7331" xr:uid="{EDDED5C3-3165-4BA3-8BFA-1F1754A2AD21}"/>
    <cellStyle name="Currency 4 5 6" xfId="1999" xr:uid="{00000000-0005-0000-0000-000038070000}"/>
    <cellStyle name="Currency 4 5 6 2" xfId="2000" xr:uid="{00000000-0005-0000-0000-000039070000}"/>
    <cellStyle name="Currency 4 5 6 2 2" xfId="7334" xr:uid="{CF844C57-FA12-4337-BEE9-423B7B00A627}"/>
    <cellStyle name="Currency 4 5 6 3" xfId="7333" xr:uid="{73F19250-79C8-4486-B844-88B9CF6AE96B}"/>
    <cellStyle name="Currency 4 5 7" xfId="2001" xr:uid="{00000000-0005-0000-0000-00003A070000}"/>
    <cellStyle name="Currency 4 5 7 2" xfId="2002" xr:uid="{00000000-0005-0000-0000-00003B070000}"/>
    <cellStyle name="Currency 4 5 7 2 2" xfId="7336" xr:uid="{CB4C79E6-6A85-4071-A9C1-BBE0DB475BC3}"/>
    <cellStyle name="Currency 4 5 7 3" xfId="7335" xr:uid="{9A6B3CA1-42B8-4274-B3B6-D6FABF1B53D6}"/>
    <cellStyle name="Currency 4 5 8" xfId="2003" xr:uid="{00000000-0005-0000-0000-00003C070000}"/>
    <cellStyle name="Currency 4 5 8 2" xfId="7337" xr:uid="{F1E0E034-FBDC-470A-9FAC-B6089C779BC5}"/>
    <cellStyle name="Currency 4 5 9" xfId="2004" xr:uid="{00000000-0005-0000-0000-00003D070000}"/>
    <cellStyle name="Currency 4 5 9 2" xfId="7338" xr:uid="{948CB8B8-36C2-410C-8CCE-DAA91F7226B3}"/>
    <cellStyle name="Currency 4 6" xfId="2005" xr:uid="{00000000-0005-0000-0000-00003E070000}"/>
    <cellStyle name="Currency 4 6 2" xfId="2006" xr:uid="{00000000-0005-0000-0000-00003F070000}"/>
    <cellStyle name="Currency 4 6 2 2" xfId="2007" xr:uid="{00000000-0005-0000-0000-000040070000}"/>
    <cellStyle name="Currency 4 6 2 2 2" xfId="2008" xr:uid="{00000000-0005-0000-0000-000041070000}"/>
    <cellStyle name="Currency 4 6 2 2 2 2" xfId="7342" xr:uid="{22AC956D-3C6C-4A6F-9A55-DC1ABF6E2779}"/>
    <cellStyle name="Currency 4 6 2 2 3" xfId="2009" xr:uid="{00000000-0005-0000-0000-000042070000}"/>
    <cellStyle name="Currency 4 6 2 2 3 2" xfId="7343" xr:uid="{09320884-53DF-4862-BDB0-70EA8E4C4386}"/>
    <cellStyle name="Currency 4 6 2 2 4" xfId="7341" xr:uid="{13C6B14C-8E6B-4E18-8E41-C85E4B2BE792}"/>
    <cellStyle name="Currency 4 6 2 3" xfId="2010" xr:uid="{00000000-0005-0000-0000-000043070000}"/>
    <cellStyle name="Currency 4 6 2 3 2" xfId="7344" xr:uid="{0C6E349B-BDD8-43A8-9DDF-1D2D136655F8}"/>
    <cellStyle name="Currency 4 6 2 4" xfId="2011" xr:uid="{00000000-0005-0000-0000-000044070000}"/>
    <cellStyle name="Currency 4 6 2 4 2" xfId="7345" xr:uid="{91E707B7-5EF0-4D15-8915-A90EC1A5A4BA}"/>
    <cellStyle name="Currency 4 6 2 5" xfId="7340" xr:uid="{794F8F46-A2D1-421A-A2D9-6A010A912CED}"/>
    <cellStyle name="Currency 4 6 3" xfId="2012" xr:uid="{00000000-0005-0000-0000-000045070000}"/>
    <cellStyle name="Currency 4 6 3 2" xfId="2013" xr:uid="{00000000-0005-0000-0000-000046070000}"/>
    <cellStyle name="Currency 4 6 3 2 2" xfId="2014" xr:uid="{00000000-0005-0000-0000-000047070000}"/>
    <cellStyle name="Currency 4 6 3 2 2 2" xfId="7348" xr:uid="{33A0CE33-3D3B-45F1-BDDF-A75B63438E1E}"/>
    <cellStyle name="Currency 4 6 3 2 3" xfId="7347" xr:uid="{F4EB9CF0-3697-40C8-A887-BB6C74EE30B5}"/>
    <cellStyle name="Currency 4 6 3 3" xfId="2015" xr:uid="{00000000-0005-0000-0000-000048070000}"/>
    <cellStyle name="Currency 4 6 3 3 2" xfId="7349" xr:uid="{E14EC29A-7A1D-40E9-B861-357E2F377CF9}"/>
    <cellStyle name="Currency 4 6 3 4" xfId="2016" xr:uid="{00000000-0005-0000-0000-000049070000}"/>
    <cellStyle name="Currency 4 6 3 4 2" xfId="7350" xr:uid="{0F5CF262-DE15-41BA-A096-26577A999586}"/>
    <cellStyle name="Currency 4 6 3 5" xfId="7346" xr:uid="{45DC6788-3295-4C62-B4D4-1F8017F08345}"/>
    <cellStyle name="Currency 4 6 4" xfId="2017" xr:uid="{00000000-0005-0000-0000-00004A070000}"/>
    <cellStyle name="Currency 4 6 4 2" xfId="2018" xr:uid="{00000000-0005-0000-0000-00004B070000}"/>
    <cellStyle name="Currency 4 6 4 2 2" xfId="7352" xr:uid="{8BA762C4-D896-4CE7-81F7-C24E485AAF71}"/>
    <cellStyle name="Currency 4 6 4 3" xfId="7351" xr:uid="{7A12CB78-E498-489F-9E0C-D79451FCFCBF}"/>
    <cellStyle name="Currency 4 6 5" xfId="2019" xr:uid="{00000000-0005-0000-0000-00004C070000}"/>
    <cellStyle name="Currency 4 6 5 2" xfId="7353" xr:uid="{23D19C7A-3345-436A-A4C3-940A6FD95EC9}"/>
    <cellStyle name="Currency 4 6 6" xfId="2020" xr:uid="{00000000-0005-0000-0000-00004D070000}"/>
    <cellStyle name="Currency 4 6 6 2" xfId="7354" xr:uid="{31E07AAE-C4C0-4E84-80D6-A3E34CC814E5}"/>
    <cellStyle name="Currency 4 6 7" xfId="7339" xr:uid="{2F2CFD84-27F4-414B-AA98-8FCF0E851D65}"/>
    <cellStyle name="Currency 4 7" xfId="2021" xr:uid="{00000000-0005-0000-0000-00004E070000}"/>
    <cellStyle name="Currency 4 7 2" xfId="2022" xr:uid="{00000000-0005-0000-0000-00004F070000}"/>
    <cellStyle name="Currency 4 7 2 2" xfId="2023" xr:uid="{00000000-0005-0000-0000-000050070000}"/>
    <cellStyle name="Currency 4 7 2 2 2" xfId="7357" xr:uid="{E0A5A637-8313-4D00-A693-BCC10EE90247}"/>
    <cellStyle name="Currency 4 7 2 3" xfId="2024" xr:uid="{00000000-0005-0000-0000-000051070000}"/>
    <cellStyle name="Currency 4 7 2 3 2" xfId="7358" xr:uid="{0DA38328-E3E0-4415-A13F-10175DDB75AC}"/>
    <cellStyle name="Currency 4 7 2 4" xfId="7356" xr:uid="{A7A47D3A-795C-4932-9F29-3426338A5AE9}"/>
    <cellStyle name="Currency 4 7 3" xfId="2025" xr:uid="{00000000-0005-0000-0000-000052070000}"/>
    <cellStyle name="Currency 4 7 3 2" xfId="2026" xr:uid="{00000000-0005-0000-0000-000053070000}"/>
    <cellStyle name="Currency 4 7 3 2 2" xfId="7360" xr:uid="{66909E05-CCFB-4011-A5D0-CD56AE32BF56}"/>
    <cellStyle name="Currency 4 7 3 3" xfId="7359" xr:uid="{EE9AAB8F-F4FF-4571-91F7-4A526D1B9A04}"/>
    <cellStyle name="Currency 4 7 4" xfId="2027" xr:uid="{00000000-0005-0000-0000-000054070000}"/>
    <cellStyle name="Currency 4 7 4 2" xfId="7361" xr:uid="{616C6693-94FD-419B-8E54-EF27BA7ABC5D}"/>
    <cellStyle name="Currency 4 7 5" xfId="7355" xr:uid="{C6B7C77F-ABC4-4B9D-99EF-3E99D5270DED}"/>
    <cellStyle name="Currency 4 8" xfId="2028" xr:uid="{00000000-0005-0000-0000-000055070000}"/>
    <cellStyle name="Currency 4 8 2" xfId="2029" xr:uid="{00000000-0005-0000-0000-000056070000}"/>
    <cellStyle name="Currency 4 8 2 2" xfId="2030" xr:uid="{00000000-0005-0000-0000-000057070000}"/>
    <cellStyle name="Currency 4 8 2 2 2" xfId="7364" xr:uid="{123C3C8C-934E-41F2-B248-9EECCF4039CA}"/>
    <cellStyle name="Currency 4 8 2 3" xfId="7363" xr:uid="{8CD98D5C-7AFD-4197-85BB-1BBB4725A9F7}"/>
    <cellStyle name="Currency 4 8 3" xfId="2031" xr:uid="{00000000-0005-0000-0000-000058070000}"/>
    <cellStyle name="Currency 4 8 3 2" xfId="7365" xr:uid="{D7A5E2BB-2FCF-400F-AE3A-C7DAEBF0394F}"/>
    <cellStyle name="Currency 4 8 4" xfId="2032" xr:uid="{00000000-0005-0000-0000-000059070000}"/>
    <cellStyle name="Currency 4 8 4 2" xfId="7366" xr:uid="{C2BADDCA-413E-406B-87F3-4A1DF1B60CE3}"/>
    <cellStyle name="Currency 4 8 5" xfId="7362" xr:uid="{A503129F-15FF-4305-A131-99D5A47B0234}"/>
    <cellStyle name="Currency 4 9" xfId="2033" xr:uid="{00000000-0005-0000-0000-00005A070000}"/>
    <cellStyle name="Currency 4 9 2" xfId="2034" xr:uid="{00000000-0005-0000-0000-00005B070000}"/>
    <cellStyle name="Currency 4 9 2 2" xfId="7368" xr:uid="{5319E9E2-5B78-40AA-95ED-24FFC625E3F3}"/>
    <cellStyle name="Currency 4 9 3" xfId="2035" xr:uid="{00000000-0005-0000-0000-00005C070000}"/>
    <cellStyle name="Currency 4 9 3 2" xfId="7369" xr:uid="{791B7A29-8506-4D12-B062-9C989CE5D1C6}"/>
    <cellStyle name="Currency 4 9 4" xfId="7367" xr:uid="{CBDC0B95-9DA0-463F-B61F-B0403BF0FA39}"/>
    <cellStyle name="Currency 5" xfId="102" xr:uid="{00000000-0005-0000-0000-00005D070000}"/>
    <cellStyle name="Currency 5 2" xfId="2036" xr:uid="{00000000-0005-0000-0000-00005E070000}"/>
    <cellStyle name="Currency 5 2 2" xfId="2037" xr:uid="{00000000-0005-0000-0000-00005F070000}"/>
    <cellStyle name="Currency 5 2 2 2" xfId="2038" xr:uid="{00000000-0005-0000-0000-000060070000}"/>
    <cellStyle name="Currency 5 2 2 2 2" xfId="2039" xr:uid="{00000000-0005-0000-0000-000061070000}"/>
    <cellStyle name="Currency 5 2 2 2 2 2" xfId="2040" xr:uid="{00000000-0005-0000-0000-000062070000}"/>
    <cellStyle name="Currency 5 2 2 2 2 2 2" xfId="7374" xr:uid="{1FF7AFF0-80FF-4619-85BB-DB8C358CF76A}"/>
    <cellStyle name="Currency 5 2 2 2 2 3" xfId="2041" xr:uid="{00000000-0005-0000-0000-000063070000}"/>
    <cellStyle name="Currency 5 2 2 2 2 3 2" xfId="7375" xr:uid="{B8132A1F-69B3-4090-8376-2F183C7909FE}"/>
    <cellStyle name="Currency 5 2 2 2 2 4" xfId="7373" xr:uid="{170E5EF1-761C-483D-B599-6113EE169E70}"/>
    <cellStyle name="Currency 5 2 2 2 3" xfId="2042" xr:uid="{00000000-0005-0000-0000-000064070000}"/>
    <cellStyle name="Currency 5 2 2 2 3 2" xfId="7376" xr:uid="{BDEB29ED-A5F8-4BD3-9E3F-796D80147D57}"/>
    <cellStyle name="Currency 5 2 2 2 4" xfId="2043" xr:uid="{00000000-0005-0000-0000-000065070000}"/>
    <cellStyle name="Currency 5 2 2 2 4 2" xfId="7377" xr:uid="{A1294B39-AD6B-41C6-9520-A0BDA799C7C6}"/>
    <cellStyle name="Currency 5 2 2 2 5" xfId="7372" xr:uid="{87DAC16B-6A70-4864-960E-A4594A07D6C7}"/>
    <cellStyle name="Currency 5 2 2 3" xfId="2044" xr:uid="{00000000-0005-0000-0000-000066070000}"/>
    <cellStyle name="Currency 5 2 2 3 2" xfId="2045" xr:uid="{00000000-0005-0000-0000-000067070000}"/>
    <cellStyle name="Currency 5 2 2 3 2 2" xfId="2046" xr:uid="{00000000-0005-0000-0000-000068070000}"/>
    <cellStyle name="Currency 5 2 2 3 2 2 2" xfId="7380" xr:uid="{73C3686A-5A8B-4EA4-B573-B8017D37BF7E}"/>
    <cellStyle name="Currency 5 2 2 3 2 3" xfId="7379" xr:uid="{76B7D46B-CBEB-44F8-9EC8-65EC5FFD3348}"/>
    <cellStyle name="Currency 5 2 2 3 3" xfId="2047" xr:uid="{00000000-0005-0000-0000-000069070000}"/>
    <cellStyle name="Currency 5 2 2 3 3 2" xfId="7381" xr:uid="{0A690770-F04B-48B3-82F8-1D7A5462FA77}"/>
    <cellStyle name="Currency 5 2 2 3 4" xfId="2048" xr:uid="{00000000-0005-0000-0000-00006A070000}"/>
    <cellStyle name="Currency 5 2 2 3 4 2" xfId="7382" xr:uid="{993FDC90-8942-4606-8622-9B1C2BA2CAEB}"/>
    <cellStyle name="Currency 5 2 2 3 5" xfId="7378" xr:uid="{672577F3-4A24-4E7E-8E38-9676368E7418}"/>
    <cellStyle name="Currency 5 2 2 4" xfId="2049" xr:uid="{00000000-0005-0000-0000-00006B070000}"/>
    <cellStyle name="Currency 5 2 2 4 2" xfId="2050" xr:uid="{00000000-0005-0000-0000-00006C070000}"/>
    <cellStyle name="Currency 5 2 2 4 2 2" xfId="7384" xr:uid="{D2C017EF-4755-4D39-94B9-F7C9CC0AEB0E}"/>
    <cellStyle name="Currency 5 2 2 4 3" xfId="7383" xr:uid="{D6183CED-C385-4D44-9CA2-0AF0664481C9}"/>
    <cellStyle name="Currency 5 2 2 5" xfId="2051" xr:uid="{00000000-0005-0000-0000-00006D070000}"/>
    <cellStyle name="Currency 5 2 2 5 2" xfId="7385" xr:uid="{26941057-520B-409F-A207-83A3564A5E2D}"/>
    <cellStyle name="Currency 5 2 2 6" xfId="2052" xr:uid="{00000000-0005-0000-0000-00006E070000}"/>
    <cellStyle name="Currency 5 2 2 6 2" xfId="7386" xr:uid="{A0B0E32B-9B62-4DD8-9CAE-6E71AA8097B1}"/>
    <cellStyle name="Currency 5 2 2 7" xfId="7371" xr:uid="{FDAE13C1-08EB-4E5E-9BD9-7E3A69B75E2F}"/>
    <cellStyle name="Currency 5 2 3" xfId="2053" xr:uid="{00000000-0005-0000-0000-00006F070000}"/>
    <cellStyle name="Currency 5 2 3 2" xfId="2054" xr:uid="{00000000-0005-0000-0000-000070070000}"/>
    <cellStyle name="Currency 5 2 3 2 2" xfId="2055" xr:uid="{00000000-0005-0000-0000-000071070000}"/>
    <cellStyle name="Currency 5 2 3 2 2 2" xfId="7389" xr:uid="{3EDD9453-70E7-4252-B60B-78F3895FCB72}"/>
    <cellStyle name="Currency 5 2 3 2 3" xfId="2056" xr:uid="{00000000-0005-0000-0000-000072070000}"/>
    <cellStyle name="Currency 5 2 3 2 3 2" xfId="7390" xr:uid="{4A062453-C3A5-43FE-A344-D59852354926}"/>
    <cellStyle name="Currency 5 2 3 2 4" xfId="7388" xr:uid="{3A1CDC4A-BB25-4BAA-BBAF-00E327C0EF7D}"/>
    <cellStyle name="Currency 5 2 3 3" xfId="2057" xr:uid="{00000000-0005-0000-0000-000073070000}"/>
    <cellStyle name="Currency 5 2 3 3 2" xfId="7391" xr:uid="{4934C8D3-1243-4E7C-A918-4CFB0AE23516}"/>
    <cellStyle name="Currency 5 2 3 4" xfId="2058" xr:uid="{00000000-0005-0000-0000-000074070000}"/>
    <cellStyle name="Currency 5 2 3 4 2" xfId="7392" xr:uid="{EE8E6556-8763-4D22-9D14-E500F7F350F2}"/>
    <cellStyle name="Currency 5 2 3 5" xfId="7387" xr:uid="{4FA0DF61-141D-475C-AD65-DBFC5D561B7D}"/>
    <cellStyle name="Currency 5 2 4" xfId="2059" xr:uid="{00000000-0005-0000-0000-000075070000}"/>
    <cellStyle name="Currency 5 2 4 2" xfId="2060" xr:uid="{00000000-0005-0000-0000-000076070000}"/>
    <cellStyle name="Currency 5 2 4 2 2" xfId="2061" xr:uid="{00000000-0005-0000-0000-000077070000}"/>
    <cellStyle name="Currency 5 2 4 2 2 2" xfId="7395" xr:uid="{6BAA3A87-B2DB-4AD9-9A22-C66954A2E229}"/>
    <cellStyle name="Currency 5 2 4 2 3" xfId="7394" xr:uid="{B0716A12-B931-417A-8AB3-3D91E4E37910}"/>
    <cellStyle name="Currency 5 2 4 3" xfId="2062" xr:uid="{00000000-0005-0000-0000-000078070000}"/>
    <cellStyle name="Currency 5 2 4 3 2" xfId="7396" xr:uid="{D105693F-84BD-4649-B3A5-4B2FA9569F80}"/>
    <cellStyle name="Currency 5 2 4 4" xfId="2063" xr:uid="{00000000-0005-0000-0000-000079070000}"/>
    <cellStyle name="Currency 5 2 4 4 2" xfId="7397" xr:uid="{9D81CB7E-BE1F-43B6-B978-383646D5FC94}"/>
    <cellStyle name="Currency 5 2 4 5" xfId="7393" xr:uid="{C1C90AE1-4505-419C-9C5C-4358A4930AE9}"/>
    <cellStyle name="Currency 5 2 5" xfId="2064" xr:uid="{00000000-0005-0000-0000-00007A070000}"/>
    <cellStyle name="Currency 5 2 5 2" xfId="2065" xr:uid="{00000000-0005-0000-0000-00007B070000}"/>
    <cellStyle name="Currency 5 2 5 2 2" xfId="7399" xr:uid="{9E09FAF8-A92F-4AE4-A47D-B62A48425985}"/>
    <cellStyle name="Currency 5 2 5 3" xfId="2066" xr:uid="{00000000-0005-0000-0000-00007C070000}"/>
    <cellStyle name="Currency 5 2 5 3 2" xfId="7400" xr:uid="{8E340114-6535-4904-80B6-8F1E0A6B5AF6}"/>
    <cellStyle name="Currency 5 2 5 4" xfId="7398" xr:uid="{8B14CDE4-1F4D-4BA1-826E-5767AF1E3E01}"/>
    <cellStyle name="Currency 5 2 6" xfId="2067" xr:uid="{00000000-0005-0000-0000-00007D070000}"/>
    <cellStyle name="Currency 5 2 6 2" xfId="7401" xr:uid="{F8BDA95E-DC36-46F0-9384-A005B189FA73}"/>
    <cellStyle name="Currency 5 2 7" xfId="2068" xr:uid="{00000000-0005-0000-0000-00007E070000}"/>
    <cellStyle name="Currency 5 2 7 2" xfId="7402" xr:uid="{88EF82BC-7BB1-431A-81FB-F10BDE3FC2D7}"/>
    <cellStyle name="Currency 5 2 8" xfId="7370" xr:uid="{F6792C10-FAD0-4B18-8EF0-03BD8EA454E8}"/>
    <cellStyle name="Currency 5 3" xfId="2069" xr:uid="{00000000-0005-0000-0000-00007F070000}"/>
    <cellStyle name="Currency 5 3 2" xfId="2070" xr:uid="{00000000-0005-0000-0000-000080070000}"/>
    <cellStyle name="Currency 5 3 3" xfId="2071" xr:uid="{00000000-0005-0000-0000-000081070000}"/>
    <cellStyle name="Currency 5 3 3 2" xfId="2072" xr:uid="{00000000-0005-0000-0000-000082070000}"/>
    <cellStyle name="Currency 5 3 3 2 2" xfId="7404" xr:uid="{C6FD76DE-97B2-436F-BBC0-8AD3E89AB8D9}"/>
    <cellStyle name="Currency 5 3 3 3" xfId="7403" xr:uid="{569843C8-5B08-4730-8FBE-B9418AC63F97}"/>
    <cellStyle name="Currency 5 3 4" xfId="2073" xr:uid="{00000000-0005-0000-0000-000083070000}"/>
    <cellStyle name="Currency 5 3 4 2" xfId="2074" xr:uid="{00000000-0005-0000-0000-000084070000}"/>
    <cellStyle name="Currency 5 3 4 2 2" xfId="7406" xr:uid="{720C2F40-3214-4615-AEB6-14E07D1A0848}"/>
    <cellStyle name="Currency 5 3 4 3" xfId="7405" xr:uid="{9617BF1A-0064-4595-8CE1-66A7978B5C4E}"/>
    <cellStyle name="Currency 5 4" xfId="2075" xr:uid="{00000000-0005-0000-0000-000085070000}"/>
    <cellStyle name="Currency 5 4 2" xfId="2076" xr:uid="{00000000-0005-0000-0000-000086070000}"/>
    <cellStyle name="Currency 5 4 2 2" xfId="2077" xr:uid="{00000000-0005-0000-0000-000087070000}"/>
    <cellStyle name="Currency 5 4 2 2 2" xfId="2078" xr:uid="{00000000-0005-0000-0000-000088070000}"/>
    <cellStyle name="Currency 5 4 2 2 2 2" xfId="7410" xr:uid="{A7300A77-AC08-4113-87CA-F276B6D239FF}"/>
    <cellStyle name="Currency 5 4 2 2 3" xfId="2079" xr:uid="{00000000-0005-0000-0000-000089070000}"/>
    <cellStyle name="Currency 5 4 2 2 3 2" xfId="7411" xr:uid="{E79E87A6-1C1F-4380-AD6F-8EBEC51CBD73}"/>
    <cellStyle name="Currency 5 4 2 2 4" xfId="7409" xr:uid="{E24D4EE8-455F-4558-98C7-46E27E17FF3F}"/>
    <cellStyle name="Currency 5 4 2 3" xfId="2080" xr:uid="{00000000-0005-0000-0000-00008A070000}"/>
    <cellStyle name="Currency 5 4 2 3 2" xfId="7412" xr:uid="{5B8D7296-3577-4AEC-A3D5-DD251DA54DBD}"/>
    <cellStyle name="Currency 5 4 2 4" xfId="2081" xr:uid="{00000000-0005-0000-0000-00008B070000}"/>
    <cellStyle name="Currency 5 4 2 4 2" xfId="7413" xr:uid="{50E95D93-5DCC-4DE5-8474-C7DDB4EF0C3B}"/>
    <cellStyle name="Currency 5 4 2 5" xfId="7408" xr:uid="{CAB603D7-B2DF-4E21-922A-99111B26D02A}"/>
    <cellStyle name="Currency 5 4 3" xfId="2082" xr:uid="{00000000-0005-0000-0000-00008C070000}"/>
    <cellStyle name="Currency 5 4 3 2" xfId="2083" xr:uid="{00000000-0005-0000-0000-00008D070000}"/>
    <cellStyle name="Currency 5 4 3 2 2" xfId="2084" xr:uid="{00000000-0005-0000-0000-00008E070000}"/>
    <cellStyle name="Currency 5 4 3 2 2 2" xfId="7416" xr:uid="{8444FD59-8EE8-4536-A5CF-1BD7713A5BF5}"/>
    <cellStyle name="Currency 5 4 3 2 3" xfId="7415" xr:uid="{9177B627-B10A-4982-9A16-2C3EE2D6AB19}"/>
    <cellStyle name="Currency 5 4 3 3" xfId="2085" xr:uid="{00000000-0005-0000-0000-00008F070000}"/>
    <cellStyle name="Currency 5 4 3 3 2" xfId="7417" xr:uid="{2C6A89E8-B3B9-45D1-B8A2-EFD022E27447}"/>
    <cellStyle name="Currency 5 4 3 4" xfId="2086" xr:uid="{00000000-0005-0000-0000-000090070000}"/>
    <cellStyle name="Currency 5 4 3 4 2" xfId="7418" xr:uid="{D77FCA12-B74E-499A-B397-79E2A97B6A68}"/>
    <cellStyle name="Currency 5 4 3 5" xfId="7414" xr:uid="{608DBE05-90D8-42E7-A0AF-196DE8FB7F63}"/>
    <cellStyle name="Currency 5 4 4" xfId="2087" xr:uid="{00000000-0005-0000-0000-000091070000}"/>
    <cellStyle name="Currency 5 4 4 2" xfId="2088" xr:uid="{00000000-0005-0000-0000-000092070000}"/>
    <cellStyle name="Currency 5 4 4 2 2" xfId="7420" xr:uid="{656F288C-4DB4-426C-B368-D1813F0C1082}"/>
    <cellStyle name="Currency 5 4 4 3" xfId="7419" xr:uid="{F96716FF-91A3-46AC-BF15-3AEAC5F068A6}"/>
    <cellStyle name="Currency 5 4 5" xfId="2089" xr:uid="{00000000-0005-0000-0000-000093070000}"/>
    <cellStyle name="Currency 5 4 5 2" xfId="7421" xr:uid="{7E7F2969-182E-4DE2-98F5-A8BD154B91B9}"/>
    <cellStyle name="Currency 5 4 6" xfId="2090" xr:uid="{00000000-0005-0000-0000-000094070000}"/>
    <cellStyle name="Currency 5 4 6 2" xfId="7422" xr:uid="{C4BA25AC-B064-45DD-AF5F-C3EBEC9BC09C}"/>
    <cellStyle name="Currency 5 4 7" xfId="7407" xr:uid="{0227F2A4-B6AD-4A48-9A20-3DAFFE995C0A}"/>
    <cellStyle name="Currency 5 5" xfId="2091" xr:uid="{00000000-0005-0000-0000-000095070000}"/>
    <cellStyle name="Currency 5 5 2" xfId="2092" xr:uid="{00000000-0005-0000-0000-000096070000}"/>
    <cellStyle name="Currency 5 5 2 2" xfId="2093" xr:uid="{00000000-0005-0000-0000-000097070000}"/>
    <cellStyle name="Currency 5 5 2 2 2" xfId="7425" xr:uid="{34EF2481-42AF-40E0-9506-BBC795DEB912}"/>
    <cellStyle name="Currency 5 5 2 3" xfId="2094" xr:uid="{00000000-0005-0000-0000-000098070000}"/>
    <cellStyle name="Currency 5 5 2 3 2" xfId="7426" xr:uid="{70E19CF9-7368-4EA3-B355-ED50322C8CB6}"/>
    <cellStyle name="Currency 5 5 2 4" xfId="7424" xr:uid="{694B4345-1F13-49EE-AE86-9FABDFD6AC5B}"/>
    <cellStyle name="Currency 5 5 3" xfId="2095" xr:uid="{00000000-0005-0000-0000-000099070000}"/>
    <cellStyle name="Currency 5 5 3 2" xfId="2096" xr:uid="{00000000-0005-0000-0000-00009A070000}"/>
    <cellStyle name="Currency 5 5 3 2 2" xfId="7428" xr:uid="{7B7AE74B-C305-42CA-9DAF-BABF9E4F1D24}"/>
    <cellStyle name="Currency 5 5 3 3" xfId="7427" xr:uid="{22B7D3B1-7701-478F-B1CF-02AC32BE9014}"/>
    <cellStyle name="Currency 5 5 4" xfId="2097" xr:uid="{00000000-0005-0000-0000-00009B070000}"/>
    <cellStyle name="Currency 5 5 4 2" xfId="7429" xr:uid="{F80E57DA-104D-4BF7-9130-981428650CBD}"/>
    <cellStyle name="Currency 5 5 5" xfId="7423" xr:uid="{93BBB96F-B67E-4266-BD57-7344E435D107}"/>
    <cellStyle name="Currency 5 6" xfId="2098" xr:uid="{00000000-0005-0000-0000-00009C070000}"/>
    <cellStyle name="Currency 5 6 2" xfId="2099" xr:uid="{00000000-0005-0000-0000-00009D070000}"/>
    <cellStyle name="Currency 5 6 2 2" xfId="2100" xr:uid="{00000000-0005-0000-0000-00009E070000}"/>
    <cellStyle name="Currency 5 6 2 2 2" xfId="7432" xr:uid="{B06E9380-8C3F-4B6A-9E50-631A5BB9FEDE}"/>
    <cellStyle name="Currency 5 6 2 3" xfId="7431" xr:uid="{4C1C19AF-519E-4024-BAAB-FFC2D3B07F77}"/>
    <cellStyle name="Currency 5 6 3" xfId="2101" xr:uid="{00000000-0005-0000-0000-00009F070000}"/>
    <cellStyle name="Currency 5 6 3 2" xfId="7433" xr:uid="{EA27DB7F-9B30-46FB-88FC-DCB6D8559D79}"/>
    <cellStyle name="Currency 5 6 4" xfId="2102" xr:uid="{00000000-0005-0000-0000-0000A0070000}"/>
    <cellStyle name="Currency 5 6 4 2" xfId="7434" xr:uid="{6A3EB6D1-0D7C-4DA7-B3AE-9D151893EA16}"/>
    <cellStyle name="Currency 5 6 5" xfId="7430" xr:uid="{3F82BA74-D356-4A02-9297-4E115ABEAD90}"/>
    <cellStyle name="Currency 5 7" xfId="2103" xr:uid="{00000000-0005-0000-0000-0000A1070000}"/>
    <cellStyle name="Currency 5 7 2" xfId="2104" xr:uid="{00000000-0005-0000-0000-0000A2070000}"/>
    <cellStyle name="Currency 5 7 2 2" xfId="7436" xr:uid="{92FA5C44-2F4F-4194-BD0B-3AAE447B93F2}"/>
    <cellStyle name="Currency 5 7 3" xfId="7435" xr:uid="{394707F6-8564-4CFF-B4D0-ADC3DD4C4A4A}"/>
    <cellStyle name="Currency 5 8" xfId="2105" xr:uid="{00000000-0005-0000-0000-0000A3070000}"/>
    <cellStyle name="Currency 5 8 2" xfId="7437" xr:uid="{963B2F64-949C-4021-91B8-60CFA9E37279}"/>
    <cellStyle name="Currency 5 9" xfId="2106" xr:uid="{00000000-0005-0000-0000-0000A4070000}"/>
    <cellStyle name="Currency 5 9 2" xfId="7438" xr:uid="{9514B039-2B3C-440C-8A98-87EA192C57FE}"/>
    <cellStyle name="Currency 6" xfId="2107" xr:uid="{00000000-0005-0000-0000-0000A5070000}"/>
    <cellStyle name="Currency 6 2" xfId="2108" xr:uid="{00000000-0005-0000-0000-0000A6070000}"/>
    <cellStyle name="Currency 6 2 2" xfId="2109" xr:uid="{00000000-0005-0000-0000-0000A7070000}"/>
    <cellStyle name="Currency 6 2 2 2" xfId="2110" xr:uid="{00000000-0005-0000-0000-0000A8070000}"/>
    <cellStyle name="Currency 6 2 2 2 2" xfId="2111" xr:uid="{00000000-0005-0000-0000-0000A9070000}"/>
    <cellStyle name="Currency 6 2 2 2 2 2" xfId="2112" xr:uid="{00000000-0005-0000-0000-0000AA070000}"/>
    <cellStyle name="Currency 6 2 2 2 2 2 2" xfId="7444" xr:uid="{D4D82B79-DBF6-462E-995B-505B279CC64B}"/>
    <cellStyle name="Currency 6 2 2 2 2 3" xfId="2113" xr:uid="{00000000-0005-0000-0000-0000AB070000}"/>
    <cellStyle name="Currency 6 2 2 2 2 3 2" xfId="7445" xr:uid="{B373084E-3D37-43DD-8AA8-9761A8DF6E6A}"/>
    <cellStyle name="Currency 6 2 2 2 2 4" xfId="7443" xr:uid="{40243C59-A7DF-451E-AE3F-FBDB5F51F83E}"/>
    <cellStyle name="Currency 6 2 2 2 3" xfId="2114" xr:uid="{00000000-0005-0000-0000-0000AC070000}"/>
    <cellStyle name="Currency 6 2 2 2 3 2" xfId="7446" xr:uid="{AD00F5F1-C5A9-4C30-82E6-14A2AE1C0994}"/>
    <cellStyle name="Currency 6 2 2 2 4" xfId="2115" xr:uid="{00000000-0005-0000-0000-0000AD070000}"/>
    <cellStyle name="Currency 6 2 2 2 4 2" xfId="7447" xr:uid="{0C7B922B-8CA4-4C55-9ED9-404DAAB3789F}"/>
    <cellStyle name="Currency 6 2 2 2 5" xfId="7442" xr:uid="{7C7AFF01-B320-4407-8AAD-7B089D142236}"/>
    <cellStyle name="Currency 6 2 2 3" xfId="2116" xr:uid="{00000000-0005-0000-0000-0000AE070000}"/>
    <cellStyle name="Currency 6 2 2 3 2" xfId="2117" xr:uid="{00000000-0005-0000-0000-0000AF070000}"/>
    <cellStyle name="Currency 6 2 2 3 2 2" xfId="2118" xr:uid="{00000000-0005-0000-0000-0000B0070000}"/>
    <cellStyle name="Currency 6 2 2 3 2 2 2" xfId="7450" xr:uid="{9667A3E6-1AAD-43B5-A3DC-8654B29381DB}"/>
    <cellStyle name="Currency 6 2 2 3 2 3" xfId="7449" xr:uid="{5C6C2610-D132-49ED-B5C4-E49699F3B8DD}"/>
    <cellStyle name="Currency 6 2 2 3 3" xfId="2119" xr:uid="{00000000-0005-0000-0000-0000B1070000}"/>
    <cellStyle name="Currency 6 2 2 3 3 2" xfId="7451" xr:uid="{23DEF049-D514-45B5-B244-EBDB9C6354E2}"/>
    <cellStyle name="Currency 6 2 2 3 4" xfId="2120" xr:uid="{00000000-0005-0000-0000-0000B2070000}"/>
    <cellStyle name="Currency 6 2 2 3 4 2" xfId="7452" xr:uid="{50D27AF6-3941-4F11-A438-EF36F01BC78B}"/>
    <cellStyle name="Currency 6 2 2 3 5" xfId="7448" xr:uid="{7323F76F-6C9C-42E1-BC4A-D84CA85EA94C}"/>
    <cellStyle name="Currency 6 2 2 4" xfId="2121" xr:uid="{00000000-0005-0000-0000-0000B3070000}"/>
    <cellStyle name="Currency 6 2 2 4 2" xfId="2122" xr:uid="{00000000-0005-0000-0000-0000B4070000}"/>
    <cellStyle name="Currency 6 2 2 4 2 2" xfId="7454" xr:uid="{0A32305C-AC0E-4612-8ED9-B31228507C67}"/>
    <cellStyle name="Currency 6 2 2 4 3" xfId="7453" xr:uid="{E59BD9D1-A7B1-4776-8A90-8E0FCB3CF88C}"/>
    <cellStyle name="Currency 6 2 2 5" xfId="2123" xr:uid="{00000000-0005-0000-0000-0000B5070000}"/>
    <cellStyle name="Currency 6 2 2 5 2" xfId="7455" xr:uid="{EBCDE2FA-1320-4FC4-97F7-CBD3F8D19FF5}"/>
    <cellStyle name="Currency 6 2 2 6" xfId="2124" xr:uid="{00000000-0005-0000-0000-0000B6070000}"/>
    <cellStyle name="Currency 6 2 2 6 2" xfId="7456" xr:uid="{A0FA4A29-4ED9-4DC8-840F-03B35B02784D}"/>
    <cellStyle name="Currency 6 2 2 7" xfId="7441" xr:uid="{0C0932C2-195E-4638-BF73-D8681F33F13D}"/>
    <cellStyle name="Currency 6 2 3" xfId="2125" xr:uid="{00000000-0005-0000-0000-0000B7070000}"/>
    <cellStyle name="Currency 6 2 3 2" xfId="2126" xr:uid="{00000000-0005-0000-0000-0000B8070000}"/>
    <cellStyle name="Currency 6 2 3 2 2" xfId="2127" xr:uid="{00000000-0005-0000-0000-0000B9070000}"/>
    <cellStyle name="Currency 6 2 3 2 2 2" xfId="7459" xr:uid="{979DF655-8296-4A46-839B-E4FE1095DB2C}"/>
    <cellStyle name="Currency 6 2 3 2 3" xfId="2128" xr:uid="{00000000-0005-0000-0000-0000BA070000}"/>
    <cellStyle name="Currency 6 2 3 2 3 2" xfId="7460" xr:uid="{3D9C151A-A93A-4D1B-B026-BA9B90DD38CF}"/>
    <cellStyle name="Currency 6 2 3 2 4" xfId="7458" xr:uid="{7227CABB-E986-4E52-A02B-5EC92855991C}"/>
    <cellStyle name="Currency 6 2 3 3" xfId="2129" xr:uid="{00000000-0005-0000-0000-0000BB070000}"/>
    <cellStyle name="Currency 6 2 3 3 2" xfId="7461" xr:uid="{C3F8D7D8-1069-47A1-9364-AFF83F056565}"/>
    <cellStyle name="Currency 6 2 3 4" xfId="2130" xr:uid="{00000000-0005-0000-0000-0000BC070000}"/>
    <cellStyle name="Currency 6 2 3 4 2" xfId="7462" xr:uid="{0F45CC07-1896-48F3-937D-9425C8419EAC}"/>
    <cellStyle name="Currency 6 2 3 5" xfId="7457" xr:uid="{FD25FBDD-C871-4C75-9804-1935CCF22E05}"/>
    <cellStyle name="Currency 6 2 4" xfId="2131" xr:uid="{00000000-0005-0000-0000-0000BD070000}"/>
    <cellStyle name="Currency 6 2 4 2" xfId="2132" xr:uid="{00000000-0005-0000-0000-0000BE070000}"/>
    <cellStyle name="Currency 6 2 4 2 2" xfId="2133" xr:uid="{00000000-0005-0000-0000-0000BF070000}"/>
    <cellStyle name="Currency 6 2 4 2 2 2" xfId="7465" xr:uid="{4AF55F9E-4BB2-48F8-9331-750BD88AE95B}"/>
    <cellStyle name="Currency 6 2 4 2 3" xfId="7464" xr:uid="{6053676A-06C8-42E2-BE07-F2B388D6CECB}"/>
    <cellStyle name="Currency 6 2 4 3" xfId="2134" xr:uid="{00000000-0005-0000-0000-0000C0070000}"/>
    <cellStyle name="Currency 6 2 4 3 2" xfId="7466" xr:uid="{C79B21E3-7551-4E98-B852-2855704F0C2C}"/>
    <cellStyle name="Currency 6 2 4 4" xfId="2135" xr:uid="{00000000-0005-0000-0000-0000C1070000}"/>
    <cellStyle name="Currency 6 2 4 4 2" xfId="7467" xr:uid="{1784FEF1-F911-438E-B6FB-36EEDC6576D7}"/>
    <cellStyle name="Currency 6 2 4 5" xfId="7463" xr:uid="{7564B0C2-1CDD-407E-BB6D-66EC12464A7F}"/>
    <cellStyle name="Currency 6 2 5" xfId="2136" xr:uid="{00000000-0005-0000-0000-0000C2070000}"/>
    <cellStyle name="Currency 6 2 5 2" xfId="2137" xr:uid="{00000000-0005-0000-0000-0000C3070000}"/>
    <cellStyle name="Currency 6 2 5 2 2" xfId="7469" xr:uid="{323255E7-5608-4795-9743-FE1A01E3BCDC}"/>
    <cellStyle name="Currency 6 2 5 3" xfId="2138" xr:uid="{00000000-0005-0000-0000-0000C4070000}"/>
    <cellStyle name="Currency 6 2 5 3 2" xfId="7470" xr:uid="{75057A7B-C7FC-4D78-8A8E-2821E850671B}"/>
    <cellStyle name="Currency 6 2 5 4" xfId="7468" xr:uid="{915460E8-E8E7-4159-8E40-7DE80A42970C}"/>
    <cellStyle name="Currency 6 2 6" xfId="2139" xr:uid="{00000000-0005-0000-0000-0000C5070000}"/>
    <cellStyle name="Currency 6 2 6 2" xfId="7471" xr:uid="{9AE7E842-9883-4EA3-B747-E3E63CB320BC}"/>
    <cellStyle name="Currency 6 2 7" xfId="2140" xr:uid="{00000000-0005-0000-0000-0000C6070000}"/>
    <cellStyle name="Currency 6 2 7 2" xfId="7472" xr:uid="{613FDFFB-1FBE-4D3D-ACDD-EDF0F618196C}"/>
    <cellStyle name="Currency 6 2 8" xfId="7440" xr:uid="{9AD36169-37E8-492C-95D2-AFFFE8E13A2B}"/>
    <cellStyle name="Currency 6 3" xfId="2141" xr:uid="{00000000-0005-0000-0000-0000C7070000}"/>
    <cellStyle name="Currency 6 3 2" xfId="2142" xr:uid="{00000000-0005-0000-0000-0000C8070000}"/>
    <cellStyle name="Currency 6 3 2 2" xfId="2143" xr:uid="{00000000-0005-0000-0000-0000C9070000}"/>
    <cellStyle name="Currency 6 3 2 2 2" xfId="2144" xr:uid="{00000000-0005-0000-0000-0000CA070000}"/>
    <cellStyle name="Currency 6 3 2 2 2 2" xfId="7476" xr:uid="{E856457B-399C-45E7-BBE3-1B65601582E0}"/>
    <cellStyle name="Currency 6 3 2 2 3" xfId="2145" xr:uid="{00000000-0005-0000-0000-0000CB070000}"/>
    <cellStyle name="Currency 6 3 2 2 3 2" xfId="7477" xr:uid="{38496F14-9A2C-47E0-A844-45A22420EA73}"/>
    <cellStyle name="Currency 6 3 2 2 4" xfId="7475" xr:uid="{AA7CE2DA-758A-4257-B939-4B5AABF3FEA1}"/>
    <cellStyle name="Currency 6 3 2 3" xfId="2146" xr:uid="{00000000-0005-0000-0000-0000CC070000}"/>
    <cellStyle name="Currency 6 3 2 3 2" xfId="7478" xr:uid="{18B4ABD3-1BAA-419D-B05B-E24519E8903B}"/>
    <cellStyle name="Currency 6 3 2 4" xfId="2147" xr:uid="{00000000-0005-0000-0000-0000CD070000}"/>
    <cellStyle name="Currency 6 3 2 4 2" xfId="7479" xr:uid="{BD214083-C81D-429C-8D64-F589206F5C04}"/>
    <cellStyle name="Currency 6 3 2 5" xfId="7474" xr:uid="{2D9FD2D0-6BE8-49B9-B0D9-AE4BE427BF49}"/>
    <cellStyle name="Currency 6 3 3" xfId="2148" xr:uid="{00000000-0005-0000-0000-0000CE070000}"/>
    <cellStyle name="Currency 6 3 3 2" xfId="2149" xr:uid="{00000000-0005-0000-0000-0000CF070000}"/>
    <cellStyle name="Currency 6 3 3 2 2" xfId="2150" xr:uid="{00000000-0005-0000-0000-0000D0070000}"/>
    <cellStyle name="Currency 6 3 3 2 2 2" xfId="7482" xr:uid="{575C1C59-AB84-45CA-BC5A-56CCD89C0F89}"/>
    <cellStyle name="Currency 6 3 3 2 3" xfId="7481" xr:uid="{42C99A06-FA09-4FEB-9F2E-315067C8994E}"/>
    <cellStyle name="Currency 6 3 3 3" xfId="2151" xr:uid="{00000000-0005-0000-0000-0000D1070000}"/>
    <cellStyle name="Currency 6 3 3 3 2" xfId="7483" xr:uid="{0546ED06-A839-440B-B15D-6B6E5536930B}"/>
    <cellStyle name="Currency 6 3 3 4" xfId="2152" xr:uid="{00000000-0005-0000-0000-0000D2070000}"/>
    <cellStyle name="Currency 6 3 3 4 2" xfId="7484" xr:uid="{AE202B0E-95D1-4690-BAEB-CD9FFB9392EC}"/>
    <cellStyle name="Currency 6 3 3 5" xfId="7480" xr:uid="{DCF63606-9728-4277-890A-5D59E4AAEDE1}"/>
    <cellStyle name="Currency 6 3 4" xfId="2153" xr:uid="{00000000-0005-0000-0000-0000D3070000}"/>
    <cellStyle name="Currency 6 3 4 2" xfId="2154" xr:uid="{00000000-0005-0000-0000-0000D4070000}"/>
    <cellStyle name="Currency 6 3 4 2 2" xfId="7486" xr:uid="{0CCCDF7D-426F-44D6-9804-D135DC8AEC64}"/>
    <cellStyle name="Currency 6 3 4 3" xfId="7485" xr:uid="{0BA6A6EF-6F16-4738-ABFB-232ECBBB9398}"/>
    <cellStyle name="Currency 6 3 5" xfId="2155" xr:uid="{00000000-0005-0000-0000-0000D5070000}"/>
    <cellStyle name="Currency 6 3 5 2" xfId="7487" xr:uid="{906D833C-2B64-4C40-9B04-936ECDD11D85}"/>
    <cellStyle name="Currency 6 3 6" xfId="2156" xr:uid="{00000000-0005-0000-0000-0000D6070000}"/>
    <cellStyle name="Currency 6 3 6 2" xfId="7488" xr:uid="{2D38BB0C-2521-48CB-A2DE-2258487FDB1D}"/>
    <cellStyle name="Currency 6 3 7" xfId="7473" xr:uid="{CE40D047-8F48-4163-8F88-43B6C186B001}"/>
    <cellStyle name="Currency 6 4" xfId="2157" xr:uid="{00000000-0005-0000-0000-0000D7070000}"/>
    <cellStyle name="Currency 6 4 2" xfId="2158" xr:uid="{00000000-0005-0000-0000-0000D8070000}"/>
    <cellStyle name="Currency 6 4 2 2" xfId="2159" xr:uid="{00000000-0005-0000-0000-0000D9070000}"/>
    <cellStyle name="Currency 6 4 2 2 2" xfId="7491" xr:uid="{0929AFCF-C4B1-43D3-B6BB-B8B749470BC7}"/>
    <cellStyle name="Currency 6 4 2 3" xfId="2160" xr:uid="{00000000-0005-0000-0000-0000DA070000}"/>
    <cellStyle name="Currency 6 4 2 3 2" xfId="7492" xr:uid="{28A6DE72-09CD-4110-AC48-5A3035500B16}"/>
    <cellStyle name="Currency 6 4 2 4" xfId="7490" xr:uid="{9496B0DD-0ED5-4A9E-9117-2FD3C76A2785}"/>
    <cellStyle name="Currency 6 4 3" xfId="2161" xr:uid="{00000000-0005-0000-0000-0000DB070000}"/>
    <cellStyle name="Currency 6 4 3 2" xfId="7493" xr:uid="{55BAAB6A-4E3A-4ED5-B759-7BDE5511A016}"/>
    <cellStyle name="Currency 6 4 4" xfId="2162" xr:uid="{00000000-0005-0000-0000-0000DC070000}"/>
    <cellStyle name="Currency 6 4 4 2" xfId="7494" xr:uid="{ADB975A8-5DEB-4074-B7BD-D0A01A818208}"/>
    <cellStyle name="Currency 6 4 5" xfId="7489" xr:uid="{04160653-B7D7-402E-8B48-2275A5A66C5E}"/>
    <cellStyle name="Currency 6 5" xfId="2163" xr:uid="{00000000-0005-0000-0000-0000DD070000}"/>
    <cellStyle name="Currency 6 5 2" xfId="2164" xr:uid="{00000000-0005-0000-0000-0000DE070000}"/>
    <cellStyle name="Currency 6 5 2 2" xfId="2165" xr:uid="{00000000-0005-0000-0000-0000DF070000}"/>
    <cellStyle name="Currency 6 5 2 2 2" xfId="7497" xr:uid="{653E8D03-1293-4A80-817A-94ECE23234C1}"/>
    <cellStyle name="Currency 6 5 2 3" xfId="7496" xr:uid="{0D1A52E9-752A-44FA-A7F4-70298245E256}"/>
    <cellStyle name="Currency 6 5 3" xfId="2166" xr:uid="{00000000-0005-0000-0000-0000E0070000}"/>
    <cellStyle name="Currency 6 5 3 2" xfId="7498" xr:uid="{A1226D6F-53F7-4FA6-99B8-7EB297885FE1}"/>
    <cellStyle name="Currency 6 5 4" xfId="2167" xr:uid="{00000000-0005-0000-0000-0000E1070000}"/>
    <cellStyle name="Currency 6 5 4 2" xfId="7499" xr:uid="{C5EC3832-EDC5-4010-A30A-D0BDF8D01223}"/>
    <cellStyle name="Currency 6 5 5" xfId="7495" xr:uid="{C983A003-D245-4185-91CA-48B22AB26583}"/>
    <cellStyle name="Currency 6 6" xfId="2168" xr:uid="{00000000-0005-0000-0000-0000E2070000}"/>
    <cellStyle name="Currency 6 6 2" xfId="2169" xr:uid="{00000000-0005-0000-0000-0000E3070000}"/>
    <cellStyle name="Currency 6 6 2 2" xfId="7501" xr:uid="{8E77D3B0-46BC-4BEF-B0AF-015784AD9561}"/>
    <cellStyle name="Currency 6 6 3" xfId="2170" xr:uid="{00000000-0005-0000-0000-0000E4070000}"/>
    <cellStyle name="Currency 6 6 3 2" xfId="7502" xr:uid="{195C426C-5C25-4A08-9E4A-C4025C36DA76}"/>
    <cellStyle name="Currency 6 6 4" xfId="7500" xr:uid="{2EB5EB70-DD94-4C6B-B202-F9579523832D}"/>
    <cellStyle name="Currency 6 7" xfId="2171" xr:uid="{00000000-0005-0000-0000-0000E5070000}"/>
    <cellStyle name="Currency 6 7 2" xfId="7503" xr:uid="{51C15E59-D435-4D3C-8F08-26EA99D99B97}"/>
    <cellStyle name="Currency 6 8" xfId="2172" xr:uid="{00000000-0005-0000-0000-0000E6070000}"/>
    <cellStyle name="Currency 6 8 2" xfId="7504" xr:uid="{0728CDCE-A018-4DC4-848F-056BCB721F5F}"/>
    <cellStyle name="Currency 6 9" xfId="7439" xr:uid="{7F53FAF3-7895-4183-9A5D-FEB6716ABF9D}"/>
    <cellStyle name="Currency 7" xfId="2173" xr:uid="{00000000-0005-0000-0000-0000E7070000}"/>
    <cellStyle name="Currency 8" xfId="2174" xr:uid="{00000000-0005-0000-0000-0000E8070000}"/>
    <cellStyle name="Currency 9" xfId="2175" xr:uid="{00000000-0005-0000-0000-0000E9070000}"/>
    <cellStyle name="Hyperlink" xfId="2" builtinId="8"/>
    <cellStyle name="Hyperlink 2" xfId="15" xr:uid="{00000000-0005-0000-0000-0000EB070000}"/>
    <cellStyle name="Hyperlink 3" xfId="2176" xr:uid="{00000000-0005-0000-0000-0000EC070000}"/>
    <cellStyle name="Normal" xfId="0" builtinId="0"/>
    <cellStyle name="Normal 10" xfId="20" xr:uid="{00000000-0005-0000-0000-0000EE070000}"/>
    <cellStyle name="Normal 10 2" xfId="231" xr:uid="{00000000-0005-0000-0000-0000EF070000}"/>
    <cellStyle name="Normal 10 2 2" xfId="2177" xr:uid="{00000000-0005-0000-0000-0000F0070000}"/>
    <cellStyle name="Normal 10 2 2 2" xfId="2178" xr:uid="{00000000-0005-0000-0000-0000F1070000}"/>
    <cellStyle name="Normal 10 2 2 2 2" xfId="7506" xr:uid="{ED436522-365E-421E-8DB7-4F45603AA2C7}"/>
    <cellStyle name="Normal 10 2 2 3" xfId="7505" xr:uid="{1F955684-B2ED-4870-91E9-AEAAFB573E7F}"/>
    <cellStyle name="Normal 10 2 3" xfId="2179" xr:uid="{00000000-0005-0000-0000-0000F2070000}"/>
    <cellStyle name="Normal 10 2 3 2" xfId="2180" xr:uid="{00000000-0005-0000-0000-0000F3070000}"/>
    <cellStyle name="Normal 10 2 3 2 2" xfId="7508" xr:uid="{B386A47E-DE39-4DD4-A8C6-1BDC08AE1228}"/>
    <cellStyle name="Normal 10 2 3 3" xfId="7507" xr:uid="{12CEB503-69B0-42BA-9619-03FF0E0A2C03}"/>
    <cellStyle name="Normal 10 2 4" xfId="2181" xr:uid="{00000000-0005-0000-0000-0000F4070000}"/>
    <cellStyle name="Normal 10 2 4 2" xfId="7509" xr:uid="{E2635124-F191-4AC7-9E66-DAFADCAB9E8B}"/>
    <cellStyle name="Normal 10 2 5" xfId="5565" xr:uid="{14B42502-CA36-4341-9BB8-18EAD70BCBCB}"/>
    <cellStyle name="Normal 10 3" xfId="2182" xr:uid="{00000000-0005-0000-0000-0000F5070000}"/>
    <cellStyle name="Normal 10 4" xfId="2183" xr:uid="{00000000-0005-0000-0000-0000F6070000}"/>
    <cellStyle name="Normal 10 4 2" xfId="2184" xr:uid="{00000000-0005-0000-0000-0000F7070000}"/>
    <cellStyle name="Normal 10 4 2 2" xfId="7511" xr:uid="{E7D64108-DE31-4070-9D17-903617691949}"/>
    <cellStyle name="Normal 10 4 3" xfId="7510" xr:uid="{124399C9-75EE-4BB1-93B0-27D313015FEF}"/>
    <cellStyle name="Normal 10 5" xfId="2185" xr:uid="{00000000-0005-0000-0000-0000F8070000}"/>
    <cellStyle name="Normal 10 5 2" xfId="2186" xr:uid="{00000000-0005-0000-0000-0000F9070000}"/>
    <cellStyle name="Normal 10 5 2 2" xfId="7513" xr:uid="{76FD3816-44C3-4530-8AA5-4927904F1B2D}"/>
    <cellStyle name="Normal 10 5 3" xfId="7512" xr:uid="{02B911FC-1D34-4963-8B15-27EF390797B9}"/>
    <cellStyle name="Normal 10 6" xfId="2187" xr:uid="{00000000-0005-0000-0000-0000FA070000}"/>
    <cellStyle name="Normal 10 6 2" xfId="7514" xr:uid="{75615B1D-62C6-4535-8273-8126C320E3FC}"/>
    <cellStyle name="Normal 10 7" xfId="5356" xr:uid="{5B4D0456-BF69-492B-881F-8BCE1DD91B4A}"/>
    <cellStyle name="Normal 11" xfId="2188" xr:uid="{00000000-0005-0000-0000-0000FB070000}"/>
    <cellStyle name="Normal 11 2" xfId="2189" xr:uid="{00000000-0005-0000-0000-0000FC070000}"/>
    <cellStyle name="Normal 12" xfId="2190" xr:uid="{00000000-0005-0000-0000-0000FD070000}"/>
    <cellStyle name="Normal 12 2" xfId="2191" xr:uid="{00000000-0005-0000-0000-0000FE070000}"/>
    <cellStyle name="Normal 13" xfId="10669" xr:uid="{98CBF527-6568-4A5C-8624-DBA2BFBACAD6}"/>
    <cellStyle name="Normal 2" xfId="3" xr:uid="{00000000-0005-0000-0000-0000FF070000}"/>
    <cellStyle name="Normal 2 2" xfId="2192" xr:uid="{00000000-0005-0000-0000-000000080000}"/>
    <cellStyle name="Normal 3" xfId="4" xr:uid="{00000000-0005-0000-0000-000001080000}"/>
    <cellStyle name="Normal 3 10" xfId="2193" xr:uid="{00000000-0005-0000-0000-000002080000}"/>
    <cellStyle name="Normal 3 10 2" xfId="2194" xr:uid="{00000000-0005-0000-0000-000003080000}"/>
    <cellStyle name="Normal 3 10 2 2" xfId="7516" xr:uid="{6717DFBD-A82B-45A5-BA90-155706F93322}"/>
    <cellStyle name="Normal 3 10 3" xfId="2195" xr:uid="{00000000-0005-0000-0000-000004080000}"/>
    <cellStyle name="Normal 3 10 3 2" xfId="7517" xr:uid="{6A5C463A-37D2-4214-B1F4-9DC354952DE0}"/>
    <cellStyle name="Normal 3 10 4" xfId="7515" xr:uid="{D9261D60-87F7-430A-AAC6-44EB3656A512}"/>
    <cellStyle name="Normal 3 11" xfId="2196" xr:uid="{00000000-0005-0000-0000-000005080000}"/>
    <cellStyle name="Normal 3 11 2" xfId="2197" xr:uid="{00000000-0005-0000-0000-000006080000}"/>
    <cellStyle name="Normal 3 11 2 2" xfId="7519" xr:uid="{784DA025-0CC3-4954-8704-C41B6FB9CDC3}"/>
    <cellStyle name="Normal 3 11 3" xfId="2198" xr:uid="{00000000-0005-0000-0000-000007080000}"/>
    <cellStyle name="Normal 3 11 3 2" xfId="7520" xr:uid="{4E345CBE-5C69-4944-A809-CDC4D38477AA}"/>
    <cellStyle name="Normal 3 11 4" xfId="7518" xr:uid="{24F623AA-D401-4234-9267-12A928194925}"/>
    <cellStyle name="Normal 3 12" xfId="2199" xr:uid="{00000000-0005-0000-0000-000008080000}"/>
    <cellStyle name="Normal 3 12 2" xfId="2200" xr:uid="{00000000-0005-0000-0000-000009080000}"/>
    <cellStyle name="Normal 3 12 2 2" xfId="7522" xr:uid="{4BE857DA-64BB-4008-B7F5-3E3236234C17}"/>
    <cellStyle name="Normal 3 12 3" xfId="7521" xr:uid="{C7101613-A6BE-418E-823F-6CAB43477C5E}"/>
    <cellStyle name="Normal 3 13" xfId="2201" xr:uid="{00000000-0005-0000-0000-00000A080000}"/>
    <cellStyle name="Normal 3 13 2" xfId="2202" xr:uid="{00000000-0005-0000-0000-00000B080000}"/>
    <cellStyle name="Normal 3 13 2 2" xfId="7524" xr:uid="{84BBA08A-B594-4B6F-A937-A671EE00CC69}"/>
    <cellStyle name="Normal 3 13 3" xfId="7523" xr:uid="{6775CACE-7379-4B81-8B48-8E15FF673A72}"/>
    <cellStyle name="Normal 3 14" xfId="2203" xr:uid="{00000000-0005-0000-0000-00000C080000}"/>
    <cellStyle name="Normal 3 14 2" xfId="2204" xr:uid="{00000000-0005-0000-0000-00000D080000}"/>
    <cellStyle name="Normal 3 14 2 2" xfId="7526" xr:uid="{C9634D71-9787-426A-B6B1-8C704D22EBB2}"/>
    <cellStyle name="Normal 3 14 3" xfId="7525" xr:uid="{239771E0-AFBC-40DD-A8C1-988D11B76F1B}"/>
    <cellStyle name="Normal 3 15" xfId="2205" xr:uid="{00000000-0005-0000-0000-00000E080000}"/>
    <cellStyle name="Normal 3 15 2" xfId="7527" xr:uid="{6CBFD103-3644-4719-AFCE-3B3A7EBCF3D7}"/>
    <cellStyle name="Normal 3 16" xfId="2206" xr:uid="{00000000-0005-0000-0000-00000F080000}"/>
    <cellStyle name="Normal 3 16 2" xfId="7528" xr:uid="{40829F8B-37D5-4B7D-9EB4-31FB86E47FDB}"/>
    <cellStyle name="Normal 3 17" xfId="5339" xr:uid="{712BE5BC-F5D1-464D-B48F-F96154041D2F}"/>
    <cellStyle name="Normal 3 17 2" xfId="10658" xr:uid="{0489613A-F0A0-49C8-8AB6-E94F82A9A068}"/>
    <cellStyle name="Normal 3 18" xfId="5350" xr:uid="{6B140AF6-4BBE-4A6B-89F7-B1D7B1A00BD1}"/>
    <cellStyle name="Normal 3 2" xfId="14" xr:uid="{00000000-0005-0000-0000-000010080000}"/>
    <cellStyle name="Normal 3 2 10" xfId="2207" xr:uid="{00000000-0005-0000-0000-000011080000}"/>
    <cellStyle name="Normal 3 2 10 2" xfId="2208" xr:uid="{00000000-0005-0000-0000-000012080000}"/>
    <cellStyle name="Normal 3 2 10 2 2" xfId="7530" xr:uid="{4D2E0F3F-9DA3-4AA1-A50A-E4DC43B2E863}"/>
    <cellStyle name="Normal 3 2 10 3" xfId="2209" xr:uid="{00000000-0005-0000-0000-000013080000}"/>
    <cellStyle name="Normal 3 2 10 3 2" xfId="7531" xr:uid="{56874A28-EFF3-4F3B-B5F8-8CC783DFED15}"/>
    <cellStyle name="Normal 3 2 10 4" xfId="7529" xr:uid="{D498FF26-5424-4CDC-A3BB-B562DB7413FC}"/>
    <cellStyle name="Normal 3 2 11" xfId="2210" xr:uid="{00000000-0005-0000-0000-000014080000}"/>
    <cellStyle name="Normal 3 2 11 2" xfId="2211" xr:uid="{00000000-0005-0000-0000-000015080000}"/>
    <cellStyle name="Normal 3 2 11 2 2" xfId="7533" xr:uid="{832FE336-F84A-492E-9593-C385EC881559}"/>
    <cellStyle name="Normal 3 2 11 3" xfId="7532" xr:uid="{A98A518B-2FB3-4A2A-83A0-41F4B23E6AD8}"/>
    <cellStyle name="Normal 3 2 12" xfId="2212" xr:uid="{00000000-0005-0000-0000-000016080000}"/>
    <cellStyle name="Normal 3 2 12 2" xfId="2213" xr:uid="{00000000-0005-0000-0000-000017080000}"/>
    <cellStyle name="Normal 3 2 12 2 2" xfId="7535" xr:uid="{51948046-E27B-401C-80F7-5B2D4F95897A}"/>
    <cellStyle name="Normal 3 2 12 3" xfId="7534" xr:uid="{93E3BD5F-8CAD-44E5-8D2F-1D55BFB1F1A9}"/>
    <cellStyle name="Normal 3 2 13" xfId="2214" xr:uid="{00000000-0005-0000-0000-000018080000}"/>
    <cellStyle name="Normal 3 2 13 2" xfId="7536" xr:uid="{C15C07B7-939A-447C-866C-6433FC501CCA}"/>
    <cellStyle name="Normal 3 2 14" xfId="2215" xr:uid="{00000000-0005-0000-0000-000019080000}"/>
    <cellStyle name="Normal 3 2 14 2" xfId="7537" xr:uid="{EE6CFDF7-5EE0-436B-A1CD-4B855D93635B}"/>
    <cellStyle name="Normal 3 2 15" xfId="5340" xr:uid="{BB61332C-0A55-402D-9EC1-8FE97BD9FD56}"/>
    <cellStyle name="Normal 3 2 15 2" xfId="10659" xr:uid="{00E66C62-0711-4D36-8F09-41C4F23B40CD}"/>
    <cellStyle name="Normal 3 2 16" xfId="5351" xr:uid="{A6AF599E-AF6A-48D4-B911-FF1B3F1F37AC}"/>
    <cellStyle name="Normal 3 2 2" xfId="18" xr:uid="{00000000-0005-0000-0000-00001A080000}"/>
    <cellStyle name="Normal 3 2 2 10" xfId="2216" xr:uid="{00000000-0005-0000-0000-00001B080000}"/>
    <cellStyle name="Normal 3 2 2 10 2" xfId="2217" xr:uid="{00000000-0005-0000-0000-00001C080000}"/>
    <cellStyle name="Normal 3 2 2 10 2 2" xfId="7539" xr:uid="{B707EC33-94EE-4F24-A249-617ED9D31ED5}"/>
    <cellStyle name="Normal 3 2 2 10 3" xfId="7538" xr:uid="{4FD573F1-8E28-4F1F-BA41-46FAF75396D7}"/>
    <cellStyle name="Normal 3 2 2 11" xfId="2218" xr:uid="{00000000-0005-0000-0000-00001D080000}"/>
    <cellStyle name="Normal 3 2 2 11 2" xfId="7540" xr:uid="{63BB6ED4-6F3D-4FF3-BE26-4B189B570CED}"/>
    <cellStyle name="Normal 3 2 2 12" xfId="2219" xr:uid="{00000000-0005-0000-0000-00001E080000}"/>
    <cellStyle name="Normal 3 2 2 12 2" xfId="7541" xr:uid="{515D623C-9C2E-4166-A09A-9C76CAD3B213}"/>
    <cellStyle name="Normal 3 2 2 13" xfId="5343" xr:uid="{4FB7E314-A267-4892-9588-6934FD4C9857}"/>
    <cellStyle name="Normal 3 2 2 13 2" xfId="10662" xr:uid="{075ACDD5-578A-4DC0-BB7F-DCFE4C40FCD5}"/>
    <cellStyle name="Normal 3 2 2 14" xfId="5354" xr:uid="{C02CAE18-7636-4054-BE6C-B268F7393E03}"/>
    <cellStyle name="Normal 3 2 2 2" xfId="103" xr:uid="{00000000-0005-0000-0000-00001F080000}"/>
    <cellStyle name="Normal 3 2 2 2 10" xfId="2220" xr:uid="{00000000-0005-0000-0000-000020080000}"/>
    <cellStyle name="Normal 3 2 2 2 10 2" xfId="7542" xr:uid="{DE4C5387-A75D-442B-BCD6-095E233DFAE0}"/>
    <cellStyle name="Normal 3 2 2 2 11" xfId="5437" xr:uid="{C3695D96-3145-430B-AC4F-DC154E97AB07}"/>
    <cellStyle name="Normal 3 2 2 2 2" xfId="104" xr:uid="{00000000-0005-0000-0000-000021080000}"/>
    <cellStyle name="Normal 3 2 2 2 2 10" xfId="5438" xr:uid="{77B87CE0-5F07-4165-8BD9-06A247B8AA51}"/>
    <cellStyle name="Normal 3 2 2 2 2 2" xfId="105" xr:uid="{00000000-0005-0000-0000-000022080000}"/>
    <cellStyle name="Normal 3 2 2 2 2 2 2" xfId="2221" xr:uid="{00000000-0005-0000-0000-000023080000}"/>
    <cellStyle name="Normal 3 2 2 2 2 2 2 2" xfId="2222" xr:uid="{00000000-0005-0000-0000-000024080000}"/>
    <cellStyle name="Normal 3 2 2 2 2 2 2 2 2" xfId="2223" xr:uid="{00000000-0005-0000-0000-000025080000}"/>
    <cellStyle name="Normal 3 2 2 2 2 2 2 2 2 2" xfId="7545" xr:uid="{6BC5A6FE-4FC3-473F-ACEC-8D0B78326EB7}"/>
    <cellStyle name="Normal 3 2 2 2 2 2 2 2 3" xfId="2224" xr:uid="{00000000-0005-0000-0000-000026080000}"/>
    <cellStyle name="Normal 3 2 2 2 2 2 2 2 3 2" xfId="7546" xr:uid="{99A27F28-DA0F-4ACE-BF60-D75A8E386B04}"/>
    <cellStyle name="Normal 3 2 2 2 2 2 2 2 4" xfId="7544" xr:uid="{95C1F59B-A7D9-480E-BF6F-2E75A1619A38}"/>
    <cellStyle name="Normal 3 2 2 2 2 2 2 3" xfId="2225" xr:uid="{00000000-0005-0000-0000-000027080000}"/>
    <cellStyle name="Normal 3 2 2 2 2 2 2 3 2" xfId="7547" xr:uid="{DE3023FF-B690-4F58-9ECD-7BBC2A6DAC40}"/>
    <cellStyle name="Normal 3 2 2 2 2 2 2 4" xfId="2226" xr:uid="{00000000-0005-0000-0000-000028080000}"/>
    <cellStyle name="Normal 3 2 2 2 2 2 2 4 2" xfId="7548" xr:uid="{C1C676DD-F2D1-49D5-8CAD-B8355734729F}"/>
    <cellStyle name="Normal 3 2 2 2 2 2 2 5" xfId="7543" xr:uid="{3B9FD210-ABA8-4A1D-9594-A9902E3339B7}"/>
    <cellStyle name="Normal 3 2 2 2 2 2 3" xfId="2227" xr:uid="{00000000-0005-0000-0000-000029080000}"/>
    <cellStyle name="Normal 3 2 2 2 2 2 3 2" xfId="2228" xr:uid="{00000000-0005-0000-0000-00002A080000}"/>
    <cellStyle name="Normal 3 2 2 2 2 2 3 2 2" xfId="2229" xr:uid="{00000000-0005-0000-0000-00002B080000}"/>
    <cellStyle name="Normal 3 2 2 2 2 2 3 2 2 2" xfId="7551" xr:uid="{EB2B83FE-3F4A-4509-8B9D-58267F9712C4}"/>
    <cellStyle name="Normal 3 2 2 2 2 2 3 2 3" xfId="7550" xr:uid="{4D755D0D-2C07-415A-A11B-E35A070505D6}"/>
    <cellStyle name="Normal 3 2 2 2 2 2 3 3" xfId="2230" xr:uid="{00000000-0005-0000-0000-00002C080000}"/>
    <cellStyle name="Normal 3 2 2 2 2 2 3 3 2" xfId="7552" xr:uid="{FCC95668-16F7-42B7-AEF4-B46D28A9E558}"/>
    <cellStyle name="Normal 3 2 2 2 2 2 3 4" xfId="2231" xr:uid="{00000000-0005-0000-0000-00002D080000}"/>
    <cellStyle name="Normal 3 2 2 2 2 2 3 4 2" xfId="7553" xr:uid="{A2BC65B8-CEBF-428B-9129-6306840FD2B6}"/>
    <cellStyle name="Normal 3 2 2 2 2 2 3 5" xfId="7549" xr:uid="{9DC9C799-C0C0-4573-9B25-4874225E2C35}"/>
    <cellStyle name="Normal 3 2 2 2 2 2 4" xfId="2232" xr:uid="{00000000-0005-0000-0000-00002E080000}"/>
    <cellStyle name="Normal 3 2 2 2 2 2 4 2" xfId="2233" xr:uid="{00000000-0005-0000-0000-00002F080000}"/>
    <cellStyle name="Normal 3 2 2 2 2 2 4 2 2" xfId="7555" xr:uid="{1D0F4F57-2034-4F82-B354-42A884D4E417}"/>
    <cellStyle name="Normal 3 2 2 2 2 2 4 3" xfId="7554" xr:uid="{4FCA6274-F79C-441B-B831-D72412D6BF75}"/>
    <cellStyle name="Normal 3 2 2 2 2 2 5" xfId="2234" xr:uid="{00000000-0005-0000-0000-000030080000}"/>
    <cellStyle name="Normal 3 2 2 2 2 2 5 2" xfId="2235" xr:uid="{00000000-0005-0000-0000-000031080000}"/>
    <cellStyle name="Normal 3 2 2 2 2 2 5 2 2" xfId="7557" xr:uid="{C53FB19D-2F70-42B6-926B-62BFECE03408}"/>
    <cellStyle name="Normal 3 2 2 2 2 2 5 3" xfId="7556" xr:uid="{68BB2D35-D9B9-4281-A4B2-658D2989884A}"/>
    <cellStyle name="Normal 3 2 2 2 2 2 6" xfId="2236" xr:uid="{00000000-0005-0000-0000-000032080000}"/>
    <cellStyle name="Normal 3 2 2 2 2 2 6 2" xfId="2237" xr:uid="{00000000-0005-0000-0000-000033080000}"/>
    <cellStyle name="Normal 3 2 2 2 2 2 6 2 2" xfId="7559" xr:uid="{C5790626-6B61-4426-821D-FE54EB5D96EC}"/>
    <cellStyle name="Normal 3 2 2 2 2 2 6 3" xfId="7558" xr:uid="{2BDDD235-9E2E-4D5C-9F36-AFA3CC3B6398}"/>
    <cellStyle name="Normal 3 2 2 2 2 2 7" xfId="2238" xr:uid="{00000000-0005-0000-0000-000034080000}"/>
    <cellStyle name="Normal 3 2 2 2 2 2 7 2" xfId="7560" xr:uid="{784CD133-A418-487B-9888-12DE958678F4}"/>
    <cellStyle name="Normal 3 2 2 2 2 2 8" xfId="2239" xr:uid="{00000000-0005-0000-0000-000035080000}"/>
    <cellStyle name="Normal 3 2 2 2 2 2 8 2" xfId="7561" xr:uid="{75736706-4313-410A-B29D-BBF0C352C6A0}"/>
    <cellStyle name="Normal 3 2 2 2 2 2 9" xfId="5439" xr:uid="{27B99543-DCB2-4147-8522-3AFD2BB81759}"/>
    <cellStyle name="Normal 3 2 2 2 2 3" xfId="2240" xr:uid="{00000000-0005-0000-0000-000036080000}"/>
    <cellStyle name="Normal 3 2 2 2 2 3 2" xfId="2241" xr:uid="{00000000-0005-0000-0000-000037080000}"/>
    <cellStyle name="Normal 3 2 2 2 2 3 2 2" xfId="2242" xr:uid="{00000000-0005-0000-0000-000038080000}"/>
    <cellStyle name="Normal 3 2 2 2 2 3 2 2 2" xfId="7564" xr:uid="{512BA323-B2DD-46D2-87B9-55024F06A00E}"/>
    <cellStyle name="Normal 3 2 2 2 2 3 2 3" xfId="2243" xr:uid="{00000000-0005-0000-0000-000039080000}"/>
    <cellStyle name="Normal 3 2 2 2 2 3 2 3 2" xfId="7565" xr:uid="{46761FE5-DD8A-4836-BA7A-9B8A13D6792F}"/>
    <cellStyle name="Normal 3 2 2 2 2 3 2 4" xfId="7563" xr:uid="{7DE0D4B7-D8CF-4FFB-84C7-CFA40651D24F}"/>
    <cellStyle name="Normal 3 2 2 2 2 3 3" xfId="2244" xr:uid="{00000000-0005-0000-0000-00003A080000}"/>
    <cellStyle name="Normal 3 2 2 2 2 3 3 2" xfId="7566" xr:uid="{AB513C4A-6C4D-430F-97E3-BB20AE0ECDFC}"/>
    <cellStyle name="Normal 3 2 2 2 2 3 4" xfId="2245" xr:uid="{00000000-0005-0000-0000-00003B080000}"/>
    <cellStyle name="Normal 3 2 2 2 2 3 4 2" xfId="7567" xr:uid="{AAD547AD-E8EA-47CE-BAD6-C9BB6FF29BAB}"/>
    <cellStyle name="Normal 3 2 2 2 2 3 5" xfId="7562" xr:uid="{177BA137-2F07-4D18-B590-650E615B50C7}"/>
    <cellStyle name="Normal 3 2 2 2 2 4" xfId="2246" xr:uid="{00000000-0005-0000-0000-00003C080000}"/>
    <cellStyle name="Normal 3 2 2 2 2 4 2" xfId="2247" xr:uid="{00000000-0005-0000-0000-00003D080000}"/>
    <cellStyle name="Normal 3 2 2 2 2 4 2 2" xfId="2248" xr:uid="{00000000-0005-0000-0000-00003E080000}"/>
    <cellStyle name="Normal 3 2 2 2 2 4 2 2 2" xfId="7570" xr:uid="{40D22DC5-5D27-40C8-9D64-2F458214581E}"/>
    <cellStyle name="Normal 3 2 2 2 2 4 2 3" xfId="7569" xr:uid="{C9EE695A-B075-4634-BC5A-C46C8A53F16F}"/>
    <cellStyle name="Normal 3 2 2 2 2 4 3" xfId="2249" xr:uid="{00000000-0005-0000-0000-00003F080000}"/>
    <cellStyle name="Normal 3 2 2 2 2 4 3 2" xfId="7571" xr:uid="{98880C8F-EC25-4238-AE7E-5ECEBEE96E0D}"/>
    <cellStyle name="Normal 3 2 2 2 2 4 4" xfId="2250" xr:uid="{00000000-0005-0000-0000-000040080000}"/>
    <cellStyle name="Normal 3 2 2 2 2 4 4 2" xfId="7572" xr:uid="{8E6A1B9E-BB41-4EDD-B197-65C30410DE88}"/>
    <cellStyle name="Normal 3 2 2 2 2 4 5" xfId="7568" xr:uid="{120C70B2-1572-47DC-8FAE-4696F3FE1D5A}"/>
    <cellStyle name="Normal 3 2 2 2 2 5" xfId="2251" xr:uid="{00000000-0005-0000-0000-000041080000}"/>
    <cellStyle name="Normal 3 2 2 2 2 5 2" xfId="2252" xr:uid="{00000000-0005-0000-0000-000042080000}"/>
    <cellStyle name="Normal 3 2 2 2 2 5 2 2" xfId="7574" xr:uid="{B8B223F4-1453-4F4B-B92E-8A68D913AB8C}"/>
    <cellStyle name="Normal 3 2 2 2 2 5 3" xfId="7573" xr:uid="{FB996B26-A19E-4C54-A748-D0C7D2D7B6A2}"/>
    <cellStyle name="Normal 3 2 2 2 2 6" xfId="2253" xr:uid="{00000000-0005-0000-0000-000043080000}"/>
    <cellStyle name="Normal 3 2 2 2 2 6 2" xfId="2254" xr:uid="{00000000-0005-0000-0000-000044080000}"/>
    <cellStyle name="Normal 3 2 2 2 2 6 2 2" xfId="7576" xr:uid="{87196D46-755B-4AF8-BED6-6002895511F3}"/>
    <cellStyle name="Normal 3 2 2 2 2 6 3" xfId="7575" xr:uid="{72729796-99DC-434C-A791-0D710FCC5847}"/>
    <cellStyle name="Normal 3 2 2 2 2 7" xfId="2255" xr:uid="{00000000-0005-0000-0000-000045080000}"/>
    <cellStyle name="Normal 3 2 2 2 2 7 2" xfId="2256" xr:uid="{00000000-0005-0000-0000-000046080000}"/>
    <cellStyle name="Normal 3 2 2 2 2 7 2 2" xfId="7578" xr:uid="{90DB0A5B-ED70-4402-93F9-46804B46617A}"/>
    <cellStyle name="Normal 3 2 2 2 2 7 3" xfId="7577" xr:uid="{E3F3471C-C383-40AB-8CE3-CA43C5E0B6F8}"/>
    <cellStyle name="Normal 3 2 2 2 2 8" xfId="2257" xr:uid="{00000000-0005-0000-0000-000047080000}"/>
    <cellStyle name="Normal 3 2 2 2 2 8 2" xfId="7579" xr:uid="{AE29B650-CC24-4C5F-BE74-0A637F19680A}"/>
    <cellStyle name="Normal 3 2 2 2 2 9" xfId="2258" xr:uid="{00000000-0005-0000-0000-000048080000}"/>
    <cellStyle name="Normal 3 2 2 2 2 9 2" xfId="7580" xr:uid="{C6E02B3B-F19F-4F5B-A6E7-9AC538C88D62}"/>
    <cellStyle name="Normal 3 2 2 2 3" xfId="106" xr:uid="{00000000-0005-0000-0000-000049080000}"/>
    <cellStyle name="Normal 3 2 2 2 3 2" xfId="2259" xr:uid="{00000000-0005-0000-0000-00004A080000}"/>
    <cellStyle name="Normal 3 2 2 2 3 2 2" xfId="2260" xr:uid="{00000000-0005-0000-0000-00004B080000}"/>
    <cellStyle name="Normal 3 2 2 2 3 2 2 2" xfId="2261" xr:uid="{00000000-0005-0000-0000-00004C080000}"/>
    <cellStyle name="Normal 3 2 2 2 3 2 2 2 2" xfId="7583" xr:uid="{10C05E6F-91B0-4FF0-846D-0A23766CAAE8}"/>
    <cellStyle name="Normal 3 2 2 2 3 2 2 3" xfId="2262" xr:uid="{00000000-0005-0000-0000-00004D080000}"/>
    <cellStyle name="Normal 3 2 2 2 3 2 2 3 2" xfId="7584" xr:uid="{4B7B4355-6931-4C50-B4D0-8200B6441D9B}"/>
    <cellStyle name="Normal 3 2 2 2 3 2 2 4" xfId="7582" xr:uid="{A79FC843-3D92-4964-88B2-03FD4B6155F1}"/>
    <cellStyle name="Normal 3 2 2 2 3 2 3" xfId="2263" xr:uid="{00000000-0005-0000-0000-00004E080000}"/>
    <cellStyle name="Normal 3 2 2 2 3 2 3 2" xfId="7585" xr:uid="{26C91EA4-B5FA-4E69-8B9F-4839B45372AF}"/>
    <cellStyle name="Normal 3 2 2 2 3 2 4" xfId="2264" xr:uid="{00000000-0005-0000-0000-00004F080000}"/>
    <cellStyle name="Normal 3 2 2 2 3 2 4 2" xfId="7586" xr:uid="{20C87E51-6970-4DC6-991E-822FC453C6A5}"/>
    <cellStyle name="Normal 3 2 2 2 3 2 5" xfId="7581" xr:uid="{7013BE7B-58D6-4CBF-BF30-35E2DF3E0D09}"/>
    <cellStyle name="Normal 3 2 2 2 3 3" xfId="2265" xr:uid="{00000000-0005-0000-0000-000050080000}"/>
    <cellStyle name="Normal 3 2 2 2 3 3 2" xfId="2266" xr:uid="{00000000-0005-0000-0000-000051080000}"/>
    <cellStyle name="Normal 3 2 2 2 3 3 2 2" xfId="2267" xr:uid="{00000000-0005-0000-0000-000052080000}"/>
    <cellStyle name="Normal 3 2 2 2 3 3 2 2 2" xfId="7589" xr:uid="{9828F411-75DA-487F-A4CA-EBEDAFB6A5C5}"/>
    <cellStyle name="Normal 3 2 2 2 3 3 2 3" xfId="7588" xr:uid="{96903018-1E95-49B3-A1A6-04F64DE30C4B}"/>
    <cellStyle name="Normal 3 2 2 2 3 3 3" xfId="2268" xr:uid="{00000000-0005-0000-0000-000053080000}"/>
    <cellStyle name="Normal 3 2 2 2 3 3 3 2" xfId="7590" xr:uid="{A9AEA623-55A6-4BF2-9747-7AEC116A4ED9}"/>
    <cellStyle name="Normal 3 2 2 2 3 3 4" xfId="2269" xr:uid="{00000000-0005-0000-0000-000054080000}"/>
    <cellStyle name="Normal 3 2 2 2 3 3 4 2" xfId="7591" xr:uid="{600C3CDE-7944-4458-90EF-71F64856C81D}"/>
    <cellStyle name="Normal 3 2 2 2 3 3 5" xfId="7587" xr:uid="{17E253F5-C8D9-4D72-A86E-36EAE0176C5A}"/>
    <cellStyle name="Normal 3 2 2 2 3 4" xfId="2270" xr:uid="{00000000-0005-0000-0000-000055080000}"/>
    <cellStyle name="Normal 3 2 2 2 3 4 2" xfId="2271" xr:uid="{00000000-0005-0000-0000-000056080000}"/>
    <cellStyle name="Normal 3 2 2 2 3 4 2 2" xfId="7593" xr:uid="{E29BC8A9-43A8-4795-8ED3-9D732CA20B8C}"/>
    <cellStyle name="Normal 3 2 2 2 3 4 3" xfId="7592" xr:uid="{7B79F313-FCFF-4C4A-9CBF-5AF86030CF81}"/>
    <cellStyle name="Normal 3 2 2 2 3 5" xfId="2272" xr:uid="{00000000-0005-0000-0000-000057080000}"/>
    <cellStyle name="Normal 3 2 2 2 3 5 2" xfId="2273" xr:uid="{00000000-0005-0000-0000-000058080000}"/>
    <cellStyle name="Normal 3 2 2 2 3 5 2 2" xfId="7595" xr:uid="{2A52EEDE-0094-404E-984F-C7221C064FD6}"/>
    <cellStyle name="Normal 3 2 2 2 3 5 3" xfId="7594" xr:uid="{82A0466C-8D4A-4BE6-B1CD-775469491471}"/>
    <cellStyle name="Normal 3 2 2 2 3 6" xfId="2274" xr:uid="{00000000-0005-0000-0000-000059080000}"/>
    <cellStyle name="Normal 3 2 2 2 3 6 2" xfId="2275" xr:uid="{00000000-0005-0000-0000-00005A080000}"/>
    <cellStyle name="Normal 3 2 2 2 3 6 2 2" xfId="7597" xr:uid="{9EF72550-F0B0-48AC-842B-E36E3492E1EE}"/>
    <cellStyle name="Normal 3 2 2 2 3 6 3" xfId="7596" xr:uid="{185EA338-78AA-498F-A5F8-D9D1124D8B2C}"/>
    <cellStyle name="Normal 3 2 2 2 3 7" xfId="2276" xr:uid="{00000000-0005-0000-0000-00005B080000}"/>
    <cellStyle name="Normal 3 2 2 2 3 7 2" xfId="7598" xr:uid="{252947DF-B8B2-496C-8C62-ECC567C40AD8}"/>
    <cellStyle name="Normal 3 2 2 2 3 8" xfId="2277" xr:uid="{00000000-0005-0000-0000-00005C080000}"/>
    <cellStyle name="Normal 3 2 2 2 3 8 2" xfId="7599" xr:uid="{249E2B96-C252-4FBA-AE56-CCE79C20D399}"/>
    <cellStyle name="Normal 3 2 2 2 3 9" xfId="5440" xr:uid="{D719BDAC-50C7-4694-91E1-EA43139DD9EB}"/>
    <cellStyle name="Normal 3 2 2 2 4" xfId="2278" xr:uid="{00000000-0005-0000-0000-00005D080000}"/>
    <cellStyle name="Normal 3 2 2 2 4 2" xfId="2279" xr:uid="{00000000-0005-0000-0000-00005E080000}"/>
    <cellStyle name="Normal 3 2 2 2 4 2 2" xfId="2280" xr:uid="{00000000-0005-0000-0000-00005F080000}"/>
    <cellStyle name="Normal 3 2 2 2 4 2 2 2" xfId="7602" xr:uid="{92F94505-39CE-4DAB-A08B-849600C07732}"/>
    <cellStyle name="Normal 3 2 2 2 4 2 3" xfId="2281" xr:uid="{00000000-0005-0000-0000-000060080000}"/>
    <cellStyle name="Normal 3 2 2 2 4 2 3 2" xfId="7603" xr:uid="{0FF8F5EA-5832-4FB9-BEA1-4C99F6FCBA53}"/>
    <cellStyle name="Normal 3 2 2 2 4 2 4" xfId="7601" xr:uid="{5B3C8967-5D3F-4CD2-8394-2B280896891C}"/>
    <cellStyle name="Normal 3 2 2 2 4 3" xfId="2282" xr:uid="{00000000-0005-0000-0000-000061080000}"/>
    <cellStyle name="Normal 3 2 2 2 4 3 2" xfId="7604" xr:uid="{B5ED850B-8799-4E12-BCE0-9B65A4C9A13C}"/>
    <cellStyle name="Normal 3 2 2 2 4 4" xfId="2283" xr:uid="{00000000-0005-0000-0000-000062080000}"/>
    <cellStyle name="Normal 3 2 2 2 4 4 2" xfId="7605" xr:uid="{A48E7187-0914-49F6-806A-C96066509794}"/>
    <cellStyle name="Normal 3 2 2 2 4 5" xfId="7600" xr:uid="{BBAEAFE8-7CBC-4910-AF22-042F69229854}"/>
    <cellStyle name="Normal 3 2 2 2 5" xfId="2284" xr:uid="{00000000-0005-0000-0000-000063080000}"/>
    <cellStyle name="Normal 3 2 2 2 5 2" xfId="2285" xr:uid="{00000000-0005-0000-0000-000064080000}"/>
    <cellStyle name="Normal 3 2 2 2 5 2 2" xfId="2286" xr:uid="{00000000-0005-0000-0000-000065080000}"/>
    <cellStyle name="Normal 3 2 2 2 5 2 2 2" xfId="7608" xr:uid="{FC9E01FB-C307-4C9F-9B1C-FAD6628DEE7C}"/>
    <cellStyle name="Normal 3 2 2 2 5 2 3" xfId="7607" xr:uid="{C6EE31E4-CFAA-43A9-BC77-CB4ACBC57E86}"/>
    <cellStyle name="Normal 3 2 2 2 5 3" xfId="2287" xr:uid="{00000000-0005-0000-0000-000066080000}"/>
    <cellStyle name="Normal 3 2 2 2 5 3 2" xfId="7609" xr:uid="{FC64B28D-FFDA-4B13-BC59-CCC77A09ACBE}"/>
    <cellStyle name="Normal 3 2 2 2 5 4" xfId="2288" xr:uid="{00000000-0005-0000-0000-000067080000}"/>
    <cellStyle name="Normal 3 2 2 2 5 4 2" xfId="7610" xr:uid="{4B5CB7F4-CD40-46A0-BEE5-62A947178BCB}"/>
    <cellStyle name="Normal 3 2 2 2 5 5" xfId="7606" xr:uid="{6AE1EC1F-9BBF-41FD-9B9D-0361F9A3FE6E}"/>
    <cellStyle name="Normal 3 2 2 2 6" xfId="2289" xr:uid="{00000000-0005-0000-0000-000068080000}"/>
    <cellStyle name="Normal 3 2 2 2 6 2" xfId="2290" xr:uid="{00000000-0005-0000-0000-000069080000}"/>
    <cellStyle name="Normal 3 2 2 2 6 2 2" xfId="7612" xr:uid="{16188BA7-75F9-4375-B9EC-B70A5D1C9481}"/>
    <cellStyle name="Normal 3 2 2 2 6 3" xfId="7611" xr:uid="{97CA649E-891E-4BFD-B494-457082707752}"/>
    <cellStyle name="Normal 3 2 2 2 7" xfId="2291" xr:uid="{00000000-0005-0000-0000-00006A080000}"/>
    <cellStyle name="Normal 3 2 2 2 7 2" xfId="2292" xr:uid="{00000000-0005-0000-0000-00006B080000}"/>
    <cellStyle name="Normal 3 2 2 2 7 2 2" xfId="7614" xr:uid="{8A1D39F7-BDA5-4279-9D27-15470765E23E}"/>
    <cellStyle name="Normal 3 2 2 2 7 3" xfId="7613" xr:uid="{B995985B-835E-4506-B6D7-B3B96A30C42F}"/>
    <cellStyle name="Normal 3 2 2 2 8" xfId="2293" xr:uid="{00000000-0005-0000-0000-00006C080000}"/>
    <cellStyle name="Normal 3 2 2 2 8 2" xfId="2294" xr:uid="{00000000-0005-0000-0000-00006D080000}"/>
    <cellStyle name="Normal 3 2 2 2 8 2 2" xfId="7616" xr:uid="{758176F7-7282-4688-89ED-2C6F416AADE3}"/>
    <cellStyle name="Normal 3 2 2 2 8 3" xfId="7615" xr:uid="{8324E3DB-BE9C-4A16-8229-DF7172799B6F}"/>
    <cellStyle name="Normal 3 2 2 2 9" xfId="2295" xr:uid="{00000000-0005-0000-0000-00006E080000}"/>
    <cellStyle name="Normal 3 2 2 2 9 2" xfId="7617" xr:uid="{939B8DCE-B58B-4ED8-928C-381161B8E1C9}"/>
    <cellStyle name="Normal 3 2 2 3" xfId="107" xr:uid="{00000000-0005-0000-0000-00006F080000}"/>
    <cellStyle name="Normal 3 2 2 3 10" xfId="5441" xr:uid="{50CB7123-BD70-477E-8A68-C71769FB74B0}"/>
    <cellStyle name="Normal 3 2 2 3 2" xfId="108" xr:uid="{00000000-0005-0000-0000-000070080000}"/>
    <cellStyle name="Normal 3 2 2 3 2 2" xfId="2296" xr:uid="{00000000-0005-0000-0000-000071080000}"/>
    <cellStyle name="Normal 3 2 2 3 2 2 2" xfId="2297" xr:uid="{00000000-0005-0000-0000-000072080000}"/>
    <cellStyle name="Normal 3 2 2 3 2 2 2 2" xfId="2298" xr:uid="{00000000-0005-0000-0000-000073080000}"/>
    <cellStyle name="Normal 3 2 2 3 2 2 2 2 2" xfId="7620" xr:uid="{F63D85A0-4AFE-4730-A243-AF990DF0BCB6}"/>
    <cellStyle name="Normal 3 2 2 3 2 2 2 3" xfId="2299" xr:uid="{00000000-0005-0000-0000-000074080000}"/>
    <cellStyle name="Normal 3 2 2 3 2 2 2 3 2" xfId="7621" xr:uid="{3EA445C2-7B35-4385-80B1-33F5A12240C5}"/>
    <cellStyle name="Normal 3 2 2 3 2 2 2 4" xfId="7619" xr:uid="{DB23B3B7-4CD0-4D21-8413-06DB53DAD3B5}"/>
    <cellStyle name="Normal 3 2 2 3 2 2 3" xfId="2300" xr:uid="{00000000-0005-0000-0000-000075080000}"/>
    <cellStyle name="Normal 3 2 2 3 2 2 3 2" xfId="7622" xr:uid="{4181B11C-5A22-4F3D-ACBA-F33A54A73E1C}"/>
    <cellStyle name="Normal 3 2 2 3 2 2 4" xfId="2301" xr:uid="{00000000-0005-0000-0000-000076080000}"/>
    <cellStyle name="Normal 3 2 2 3 2 2 4 2" xfId="7623" xr:uid="{65C2CE00-90FC-424E-ABAA-3F80C0BA1CC9}"/>
    <cellStyle name="Normal 3 2 2 3 2 2 5" xfId="7618" xr:uid="{369170EF-C4B1-4B8D-83A2-E2416CC35387}"/>
    <cellStyle name="Normal 3 2 2 3 2 3" xfId="2302" xr:uid="{00000000-0005-0000-0000-000077080000}"/>
    <cellStyle name="Normal 3 2 2 3 2 3 2" xfId="2303" xr:uid="{00000000-0005-0000-0000-000078080000}"/>
    <cellStyle name="Normal 3 2 2 3 2 3 2 2" xfId="2304" xr:uid="{00000000-0005-0000-0000-000079080000}"/>
    <cellStyle name="Normal 3 2 2 3 2 3 2 2 2" xfId="7626" xr:uid="{A92688E7-18BC-4FD6-BCA5-79B7285451BE}"/>
    <cellStyle name="Normal 3 2 2 3 2 3 2 3" xfId="7625" xr:uid="{4754BE4B-49A5-4782-BBF9-5F2485071B45}"/>
    <cellStyle name="Normal 3 2 2 3 2 3 3" xfId="2305" xr:uid="{00000000-0005-0000-0000-00007A080000}"/>
    <cellStyle name="Normal 3 2 2 3 2 3 3 2" xfId="7627" xr:uid="{316A694D-01A5-4A3E-9680-6B23E7C4C0B4}"/>
    <cellStyle name="Normal 3 2 2 3 2 3 4" xfId="2306" xr:uid="{00000000-0005-0000-0000-00007B080000}"/>
    <cellStyle name="Normal 3 2 2 3 2 3 4 2" xfId="7628" xr:uid="{B534C826-91A2-43E7-B576-1535E8F1851C}"/>
    <cellStyle name="Normal 3 2 2 3 2 3 5" xfId="7624" xr:uid="{93FF2D93-CE3A-4BB2-A91C-A05F4C7E3302}"/>
    <cellStyle name="Normal 3 2 2 3 2 4" xfId="2307" xr:uid="{00000000-0005-0000-0000-00007C080000}"/>
    <cellStyle name="Normal 3 2 2 3 2 4 2" xfId="2308" xr:uid="{00000000-0005-0000-0000-00007D080000}"/>
    <cellStyle name="Normal 3 2 2 3 2 4 2 2" xfId="7630" xr:uid="{7D7754C2-8B57-4D69-80DE-FB61C037207B}"/>
    <cellStyle name="Normal 3 2 2 3 2 4 3" xfId="7629" xr:uid="{7B29886B-DEB0-48CC-ACC9-03B6C47CC0F7}"/>
    <cellStyle name="Normal 3 2 2 3 2 5" xfId="2309" xr:uid="{00000000-0005-0000-0000-00007E080000}"/>
    <cellStyle name="Normal 3 2 2 3 2 5 2" xfId="2310" xr:uid="{00000000-0005-0000-0000-00007F080000}"/>
    <cellStyle name="Normal 3 2 2 3 2 5 2 2" xfId="7632" xr:uid="{F896562E-E48F-4BB2-B4FC-F5930A1B9CCF}"/>
    <cellStyle name="Normal 3 2 2 3 2 5 3" xfId="7631" xr:uid="{15F63251-35AD-4F6F-B1DD-3E2194629155}"/>
    <cellStyle name="Normal 3 2 2 3 2 6" xfId="2311" xr:uid="{00000000-0005-0000-0000-000080080000}"/>
    <cellStyle name="Normal 3 2 2 3 2 6 2" xfId="2312" xr:uid="{00000000-0005-0000-0000-000081080000}"/>
    <cellStyle name="Normal 3 2 2 3 2 6 2 2" xfId="7634" xr:uid="{30E3511A-2DF4-487A-8D5D-654850F5B647}"/>
    <cellStyle name="Normal 3 2 2 3 2 6 3" xfId="7633" xr:uid="{C098EBE7-FE90-41F3-BB5E-485B86C62730}"/>
    <cellStyle name="Normal 3 2 2 3 2 7" xfId="2313" xr:uid="{00000000-0005-0000-0000-000082080000}"/>
    <cellStyle name="Normal 3 2 2 3 2 7 2" xfId="7635" xr:uid="{93AC5789-14F6-4CF3-9670-585ED53C03F8}"/>
    <cellStyle name="Normal 3 2 2 3 2 8" xfId="2314" xr:uid="{00000000-0005-0000-0000-000083080000}"/>
    <cellStyle name="Normal 3 2 2 3 2 8 2" xfId="7636" xr:uid="{32D611B5-E293-414C-A81D-77C318AD161E}"/>
    <cellStyle name="Normal 3 2 2 3 2 9" xfId="5442" xr:uid="{DF0CE465-C94E-4D11-B2FB-079FC900FCD0}"/>
    <cellStyle name="Normal 3 2 2 3 3" xfId="2315" xr:uid="{00000000-0005-0000-0000-000084080000}"/>
    <cellStyle name="Normal 3 2 2 3 3 2" xfId="2316" xr:uid="{00000000-0005-0000-0000-000085080000}"/>
    <cellStyle name="Normal 3 2 2 3 3 2 2" xfId="2317" xr:uid="{00000000-0005-0000-0000-000086080000}"/>
    <cellStyle name="Normal 3 2 2 3 3 2 2 2" xfId="7639" xr:uid="{665A531D-ECEE-4E03-97D8-DC1B1726813E}"/>
    <cellStyle name="Normal 3 2 2 3 3 2 3" xfId="2318" xr:uid="{00000000-0005-0000-0000-000087080000}"/>
    <cellStyle name="Normal 3 2 2 3 3 2 3 2" xfId="7640" xr:uid="{81C9DA56-9C94-4F9E-862A-6357067A9E49}"/>
    <cellStyle name="Normal 3 2 2 3 3 2 4" xfId="7638" xr:uid="{614B0AF8-E759-4BE0-9D93-2339E24A1944}"/>
    <cellStyle name="Normal 3 2 2 3 3 3" xfId="2319" xr:uid="{00000000-0005-0000-0000-000088080000}"/>
    <cellStyle name="Normal 3 2 2 3 3 3 2" xfId="7641" xr:uid="{D503CFC6-143E-43CD-AAAC-0E10B6A94E58}"/>
    <cellStyle name="Normal 3 2 2 3 3 4" xfId="2320" xr:uid="{00000000-0005-0000-0000-000089080000}"/>
    <cellStyle name="Normal 3 2 2 3 3 4 2" xfId="7642" xr:uid="{9FEF57D8-2FB3-4D95-B6B8-AAEC30207391}"/>
    <cellStyle name="Normal 3 2 2 3 3 5" xfId="7637" xr:uid="{7E3ACD0A-8BED-4FE6-8132-134864C17EF7}"/>
    <cellStyle name="Normal 3 2 2 3 4" xfId="2321" xr:uid="{00000000-0005-0000-0000-00008A080000}"/>
    <cellStyle name="Normal 3 2 2 3 4 2" xfId="2322" xr:uid="{00000000-0005-0000-0000-00008B080000}"/>
    <cellStyle name="Normal 3 2 2 3 4 2 2" xfId="2323" xr:uid="{00000000-0005-0000-0000-00008C080000}"/>
    <cellStyle name="Normal 3 2 2 3 4 2 2 2" xfId="7645" xr:uid="{DCDF2366-D9B1-411A-8BD9-AE4956111BA3}"/>
    <cellStyle name="Normal 3 2 2 3 4 2 3" xfId="7644" xr:uid="{A89DD916-E9C3-449A-B26A-228C49CB8465}"/>
    <cellStyle name="Normal 3 2 2 3 4 3" xfId="2324" xr:uid="{00000000-0005-0000-0000-00008D080000}"/>
    <cellStyle name="Normal 3 2 2 3 4 3 2" xfId="7646" xr:uid="{79D463DB-F0B2-4C9A-9984-4D18E1A4CFAF}"/>
    <cellStyle name="Normal 3 2 2 3 4 4" xfId="2325" xr:uid="{00000000-0005-0000-0000-00008E080000}"/>
    <cellStyle name="Normal 3 2 2 3 4 4 2" xfId="7647" xr:uid="{6C0B4B8F-9C25-464D-BCC3-B86AFF0D97EA}"/>
    <cellStyle name="Normal 3 2 2 3 4 5" xfId="7643" xr:uid="{117377B9-9D4D-46AF-B15A-337D3FE51583}"/>
    <cellStyle name="Normal 3 2 2 3 5" xfId="2326" xr:uid="{00000000-0005-0000-0000-00008F080000}"/>
    <cellStyle name="Normal 3 2 2 3 5 2" xfId="2327" xr:uid="{00000000-0005-0000-0000-000090080000}"/>
    <cellStyle name="Normal 3 2 2 3 5 2 2" xfId="7649" xr:uid="{A801FFB3-7057-4B06-8BA1-69E23E7676FA}"/>
    <cellStyle name="Normal 3 2 2 3 5 3" xfId="7648" xr:uid="{57460A92-FF98-4C42-97CC-554C53777844}"/>
    <cellStyle name="Normal 3 2 2 3 6" xfId="2328" xr:uid="{00000000-0005-0000-0000-000091080000}"/>
    <cellStyle name="Normal 3 2 2 3 6 2" xfId="2329" xr:uid="{00000000-0005-0000-0000-000092080000}"/>
    <cellStyle name="Normal 3 2 2 3 6 2 2" xfId="7651" xr:uid="{218D1DD7-AD3B-418C-B306-AB36422BDF7A}"/>
    <cellStyle name="Normal 3 2 2 3 6 3" xfId="7650" xr:uid="{B59E2D89-3839-4A29-B965-C4B85B1C6715}"/>
    <cellStyle name="Normal 3 2 2 3 7" xfId="2330" xr:uid="{00000000-0005-0000-0000-000093080000}"/>
    <cellStyle name="Normal 3 2 2 3 7 2" xfId="2331" xr:uid="{00000000-0005-0000-0000-000094080000}"/>
    <cellStyle name="Normal 3 2 2 3 7 2 2" xfId="7653" xr:uid="{99DCDF25-869C-46EC-BD0E-D7B387DD2954}"/>
    <cellStyle name="Normal 3 2 2 3 7 3" xfId="7652" xr:uid="{BEC275F8-C03E-42B4-8146-24621F66EF98}"/>
    <cellStyle name="Normal 3 2 2 3 8" xfId="2332" xr:uid="{00000000-0005-0000-0000-000095080000}"/>
    <cellStyle name="Normal 3 2 2 3 8 2" xfId="7654" xr:uid="{0444E45E-C1E7-419E-8B48-E986C078C7F8}"/>
    <cellStyle name="Normal 3 2 2 3 9" xfId="2333" xr:uid="{00000000-0005-0000-0000-000096080000}"/>
    <cellStyle name="Normal 3 2 2 3 9 2" xfId="7655" xr:uid="{6127B481-42AD-4279-B672-D0A5A4033679}"/>
    <cellStyle name="Normal 3 2 2 4" xfId="109" xr:uid="{00000000-0005-0000-0000-000097080000}"/>
    <cellStyle name="Normal 3 2 2 4 2" xfId="2334" xr:uid="{00000000-0005-0000-0000-000098080000}"/>
    <cellStyle name="Normal 3 2 2 4 2 2" xfId="2335" xr:uid="{00000000-0005-0000-0000-000099080000}"/>
    <cellStyle name="Normal 3 2 2 4 2 2 2" xfId="2336" xr:uid="{00000000-0005-0000-0000-00009A080000}"/>
    <cellStyle name="Normal 3 2 2 4 2 2 2 2" xfId="7658" xr:uid="{4737A7B5-F6DA-4C8D-A869-F0254C362DBB}"/>
    <cellStyle name="Normal 3 2 2 4 2 2 3" xfId="2337" xr:uid="{00000000-0005-0000-0000-00009B080000}"/>
    <cellStyle name="Normal 3 2 2 4 2 2 3 2" xfId="7659" xr:uid="{F53E07DE-F224-4973-8711-D06BAD71445C}"/>
    <cellStyle name="Normal 3 2 2 4 2 2 4" xfId="7657" xr:uid="{CD3D9E5E-BDAD-4664-8254-15A5FE447FCC}"/>
    <cellStyle name="Normal 3 2 2 4 2 3" xfId="2338" xr:uid="{00000000-0005-0000-0000-00009C080000}"/>
    <cellStyle name="Normal 3 2 2 4 2 3 2" xfId="7660" xr:uid="{8FCBF8A4-CD40-48B6-9F08-57EFD3C2FFE7}"/>
    <cellStyle name="Normal 3 2 2 4 2 4" xfId="2339" xr:uid="{00000000-0005-0000-0000-00009D080000}"/>
    <cellStyle name="Normal 3 2 2 4 2 4 2" xfId="7661" xr:uid="{FB600A33-2793-4E20-92D7-75498A8396DB}"/>
    <cellStyle name="Normal 3 2 2 4 2 5" xfId="7656" xr:uid="{0030AE1A-4326-4E2C-BDB4-B2E38FD94001}"/>
    <cellStyle name="Normal 3 2 2 4 3" xfId="2340" xr:uid="{00000000-0005-0000-0000-00009E080000}"/>
    <cellStyle name="Normal 3 2 2 4 3 2" xfId="2341" xr:uid="{00000000-0005-0000-0000-00009F080000}"/>
    <cellStyle name="Normal 3 2 2 4 3 2 2" xfId="2342" xr:uid="{00000000-0005-0000-0000-0000A0080000}"/>
    <cellStyle name="Normal 3 2 2 4 3 2 2 2" xfId="7664" xr:uid="{A54FF108-F397-4248-A5F1-09927253C6E1}"/>
    <cellStyle name="Normal 3 2 2 4 3 2 3" xfId="7663" xr:uid="{6140D7D7-38A9-41BB-BDBC-E311E24B5F0B}"/>
    <cellStyle name="Normal 3 2 2 4 3 3" xfId="2343" xr:uid="{00000000-0005-0000-0000-0000A1080000}"/>
    <cellStyle name="Normal 3 2 2 4 3 3 2" xfId="7665" xr:uid="{2D307344-3B5C-40E0-AA7B-BE9611AF7E58}"/>
    <cellStyle name="Normal 3 2 2 4 3 4" xfId="2344" xr:uid="{00000000-0005-0000-0000-0000A2080000}"/>
    <cellStyle name="Normal 3 2 2 4 3 4 2" xfId="7666" xr:uid="{EF505214-D109-4809-B9FD-5748148F38A4}"/>
    <cellStyle name="Normal 3 2 2 4 3 5" xfId="7662" xr:uid="{0AE67A5A-1C13-42D7-902D-FF2707D1A6A7}"/>
    <cellStyle name="Normal 3 2 2 4 4" xfId="2345" xr:uid="{00000000-0005-0000-0000-0000A3080000}"/>
    <cellStyle name="Normal 3 2 2 4 4 2" xfId="2346" xr:uid="{00000000-0005-0000-0000-0000A4080000}"/>
    <cellStyle name="Normal 3 2 2 4 4 2 2" xfId="7668" xr:uid="{890CC726-9EAF-404D-8A93-CD6DB825F275}"/>
    <cellStyle name="Normal 3 2 2 4 4 3" xfId="7667" xr:uid="{D193B880-0B52-43D7-9B1E-43B3CF68F648}"/>
    <cellStyle name="Normal 3 2 2 4 5" xfId="2347" xr:uid="{00000000-0005-0000-0000-0000A5080000}"/>
    <cellStyle name="Normal 3 2 2 4 5 2" xfId="2348" xr:uid="{00000000-0005-0000-0000-0000A6080000}"/>
    <cellStyle name="Normal 3 2 2 4 5 2 2" xfId="7670" xr:uid="{BE88197E-9513-4B27-803E-DBD5EB9168DA}"/>
    <cellStyle name="Normal 3 2 2 4 5 3" xfId="7669" xr:uid="{2C66A636-A994-48A5-ACD8-48852CD8BE01}"/>
    <cellStyle name="Normal 3 2 2 4 6" xfId="2349" xr:uid="{00000000-0005-0000-0000-0000A7080000}"/>
    <cellStyle name="Normal 3 2 2 4 6 2" xfId="2350" xr:uid="{00000000-0005-0000-0000-0000A8080000}"/>
    <cellStyle name="Normal 3 2 2 4 6 2 2" xfId="7672" xr:uid="{14A58533-7C1C-4ED3-84C6-03DC308FDBB7}"/>
    <cellStyle name="Normal 3 2 2 4 6 3" xfId="7671" xr:uid="{85C5FF79-EA44-4360-A9DA-8C17932942E3}"/>
    <cellStyle name="Normal 3 2 2 4 7" xfId="2351" xr:uid="{00000000-0005-0000-0000-0000A9080000}"/>
    <cellStyle name="Normal 3 2 2 4 7 2" xfId="7673" xr:uid="{B42F8F09-BE31-499A-B4FD-0F25D81B6369}"/>
    <cellStyle name="Normal 3 2 2 4 8" xfId="2352" xr:uid="{00000000-0005-0000-0000-0000AA080000}"/>
    <cellStyle name="Normal 3 2 2 4 8 2" xfId="7674" xr:uid="{FD847977-4109-4E89-87C7-DFA0946AA2E2}"/>
    <cellStyle name="Normal 3 2 2 4 9" xfId="5443" xr:uid="{F779A58C-3E3B-4FCC-95B2-1AF5B3B4A955}"/>
    <cellStyle name="Normal 3 2 2 5" xfId="2353" xr:uid="{00000000-0005-0000-0000-0000AB080000}"/>
    <cellStyle name="Normal 3 2 2 5 2" xfId="2354" xr:uid="{00000000-0005-0000-0000-0000AC080000}"/>
    <cellStyle name="Normal 3 2 2 5 2 2" xfId="2355" xr:uid="{00000000-0005-0000-0000-0000AD080000}"/>
    <cellStyle name="Normal 3 2 2 5 2 2 2" xfId="7677" xr:uid="{9E60CB4B-F0C9-4662-B50F-18D16BCDE40B}"/>
    <cellStyle name="Normal 3 2 2 5 2 3" xfId="2356" xr:uid="{00000000-0005-0000-0000-0000AE080000}"/>
    <cellStyle name="Normal 3 2 2 5 2 3 2" xfId="7678" xr:uid="{5F76F209-2B1A-46D7-90E2-2E9D343B541E}"/>
    <cellStyle name="Normal 3 2 2 5 2 4" xfId="7676" xr:uid="{F5C9CCD3-0A3F-43A5-A2FF-3341E2915D08}"/>
    <cellStyle name="Normal 3 2 2 5 3" xfId="2357" xr:uid="{00000000-0005-0000-0000-0000AF080000}"/>
    <cellStyle name="Normal 3 2 2 5 3 2" xfId="2358" xr:uid="{00000000-0005-0000-0000-0000B0080000}"/>
    <cellStyle name="Normal 3 2 2 5 3 2 2" xfId="7680" xr:uid="{C8542FF4-58C9-49E5-BC9D-AB71EC31A7C7}"/>
    <cellStyle name="Normal 3 2 2 5 3 3" xfId="7679" xr:uid="{D77D1247-78F3-40E7-998A-32B4C332C920}"/>
    <cellStyle name="Normal 3 2 2 5 4" xfId="2359" xr:uid="{00000000-0005-0000-0000-0000B1080000}"/>
    <cellStyle name="Normal 3 2 2 5 4 2" xfId="7681" xr:uid="{AB9B8B8C-6F8F-4B1F-9B7A-7C780A6D0ABC}"/>
    <cellStyle name="Normal 3 2 2 5 5" xfId="7675" xr:uid="{7BA85FBC-D5BC-4C9E-A883-51E060A5F88E}"/>
    <cellStyle name="Normal 3 2 2 6" xfId="2360" xr:uid="{00000000-0005-0000-0000-0000B2080000}"/>
    <cellStyle name="Normal 3 2 2 6 2" xfId="2361" xr:uid="{00000000-0005-0000-0000-0000B3080000}"/>
    <cellStyle name="Normal 3 2 2 6 2 2" xfId="2362" xr:uid="{00000000-0005-0000-0000-0000B4080000}"/>
    <cellStyle name="Normal 3 2 2 6 2 2 2" xfId="7684" xr:uid="{687B41C9-DD5E-48BD-8D0D-84F33512AF8A}"/>
    <cellStyle name="Normal 3 2 2 6 2 3" xfId="7683" xr:uid="{5D3D2206-3CAC-4C89-8448-9CDEFBB2D1B1}"/>
    <cellStyle name="Normal 3 2 2 6 3" xfId="2363" xr:uid="{00000000-0005-0000-0000-0000B5080000}"/>
    <cellStyle name="Normal 3 2 2 6 3 2" xfId="7685" xr:uid="{C68C2653-9501-4A79-B089-CD7A2BE856D4}"/>
    <cellStyle name="Normal 3 2 2 6 4" xfId="2364" xr:uid="{00000000-0005-0000-0000-0000B6080000}"/>
    <cellStyle name="Normal 3 2 2 6 4 2" xfId="7686" xr:uid="{CDD07729-A361-436F-BC2B-6C7B55A40178}"/>
    <cellStyle name="Normal 3 2 2 6 5" xfId="7682" xr:uid="{6251EA98-820C-400A-9D96-AD5D1C34E76D}"/>
    <cellStyle name="Normal 3 2 2 7" xfId="2365" xr:uid="{00000000-0005-0000-0000-0000B7080000}"/>
    <cellStyle name="Normal 3 2 2 7 2" xfId="2366" xr:uid="{00000000-0005-0000-0000-0000B8080000}"/>
    <cellStyle name="Normal 3 2 2 7 2 2" xfId="7688" xr:uid="{F000C25B-831D-4B50-9D88-D8AC79115BE0}"/>
    <cellStyle name="Normal 3 2 2 7 3" xfId="2367" xr:uid="{00000000-0005-0000-0000-0000B9080000}"/>
    <cellStyle name="Normal 3 2 2 7 3 2" xfId="7689" xr:uid="{D0AAA6BE-0EF7-4958-8242-16B6BD3A7762}"/>
    <cellStyle name="Normal 3 2 2 7 4" xfId="7687" xr:uid="{CDD401F7-3A65-44B8-AE6A-09D0E2A73EAD}"/>
    <cellStyle name="Normal 3 2 2 8" xfId="2368" xr:uid="{00000000-0005-0000-0000-0000BA080000}"/>
    <cellStyle name="Normal 3 2 2 8 2" xfId="2369" xr:uid="{00000000-0005-0000-0000-0000BB080000}"/>
    <cellStyle name="Normal 3 2 2 8 2 2" xfId="7691" xr:uid="{01960403-5A39-4E2A-83BB-DD99C739AD30}"/>
    <cellStyle name="Normal 3 2 2 8 3" xfId="2370" xr:uid="{00000000-0005-0000-0000-0000BC080000}"/>
    <cellStyle name="Normal 3 2 2 8 3 2" xfId="7692" xr:uid="{D6028C30-9278-4377-9949-EFDDB721F2E2}"/>
    <cellStyle name="Normal 3 2 2 8 4" xfId="7690" xr:uid="{707F0BD6-30C4-40A7-98B5-B76EE4D9DA38}"/>
    <cellStyle name="Normal 3 2 2 9" xfId="2371" xr:uid="{00000000-0005-0000-0000-0000BD080000}"/>
    <cellStyle name="Normal 3 2 2 9 2" xfId="2372" xr:uid="{00000000-0005-0000-0000-0000BE080000}"/>
    <cellStyle name="Normal 3 2 2 9 2 2" xfId="7694" xr:uid="{33F78C36-CB2A-4837-95F1-BD7C5FA52D7C}"/>
    <cellStyle name="Normal 3 2 2 9 3" xfId="7693" xr:uid="{48C02658-46B3-46AF-BD17-822635A595ED}"/>
    <cellStyle name="Normal 3 2 3" xfId="110" xr:uid="{00000000-0005-0000-0000-0000BF080000}"/>
    <cellStyle name="Normal 3 2 3 10" xfId="2373" xr:uid="{00000000-0005-0000-0000-0000C0080000}"/>
    <cellStyle name="Normal 3 2 3 10 2" xfId="7695" xr:uid="{565B8F13-14DC-4570-BCF5-D9FF0ADC1699}"/>
    <cellStyle name="Normal 3 2 3 11" xfId="2374" xr:uid="{00000000-0005-0000-0000-0000C1080000}"/>
    <cellStyle name="Normal 3 2 3 11 2" xfId="7696" xr:uid="{0852113A-3563-438C-B958-1AEA3700930B}"/>
    <cellStyle name="Normal 3 2 3 12" xfId="5345" xr:uid="{EE8E543B-CD6B-470D-A695-CF5BAA588B38}"/>
    <cellStyle name="Normal 3 2 3 12 2" xfId="10664" xr:uid="{D6BEF936-7E09-483B-A356-8842643E6D48}"/>
    <cellStyle name="Normal 3 2 3 13" xfId="5444" xr:uid="{88669E4C-97F2-45A1-9333-8E6F3AFCF6E3}"/>
    <cellStyle name="Normal 3 2 3 2" xfId="111" xr:uid="{00000000-0005-0000-0000-0000C2080000}"/>
    <cellStyle name="Normal 3 2 3 2 10" xfId="5445" xr:uid="{870C5EFD-5393-4F87-A90B-CEF2AE7A872D}"/>
    <cellStyle name="Normal 3 2 3 2 2" xfId="112" xr:uid="{00000000-0005-0000-0000-0000C3080000}"/>
    <cellStyle name="Normal 3 2 3 2 2 2" xfId="2375" xr:uid="{00000000-0005-0000-0000-0000C4080000}"/>
    <cellStyle name="Normal 3 2 3 2 2 2 2" xfId="2376" xr:uid="{00000000-0005-0000-0000-0000C5080000}"/>
    <cellStyle name="Normal 3 2 3 2 2 2 2 2" xfId="2377" xr:uid="{00000000-0005-0000-0000-0000C6080000}"/>
    <cellStyle name="Normal 3 2 3 2 2 2 2 2 2" xfId="7699" xr:uid="{EC9B04F0-D01C-4533-B919-79200943F05C}"/>
    <cellStyle name="Normal 3 2 3 2 2 2 2 3" xfId="2378" xr:uid="{00000000-0005-0000-0000-0000C7080000}"/>
    <cellStyle name="Normal 3 2 3 2 2 2 2 3 2" xfId="7700" xr:uid="{47A4E5C6-D068-4B19-B03E-431C119C13A3}"/>
    <cellStyle name="Normal 3 2 3 2 2 2 2 4" xfId="7698" xr:uid="{BB54556D-26B0-448B-BEAA-70E0040EA984}"/>
    <cellStyle name="Normal 3 2 3 2 2 2 3" xfId="2379" xr:uid="{00000000-0005-0000-0000-0000C8080000}"/>
    <cellStyle name="Normal 3 2 3 2 2 2 3 2" xfId="7701" xr:uid="{1A4A7592-9B2A-46FA-AF80-07DDB08DCE26}"/>
    <cellStyle name="Normal 3 2 3 2 2 2 4" xfId="2380" xr:uid="{00000000-0005-0000-0000-0000C9080000}"/>
    <cellStyle name="Normal 3 2 3 2 2 2 4 2" xfId="7702" xr:uid="{8EBBA0A8-7534-4BC4-8CA2-E1FBE1441199}"/>
    <cellStyle name="Normal 3 2 3 2 2 2 5" xfId="7697" xr:uid="{B363AA99-FFB5-4B4C-99C0-DDC55F6CAF81}"/>
    <cellStyle name="Normal 3 2 3 2 2 3" xfId="2381" xr:uid="{00000000-0005-0000-0000-0000CA080000}"/>
    <cellStyle name="Normal 3 2 3 2 2 3 2" xfId="2382" xr:uid="{00000000-0005-0000-0000-0000CB080000}"/>
    <cellStyle name="Normal 3 2 3 2 2 3 2 2" xfId="2383" xr:uid="{00000000-0005-0000-0000-0000CC080000}"/>
    <cellStyle name="Normal 3 2 3 2 2 3 2 2 2" xfId="7705" xr:uid="{3B2D5BA6-E1A5-4F31-B67D-2EA8C605C5F2}"/>
    <cellStyle name="Normal 3 2 3 2 2 3 2 3" xfId="7704" xr:uid="{52B50AD5-D80C-431C-A64B-201281544EA2}"/>
    <cellStyle name="Normal 3 2 3 2 2 3 3" xfId="2384" xr:uid="{00000000-0005-0000-0000-0000CD080000}"/>
    <cellStyle name="Normal 3 2 3 2 2 3 3 2" xfId="7706" xr:uid="{1DB98FCF-5F2B-428C-BDCC-36AE53482045}"/>
    <cellStyle name="Normal 3 2 3 2 2 3 4" xfId="2385" xr:uid="{00000000-0005-0000-0000-0000CE080000}"/>
    <cellStyle name="Normal 3 2 3 2 2 3 4 2" xfId="7707" xr:uid="{A5E81B1F-100B-4008-8E0F-475BD30AFDDC}"/>
    <cellStyle name="Normal 3 2 3 2 2 3 5" xfId="7703" xr:uid="{D5E898BC-3C74-488A-8C86-9D07F751B8D4}"/>
    <cellStyle name="Normal 3 2 3 2 2 4" xfId="2386" xr:uid="{00000000-0005-0000-0000-0000CF080000}"/>
    <cellStyle name="Normal 3 2 3 2 2 4 2" xfId="2387" xr:uid="{00000000-0005-0000-0000-0000D0080000}"/>
    <cellStyle name="Normal 3 2 3 2 2 4 2 2" xfId="7709" xr:uid="{9A25EDD2-AA47-4494-813F-85FBD3426A50}"/>
    <cellStyle name="Normal 3 2 3 2 2 4 3" xfId="7708" xr:uid="{287CDEC4-DDBA-4A41-B44F-067EF39C6606}"/>
    <cellStyle name="Normal 3 2 3 2 2 5" xfId="2388" xr:uid="{00000000-0005-0000-0000-0000D1080000}"/>
    <cellStyle name="Normal 3 2 3 2 2 5 2" xfId="2389" xr:uid="{00000000-0005-0000-0000-0000D2080000}"/>
    <cellStyle name="Normal 3 2 3 2 2 5 2 2" xfId="7711" xr:uid="{A39A18FC-F637-4145-BA94-333189DDB403}"/>
    <cellStyle name="Normal 3 2 3 2 2 5 3" xfId="7710" xr:uid="{614828A3-CD31-4D35-AA4D-B02B74BC66F6}"/>
    <cellStyle name="Normal 3 2 3 2 2 6" xfId="2390" xr:uid="{00000000-0005-0000-0000-0000D3080000}"/>
    <cellStyle name="Normal 3 2 3 2 2 6 2" xfId="2391" xr:uid="{00000000-0005-0000-0000-0000D4080000}"/>
    <cellStyle name="Normal 3 2 3 2 2 6 2 2" xfId="7713" xr:uid="{B1F94348-B71D-4138-BC26-3F13A30A3E21}"/>
    <cellStyle name="Normal 3 2 3 2 2 6 3" xfId="7712" xr:uid="{F677C54E-6DEA-4BCE-94B8-FDBB70ADB9F2}"/>
    <cellStyle name="Normal 3 2 3 2 2 7" xfId="2392" xr:uid="{00000000-0005-0000-0000-0000D5080000}"/>
    <cellStyle name="Normal 3 2 3 2 2 7 2" xfId="7714" xr:uid="{DBD2A392-6518-47DD-89D5-023D060AD89D}"/>
    <cellStyle name="Normal 3 2 3 2 2 8" xfId="2393" xr:uid="{00000000-0005-0000-0000-0000D6080000}"/>
    <cellStyle name="Normal 3 2 3 2 2 8 2" xfId="7715" xr:uid="{7FF07365-3D56-4E1A-A55B-984C07C06DD7}"/>
    <cellStyle name="Normal 3 2 3 2 2 9" xfId="5446" xr:uid="{D7741C5C-06C3-4ED9-82EE-CA173ED47F3B}"/>
    <cellStyle name="Normal 3 2 3 2 3" xfId="2394" xr:uid="{00000000-0005-0000-0000-0000D7080000}"/>
    <cellStyle name="Normal 3 2 3 2 3 2" xfId="2395" xr:uid="{00000000-0005-0000-0000-0000D8080000}"/>
    <cellStyle name="Normal 3 2 3 2 3 2 2" xfId="2396" xr:uid="{00000000-0005-0000-0000-0000D9080000}"/>
    <cellStyle name="Normal 3 2 3 2 3 2 2 2" xfId="7718" xr:uid="{EF150851-E363-41F1-9C14-8060139A802F}"/>
    <cellStyle name="Normal 3 2 3 2 3 2 3" xfId="2397" xr:uid="{00000000-0005-0000-0000-0000DA080000}"/>
    <cellStyle name="Normal 3 2 3 2 3 2 3 2" xfId="7719" xr:uid="{900855DA-BB33-4B5C-B85B-BEB3BF551AAE}"/>
    <cellStyle name="Normal 3 2 3 2 3 2 4" xfId="7717" xr:uid="{CBCDECA2-3664-4EC2-A70F-3467C2B36FFD}"/>
    <cellStyle name="Normal 3 2 3 2 3 3" xfId="2398" xr:uid="{00000000-0005-0000-0000-0000DB080000}"/>
    <cellStyle name="Normal 3 2 3 2 3 3 2" xfId="7720" xr:uid="{2C6F1A17-11D3-4BA6-A0BF-AA1C081B6581}"/>
    <cellStyle name="Normal 3 2 3 2 3 4" xfId="2399" xr:uid="{00000000-0005-0000-0000-0000DC080000}"/>
    <cellStyle name="Normal 3 2 3 2 3 4 2" xfId="7721" xr:uid="{60D684DA-1315-432B-BDB7-2C7B872F445E}"/>
    <cellStyle name="Normal 3 2 3 2 3 5" xfId="7716" xr:uid="{A02914A4-5020-47F4-B38B-DA7C80156EA2}"/>
    <cellStyle name="Normal 3 2 3 2 4" xfId="2400" xr:uid="{00000000-0005-0000-0000-0000DD080000}"/>
    <cellStyle name="Normal 3 2 3 2 4 2" xfId="2401" xr:uid="{00000000-0005-0000-0000-0000DE080000}"/>
    <cellStyle name="Normal 3 2 3 2 4 2 2" xfId="2402" xr:uid="{00000000-0005-0000-0000-0000DF080000}"/>
    <cellStyle name="Normal 3 2 3 2 4 2 2 2" xfId="7724" xr:uid="{FF556C51-182E-4511-BB2E-BA58AC3DB024}"/>
    <cellStyle name="Normal 3 2 3 2 4 2 3" xfId="7723" xr:uid="{D27C870A-A0F7-49B4-AED3-A0089426C974}"/>
    <cellStyle name="Normal 3 2 3 2 4 3" xfId="2403" xr:uid="{00000000-0005-0000-0000-0000E0080000}"/>
    <cellStyle name="Normal 3 2 3 2 4 3 2" xfId="7725" xr:uid="{B585F747-BE38-4225-B632-61A588A15B26}"/>
    <cellStyle name="Normal 3 2 3 2 4 4" xfId="2404" xr:uid="{00000000-0005-0000-0000-0000E1080000}"/>
    <cellStyle name="Normal 3 2 3 2 4 4 2" xfId="7726" xr:uid="{100159A4-A99D-4DA1-AC20-384CF8055E8C}"/>
    <cellStyle name="Normal 3 2 3 2 4 5" xfId="7722" xr:uid="{F5F2D3D0-8E54-4146-A482-CF845D169320}"/>
    <cellStyle name="Normal 3 2 3 2 5" xfId="2405" xr:uid="{00000000-0005-0000-0000-0000E2080000}"/>
    <cellStyle name="Normal 3 2 3 2 5 2" xfId="2406" xr:uid="{00000000-0005-0000-0000-0000E3080000}"/>
    <cellStyle name="Normal 3 2 3 2 5 2 2" xfId="7728" xr:uid="{D829E1A7-EABB-4182-A4C7-1002CB28E1E0}"/>
    <cellStyle name="Normal 3 2 3 2 5 3" xfId="7727" xr:uid="{F90CB58D-BFE8-457F-8516-75ADF10760D7}"/>
    <cellStyle name="Normal 3 2 3 2 6" xfId="2407" xr:uid="{00000000-0005-0000-0000-0000E4080000}"/>
    <cellStyle name="Normal 3 2 3 2 6 2" xfId="2408" xr:uid="{00000000-0005-0000-0000-0000E5080000}"/>
    <cellStyle name="Normal 3 2 3 2 6 2 2" xfId="7730" xr:uid="{778F9A3C-B72D-4B8E-B194-8AD6D67E4F1A}"/>
    <cellStyle name="Normal 3 2 3 2 6 3" xfId="7729" xr:uid="{1DF79141-1060-44EE-BCE2-FD65B466CB28}"/>
    <cellStyle name="Normal 3 2 3 2 7" xfId="2409" xr:uid="{00000000-0005-0000-0000-0000E6080000}"/>
    <cellStyle name="Normal 3 2 3 2 7 2" xfId="2410" xr:uid="{00000000-0005-0000-0000-0000E7080000}"/>
    <cellStyle name="Normal 3 2 3 2 7 2 2" xfId="7732" xr:uid="{ED6B5A50-4624-4E12-9B5F-BFCF396A3E1F}"/>
    <cellStyle name="Normal 3 2 3 2 7 3" xfId="7731" xr:uid="{B1BF6321-9709-4575-B3C7-17E957C1BFF9}"/>
    <cellStyle name="Normal 3 2 3 2 8" xfId="2411" xr:uid="{00000000-0005-0000-0000-0000E8080000}"/>
    <cellStyle name="Normal 3 2 3 2 8 2" xfId="7733" xr:uid="{7E92ADC5-5B25-47CA-93CA-A5FF688C2654}"/>
    <cellStyle name="Normal 3 2 3 2 9" xfId="2412" xr:uid="{00000000-0005-0000-0000-0000E9080000}"/>
    <cellStyle name="Normal 3 2 3 2 9 2" xfId="7734" xr:uid="{668FE02C-06F2-4036-913C-6B0F9931E021}"/>
    <cellStyle name="Normal 3 2 3 3" xfId="113" xr:uid="{00000000-0005-0000-0000-0000EA080000}"/>
    <cellStyle name="Normal 3 2 3 3 2" xfId="2413" xr:uid="{00000000-0005-0000-0000-0000EB080000}"/>
    <cellStyle name="Normal 3 2 3 3 2 2" xfId="2414" xr:uid="{00000000-0005-0000-0000-0000EC080000}"/>
    <cellStyle name="Normal 3 2 3 3 2 2 2" xfId="2415" xr:uid="{00000000-0005-0000-0000-0000ED080000}"/>
    <cellStyle name="Normal 3 2 3 3 2 2 2 2" xfId="7737" xr:uid="{AD700D2C-1A09-431D-928D-18BD23E2B028}"/>
    <cellStyle name="Normal 3 2 3 3 2 2 3" xfId="2416" xr:uid="{00000000-0005-0000-0000-0000EE080000}"/>
    <cellStyle name="Normal 3 2 3 3 2 2 3 2" xfId="7738" xr:uid="{C3B6D8E5-18E7-40B0-BBBC-EE08E9395426}"/>
    <cellStyle name="Normal 3 2 3 3 2 2 4" xfId="7736" xr:uid="{F0D387CA-B0F4-45FC-A102-D22044305D2A}"/>
    <cellStyle name="Normal 3 2 3 3 2 3" xfId="2417" xr:uid="{00000000-0005-0000-0000-0000EF080000}"/>
    <cellStyle name="Normal 3 2 3 3 2 3 2" xfId="7739" xr:uid="{2B243EE0-DA34-4A9E-B9C5-280541DE9C90}"/>
    <cellStyle name="Normal 3 2 3 3 2 4" xfId="2418" xr:uid="{00000000-0005-0000-0000-0000F0080000}"/>
    <cellStyle name="Normal 3 2 3 3 2 4 2" xfId="7740" xr:uid="{A653AD0A-47AA-4FEA-B668-4B8E0DE8A9F8}"/>
    <cellStyle name="Normal 3 2 3 3 2 5" xfId="7735" xr:uid="{C3E1E24F-017C-46ED-8BD2-8BE20E7F9E98}"/>
    <cellStyle name="Normal 3 2 3 3 3" xfId="2419" xr:uid="{00000000-0005-0000-0000-0000F1080000}"/>
    <cellStyle name="Normal 3 2 3 3 3 2" xfId="2420" xr:uid="{00000000-0005-0000-0000-0000F2080000}"/>
    <cellStyle name="Normal 3 2 3 3 3 2 2" xfId="2421" xr:uid="{00000000-0005-0000-0000-0000F3080000}"/>
    <cellStyle name="Normal 3 2 3 3 3 2 2 2" xfId="7743" xr:uid="{0B9944EA-D5BA-4A3F-98D4-43F5AB8AEF7F}"/>
    <cellStyle name="Normal 3 2 3 3 3 2 3" xfId="7742" xr:uid="{161AC75B-D379-4530-9991-F17ED3AA088A}"/>
    <cellStyle name="Normal 3 2 3 3 3 3" xfId="2422" xr:uid="{00000000-0005-0000-0000-0000F4080000}"/>
    <cellStyle name="Normal 3 2 3 3 3 3 2" xfId="7744" xr:uid="{75805B8F-996C-4FFA-AA3F-53D5D153C7DD}"/>
    <cellStyle name="Normal 3 2 3 3 3 4" xfId="2423" xr:uid="{00000000-0005-0000-0000-0000F5080000}"/>
    <cellStyle name="Normal 3 2 3 3 3 4 2" xfId="7745" xr:uid="{AEAB28FE-D231-482C-AA6B-71FDDD8E301F}"/>
    <cellStyle name="Normal 3 2 3 3 3 5" xfId="7741" xr:uid="{244FAB84-71B4-4B9D-8870-604506F70C3D}"/>
    <cellStyle name="Normal 3 2 3 3 4" xfId="2424" xr:uid="{00000000-0005-0000-0000-0000F6080000}"/>
    <cellStyle name="Normal 3 2 3 3 4 2" xfId="2425" xr:uid="{00000000-0005-0000-0000-0000F7080000}"/>
    <cellStyle name="Normal 3 2 3 3 4 2 2" xfId="7747" xr:uid="{DACF93C3-3376-4F5B-A7DC-B2EE41A8976D}"/>
    <cellStyle name="Normal 3 2 3 3 4 3" xfId="7746" xr:uid="{9B07FCF2-ADA0-4B9B-A7E9-A25ED162C3A7}"/>
    <cellStyle name="Normal 3 2 3 3 5" xfId="2426" xr:uid="{00000000-0005-0000-0000-0000F8080000}"/>
    <cellStyle name="Normal 3 2 3 3 5 2" xfId="2427" xr:uid="{00000000-0005-0000-0000-0000F9080000}"/>
    <cellStyle name="Normal 3 2 3 3 5 2 2" xfId="7749" xr:uid="{217210D3-51A2-4EA2-97D4-A76983538591}"/>
    <cellStyle name="Normal 3 2 3 3 5 3" xfId="7748" xr:uid="{D0835E54-2D13-4B68-969B-A80495730233}"/>
    <cellStyle name="Normal 3 2 3 3 6" xfId="2428" xr:uid="{00000000-0005-0000-0000-0000FA080000}"/>
    <cellStyle name="Normal 3 2 3 3 6 2" xfId="2429" xr:uid="{00000000-0005-0000-0000-0000FB080000}"/>
    <cellStyle name="Normal 3 2 3 3 6 2 2" xfId="7751" xr:uid="{5FA580E7-362B-46A2-B4A9-20627A7C8591}"/>
    <cellStyle name="Normal 3 2 3 3 6 3" xfId="7750" xr:uid="{A9B21544-C4CC-46AA-8BCA-40BA1BE049E3}"/>
    <cellStyle name="Normal 3 2 3 3 7" xfId="2430" xr:uid="{00000000-0005-0000-0000-0000FC080000}"/>
    <cellStyle name="Normal 3 2 3 3 7 2" xfId="7752" xr:uid="{9E0A9DED-7E87-41C8-8CDF-3E6786F80C58}"/>
    <cellStyle name="Normal 3 2 3 3 8" xfId="2431" xr:uid="{00000000-0005-0000-0000-0000FD080000}"/>
    <cellStyle name="Normal 3 2 3 3 8 2" xfId="7753" xr:uid="{A2C0C580-6C48-4B6D-8D34-F3863CB27F5F}"/>
    <cellStyle name="Normal 3 2 3 3 9" xfId="5447" xr:uid="{561C4D20-76B5-4024-936D-B6804E02E299}"/>
    <cellStyle name="Normal 3 2 3 4" xfId="2432" xr:uid="{00000000-0005-0000-0000-0000FE080000}"/>
    <cellStyle name="Normal 3 2 3 4 2" xfId="2433" xr:uid="{00000000-0005-0000-0000-0000FF080000}"/>
    <cellStyle name="Normal 3 2 3 4 2 2" xfId="2434" xr:uid="{00000000-0005-0000-0000-000000090000}"/>
    <cellStyle name="Normal 3 2 3 4 2 2 2" xfId="7756" xr:uid="{2D65354A-74B0-4C15-B80E-4C1A894F64D1}"/>
    <cellStyle name="Normal 3 2 3 4 2 3" xfId="2435" xr:uid="{00000000-0005-0000-0000-000001090000}"/>
    <cellStyle name="Normal 3 2 3 4 2 3 2" xfId="7757" xr:uid="{9BA4990E-7674-4DE1-B7AC-75A1C5BD598E}"/>
    <cellStyle name="Normal 3 2 3 4 2 4" xfId="7755" xr:uid="{CF57FAE3-B13D-4BD4-9472-74C6FC59FE72}"/>
    <cellStyle name="Normal 3 2 3 4 3" xfId="2436" xr:uid="{00000000-0005-0000-0000-000002090000}"/>
    <cellStyle name="Normal 3 2 3 4 3 2" xfId="7758" xr:uid="{B93D8810-05CF-40E0-B66A-3E3AFCCF5BE1}"/>
    <cellStyle name="Normal 3 2 3 4 4" xfId="2437" xr:uid="{00000000-0005-0000-0000-000003090000}"/>
    <cellStyle name="Normal 3 2 3 4 4 2" xfId="7759" xr:uid="{3FA98CF7-7266-4705-9A98-2E43320A29BD}"/>
    <cellStyle name="Normal 3 2 3 4 5" xfId="7754" xr:uid="{E97FBB8F-1524-4265-B09F-CDEE3C1144CF}"/>
    <cellStyle name="Normal 3 2 3 5" xfId="2438" xr:uid="{00000000-0005-0000-0000-000004090000}"/>
    <cellStyle name="Normal 3 2 3 5 2" xfId="2439" xr:uid="{00000000-0005-0000-0000-000005090000}"/>
    <cellStyle name="Normal 3 2 3 5 2 2" xfId="2440" xr:uid="{00000000-0005-0000-0000-000006090000}"/>
    <cellStyle name="Normal 3 2 3 5 2 2 2" xfId="7762" xr:uid="{16294D5C-8B50-4937-96DF-A3A6983B4013}"/>
    <cellStyle name="Normal 3 2 3 5 2 3" xfId="7761" xr:uid="{409FC875-960D-4DF9-A0B1-BB553EF07CA3}"/>
    <cellStyle name="Normal 3 2 3 5 3" xfId="2441" xr:uid="{00000000-0005-0000-0000-000007090000}"/>
    <cellStyle name="Normal 3 2 3 5 3 2" xfId="7763" xr:uid="{C3908558-6B5D-49CC-B36D-25BD67F0D48A}"/>
    <cellStyle name="Normal 3 2 3 5 4" xfId="2442" xr:uid="{00000000-0005-0000-0000-000008090000}"/>
    <cellStyle name="Normal 3 2 3 5 4 2" xfId="7764" xr:uid="{C010DC9A-B86A-4DEA-B32F-D20A47911C56}"/>
    <cellStyle name="Normal 3 2 3 5 5" xfId="7760" xr:uid="{E899AA7B-20AE-4DEB-B244-792585A5F480}"/>
    <cellStyle name="Normal 3 2 3 6" xfId="2443" xr:uid="{00000000-0005-0000-0000-000009090000}"/>
    <cellStyle name="Normal 3 2 3 6 2" xfId="2444" xr:uid="{00000000-0005-0000-0000-00000A090000}"/>
    <cellStyle name="Normal 3 2 3 6 2 2" xfId="7766" xr:uid="{36245B30-8079-46C9-A814-D540B5D6E9ED}"/>
    <cellStyle name="Normal 3 2 3 6 3" xfId="2445" xr:uid="{00000000-0005-0000-0000-00000B090000}"/>
    <cellStyle name="Normal 3 2 3 6 3 2" xfId="7767" xr:uid="{5E1A3C6D-ACAC-4E76-8D88-CD7483D925C6}"/>
    <cellStyle name="Normal 3 2 3 6 4" xfId="7765" xr:uid="{558EA1D3-BB53-4F7E-83C6-E6EDCC595CA5}"/>
    <cellStyle name="Normal 3 2 3 7" xfId="2446" xr:uid="{00000000-0005-0000-0000-00000C090000}"/>
    <cellStyle name="Normal 3 2 3 7 2" xfId="2447" xr:uid="{00000000-0005-0000-0000-00000D090000}"/>
    <cellStyle name="Normal 3 2 3 7 2 2" xfId="7769" xr:uid="{BA2FDF54-5FDA-4501-8C1A-E549BAC7AC8F}"/>
    <cellStyle name="Normal 3 2 3 7 3" xfId="7768" xr:uid="{9492FE38-7470-4D21-8C39-75801CB31F0E}"/>
    <cellStyle name="Normal 3 2 3 8" xfId="2448" xr:uid="{00000000-0005-0000-0000-00000E090000}"/>
    <cellStyle name="Normal 3 2 3 8 2" xfId="2449" xr:uid="{00000000-0005-0000-0000-00000F090000}"/>
    <cellStyle name="Normal 3 2 3 8 2 2" xfId="7771" xr:uid="{6B5E1A08-5133-409B-BEC7-E14E7D8F268E}"/>
    <cellStyle name="Normal 3 2 3 8 3" xfId="7770" xr:uid="{7BD7753C-0782-4FA3-9BD7-BE5B69B938B7}"/>
    <cellStyle name="Normal 3 2 3 9" xfId="2450" xr:uid="{00000000-0005-0000-0000-000010090000}"/>
    <cellStyle name="Normal 3 2 3 9 2" xfId="2451" xr:uid="{00000000-0005-0000-0000-000011090000}"/>
    <cellStyle name="Normal 3 2 3 9 2 2" xfId="7773" xr:uid="{3D6B7CBC-ADF6-40C7-A3C4-2DBDB872BFA5}"/>
    <cellStyle name="Normal 3 2 3 9 3" xfId="7772" xr:uid="{C2785ED6-3657-43BF-A14A-5988BB8EC05C}"/>
    <cellStyle name="Normal 3 2 4" xfId="114" xr:uid="{00000000-0005-0000-0000-000012090000}"/>
    <cellStyle name="Normal 3 2 4 10" xfId="2452" xr:uid="{00000000-0005-0000-0000-000013090000}"/>
    <cellStyle name="Normal 3 2 4 10 2" xfId="7774" xr:uid="{A5A52F30-AE48-497B-80A8-9362C12EE0A9}"/>
    <cellStyle name="Normal 3 2 4 11" xfId="5348" xr:uid="{33E0F308-265B-4DA6-B844-7A590B0232C3}"/>
    <cellStyle name="Normal 3 2 4 11 2" xfId="10667" xr:uid="{EC3EBD69-3C50-4FCC-8D11-06FB2D749786}"/>
    <cellStyle name="Normal 3 2 4 12" xfId="5448" xr:uid="{953C34F2-7D4E-4C19-88F3-C58EE14CFC8E}"/>
    <cellStyle name="Normal 3 2 4 2" xfId="115" xr:uid="{00000000-0005-0000-0000-000014090000}"/>
    <cellStyle name="Normal 3 2 4 2 2" xfId="2453" xr:uid="{00000000-0005-0000-0000-000015090000}"/>
    <cellStyle name="Normal 3 2 4 2 2 2" xfId="2454" xr:uid="{00000000-0005-0000-0000-000016090000}"/>
    <cellStyle name="Normal 3 2 4 2 2 2 2" xfId="2455" xr:uid="{00000000-0005-0000-0000-000017090000}"/>
    <cellStyle name="Normal 3 2 4 2 2 2 2 2" xfId="7777" xr:uid="{A6AE1FE1-BF6C-4B54-883F-2FA35ABE8A26}"/>
    <cellStyle name="Normal 3 2 4 2 2 2 3" xfId="2456" xr:uid="{00000000-0005-0000-0000-000018090000}"/>
    <cellStyle name="Normal 3 2 4 2 2 2 3 2" xfId="7778" xr:uid="{03DE03BB-D01B-460F-9228-13BEBCE01D60}"/>
    <cellStyle name="Normal 3 2 4 2 2 2 4" xfId="7776" xr:uid="{F75D65F5-7E48-42C5-A234-450996F4CA7D}"/>
    <cellStyle name="Normal 3 2 4 2 2 3" xfId="2457" xr:uid="{00000000-0005-0000-0000-000019090000}"/>
    <cellStyle name="Normal 3 2 4 2 2 3 2" xfId="7779" xr:uid="{1CE0F80D-6BDB-44DF-A649-00257B86A1F4}"/>
    <cellStyle name="Normal 3 2 4 2 2 4" xfId="2458" xr:uid="{00000000-0005-0000-0000-00001A090000}"/>
    <cellStyle name="Normal 3 2 4 2 2 4 2" xfId="7780" xr:uid="{35157A4A-5883-4A46-B5C5-4B8FF79DA283}"/>
    <cellStyle name="Normal 3 2 4 2 2 5" xfId="7775" xr:uid="{BD12798C-F84E-46DF-AC9B-5AA0C0669CC1}"/>
    <cellStyle name="Normal 3 2 4 2 3" xfId="2459" xr:uid="{00000000-0005-0000-0000-00001B090000}"/>
    <cellStyle name="Normal 3 2 4 2 3 2" xfId="2460" xr:uid="{00000000-0005-0000-0000-00001C090000}"/>
    <cellStyle name="Normal 3 2 4 2 3 2 2" xfId="2461" xr:uid="{00000000-0005-0000-0000-00001D090000}"/>
    <cellStyle name="Normal 3 2 4 2 3 2 2 2" xfId="7783" xr:uid="{68B7ECAD-C643-4625-AFB8-14D51DC8FF6C}"/>
    <cellStyle name="Normal 3 2 4 2 3 2 3" xfId="7782" xr:uid="{56682092-0A9B-449D-AFC9-602816828316}"/>
    <cellStyle name="Normal 3 2 4 2 3 3" xfId="2462" xr:uid="{00000000-0005-0000-0000-00001E090000}"/>
    <cellStyle name="Normal 3 2 4 2 3 3 2" xfId="7784" xr:uid="{2580D537-BB85-467A-B604-A5821C9903FA}"/>
    <cellStyle name="Normal 3 2 4 2 3 4" xfId="2463" xr:uid="{00000000-0005-0000-0000-00001F090000}"/>
    <cellStyle name="Normal 3 2 4 2 3 4 2" xfId="7785" xr:uid="{AE516124-A840-4F96-83A0-48DDD0FAB83D}"/>
    <cellStyle name="Normal 3 2 4 2 3 5" xfId="7781" xr:uid="{7DE49C39-05C6-4630-8D17-293163A58382}"/>
    <cellStyle name="Normal 3 2 4 2 4" xfId="2464" xr:uid="{00000000-0005-0000-0000-000020090000}"/>
    <cellStyle name="Normal 3 2 4 2 4 2" xfId="2465" xr:uid="{00000000-0005-0000-0000-000021090000}"/>
    <cellStyle name="Normal 3 2 4 2 4 2 2" xfId="7787" xr:uid="{00F027C5-90BA-444A-85B8-7581AB286063}"/>
    <cellStyle name="Normal 3 2 4 2 4 3" xfId="7786" xr:uid="{922814DF-1EAC-46E0-8D53-6E6727B2F853}"/>
    <cellStyle name="Normal 3 2 4 2 5" xfId="2466" xr:uid="{00000000-0005-0000-0000-000022090000}"/>
    <cellStyle name="Normal 3 2 4 2 5 2" xfId="2467" xr:uid="{00000000-0005-0000-0000-000023090000}"/>
    <cellStyle name="Normal 3 2 4 2 5 2 2" xfId="7789" xr:uid="{888BE625-0AEE-41E4-8E5C-998F27E4EC57}"/>
    <cellStyle name="Normal 3 2 4 2 5 3" xfId="7788" xr:uid="{FD1AFA5E-4DEC-4FD3-BA30-143FE03E195F}"/>
    <cellStyle name="Normal 3 2 4 2 6" xfId="2468" xr:uid="{00000000-0005-0000-0000-000024090000}"/>
    <cellStyle name="Normal 3 2 4 2 6 2" xfId="2469" xr:uid="{00000000-0005-0000-0000-000025090000}"/>
    <cellStyle name="Normal 3 2 4 2 6 2 2" xfId="7791" xr:uid="{BBEECAFD-CE5A-4537-9FC5-C4042EF1BA26}"/>
    <cellStyle name="Normal 3 2 4 2 6 3" xfId="7790" xr:uid="{9A3823E3-634D-4B98-9371-B3710EC53E16}"/>
    <cellStyle name="Normal 3 2 4 2 7" xfId="2470" xr:uid="{00000000-0005-0000-0000-000026090000}"/>
    <cellStyle name="Normal 3 2 4 2 7 2" xfId="7792" xr:uid="{172CD010-F1AF-48BC-A324-A4489249A5CF}"/>
    <cellStyle name="Normal 3 2 4 2 8" xfId="2471" xr:uid="{00000000-0005-0000-0000-000027090000}"/>
    <cellStyle name="Normal 3 2 4 2 8 2" xfId="7793" xr:uid="{ECF78027-188E-4F9D-8792-EF52009482C0}"/>
    <cellStyle name="Normal 3 2 4 2 9" xfId="5449" xr:uid="{16E44351-3F07-4B3C-B452-CECAAC42E288}"/>
    <cellStyle name="Normal 3 2 4 3" xfId="2472" xr:uid="{00000000-0005-0000-0000-000028090000}"/>
    <cellStyle name="Normal 3 2 4 3 2" xfId="2473" xr:uid="{00000000-0005-0000-0000-000029090000}"/>
    <cellStyle name="Normal 3 2 4 3 2 2" xfId="2474" xr:uid="{00000000-0005-0000-0000-00002A090000}"/>
    <cellStyle name="Normal 3 2 4 3 2 2 2" xfId="7796" xr:uid="{55391573-1A21-442A-BE96-32C58452669A}"/>
    <cellStyle name="Normal 3 2 4 3 2 3" xfId="2475" xr:uid="{00000000-0005-0000-0000-00002B090000}"/>
    <cellStyle name="Normal 3 2 4 3 2 3 2" xfId="7797" xr:uid="{452AB376-1BA0-459D-B1C5-A21704B73706}"/>
    <cellStyle name="Normal 3 2 4 3 2 4" xfId="7795" xr:uid="{5DF52AD7-552B-4DFE-8EF5-D48064DC1F7A}"/>
    <cellStyle name="Normal 3 2 4 3 3" xfId="2476" xr:uid="{00000000-0005-0000-0000-00002C090000}"/>
    <cellStyle name="Normal 3 2 4 3 3 2" xfId="7798" xr:uid="{4D07691A-7FB4-4A0A-864E-C2EAF1A34338}"/>
    <cellStyle name="Normal 3 2 4 3 4" xfId="2477" xr:uid="{00000000-0005-0000-0000-00002D090000}"/>
    <cellStyle name="Normal 3 2 4 3 4 2" xfId="7799" xr:uid="{5BE1B383-3C1A-4198-87FC-3636EEB0CB9E}"/>
    <cellStyle name="Normal 3 2 4 3 5" xfId="7794" xr:uid="{43B77DCB-BD8E-4E0A-B86D-07265B9673ED}"/>
    <cellStyle name="Normal 3 2 4 4" xfId="2478" xr:uid="{00000000-0005-0000-0000-00002E090000}"/>
    <cellStyle name="Normal 3 2 4 4 2" xfId="2479" xr:uid="{00000000-0005-0000-0000-00002F090000}"/>
    <cellStyle name="Normal 3 2 4 4 2 2" xfId="2480" xr:uid="{00000000-0005-0000-0000-000030090000}"/>
    <cellStyle name="Normal 3 2 4 4 2 2 2" xfId="7802" xr:uid="{10CCE032-A658-4261-815E-1C542FF097B3}"/>
    <cellStyle name="Normal 3 2 4 4 2 3" xfId="7801" xr:uid="{0B341448-CEB6-41A1-8143-252AE9410CB7}"/>
    <cellStyle name="Normal 3 2 4 4 3" xfId="2481" xr:uid="{00000000-0005-0000-0000-000031090000}"/>
    <cellStyle name="Normal 3 2 4 4 3 2" xfId="7803" xr:uid="{66FCCE13-1019-463E-9DAB-919E53647CE6}"/>
    <cellStyle name="Normal 3 2 4 4 4" xfId="2482" xr:uid="{00000000-0005-0000-0000-000032090000}"/>
    <cellStyle name="Normal 3 2 4 4 4 2" xfId="7804" xr:uid="{34847D44-AB9C-4D89-8024-8743B7C194C3}"/>
    <cellStyle name="Normal 3 2 4 4 5" xfId="7800" xr:uid="{2D21E656-D5A5-40C0-B4C3-685E239C94C5}"/>
    <cellStyle name="Normal 3 2 4 5" xfId="2483" xr:uid="{00000000-0005-0000-0000-000033090000}"/>
    <cellStyle name="Normal 3 2 4 5 2" xfId="2484" xr:uid="{00000000-0005-0000-0000-000034090000}"/>
    <cellStyle name="Normal 3 2 4 5 2 2" xfId="7806" xr:uid="{F3563DA8-414D-420B-9C16-33F8409A100D}"/>
    <cellStyle name="Normal 3 2 4 5 3" xfId="2485" xr:uid="{00000000-0005-0000-0000-000035090000}"/>
    <cellStyle name="Normal 3 2 4 5 3 2" xfId="7807" xr:uid="{57260A2F-FEB2-4156-931F-5AA4B62D7661}"/>
    <cellStyle name="Normal 3 2 4 5 4" xfId="7805" xr:uid="{49E13047-60E1-4256-8FD6-B357A3AF1052}"/>
    <cellStyle name="Normal 3 2 4 6" xfId="2486" xr:uid="{00000000-0005-0000-0000-000036090000}"/>
    <cellStyle name="Normal 3 2 4 6 2" xfId="2487" xr:uid="{00000000-0005-0000-0000-000037090000}"/>
    <cellStyle name="Normal 3 2 4 6 2 2" xfId="7809" xr:uid="{47081DC6-32B2-43D8-8CD6-A88446956C67}"/>
    <cellStyle name="Normal 3 2 4 6 3" xfId="7808" xr:uid="{CF239187-1895-4112-9B8A-A996584BAC7D}"/>
    <cellStyle name="Normal 3 2 4 7" xfId="2488" xr:uid="{00000000-0005-0000-0000-000038090000}"/>
    <cellStyle name="Normal 3 2 4 7 2" xfId="2489" xr:uid="{00000000-0005-0000-0000-000039090000}"/>
    <cellStyle name="Normal 3 2 4 7 2 2" xfId="7811" xr:uid="{3783D6D8-3797-4DDE-99C7-14ACFF70C19D}"/>
    <cellStyle name="Normal 3 2 4 7 3" xfId="7810" xr:uid="{2BEF2676-9F5A-458D-82F1-CDB7899DF69A}"/>
    <cellStyle name="Normal 3 2 4 8" xfId="2490" xr:uid="{00000000-0005-0000-0000-00003A090000}"/>
    <cellStyle name="Normal 3 2 4 8 2" xfId="2491" xr:uid="{00000000-0005-0000-0000-00003B090000}"/>
    <cellStyle name="Normal 3 2 4 8 2 2" xfId="7813" xr:uid="{E1906899-8B66-43CF-B199-E95B8710E391}"/>
    <cellStyle name="Normal 3 2 4 8 3" xfId="7812" xr:uid="{BFAD319E-5E3E-4DCA-88CD-336A08C696E4}"/>
    <cellStyle name="Normal 3 2 4 9" xfId="2492" xr:uid="{00000000-0005-0000-0000-00003C090000}"/>
    <cellStyle name="Normal 3 2 4 9 2" xfId="7814" xr:uid="{FBEBBC84-1BA0-4583-931C-E9D5A5AC584E}"/>
    <cellStyle name="Normal 3 2 5" xfId="116" xr:uid="{00000000-0005-0000-0000-00003D090000}"/>
    <cellStyle name="Normal 3 2 5 10" xfId="2493" xr:uid="{00000000-0005-0000-0000-00003E090000}"/>
    <cellStyle name="Normal 3 2 5 10 2" xfId="7815" xr:uid="{5683F02A-5805-4DCF-8F78-D4660BD4EB1E}"/>
    <cellStyle name="Normal 3 2 5 11" xfId="5450" xr:uid="{17413BA1-32AC-42F9-955E-2793033610E1}"/>
    <cellStyle name="Normal 3 2 5 2" xfId="2494" xr:uid="{00000000-0005-0000-0000-00003F090000}"/>
    <cellStyle name="Normal 3 2 5 2 2" xfId="2495" xr:uid="{00000000-0005-0000-0000-000040090000}"/>
    <cellStyle name="Normal 3 2 5 2 2 2" xfId="2496" xr:uid="{00000000-0005-0000-0000-000041090000}"/>
    <cellStyle name="Normal 3 2 5 2 2 2 2" xfId="2497" xr:uid="{00000000-0005-0000-0000-000042090000}"/>
    <cellStyle name="Normal 3 2 5 2 2 2 2 2" xfId="7819" xr:uid="{34DE9678-7B89-4B92-99A0-468C3F8136DB}"/>
    <cellStyle name="Normal 3 2 5 2 2 2 3" xfId="2498" xr:uid="{00000000-0005-0000-0000-000043090000}"/>
    <cellStyle name="Normal 3 2 5 2 2 2 3 2" xfId="7820" xr:uid="{C2C303C7-F8F7-46B6-8190-7D61B588FD61}"/>
    <cellStyle name="Normal 3 2 5 2 2 2 4" xfId="7818" xr:uid="{489E73F2-38FC-48F0-AC82-4B35ED8C797A}"/>
    <cellStyle name="Normal 3 2 5 2 2 3" xfId="2499" xr:uid="{00000000-0005-0000-0000-000044090000}"/>
    <cellStyle name="Normal 3 2 5 2 2 3 2" xfId="7821" xr:uid="{168C504D-38D7-4B38-8F6A-8ACDCE8D1693}"/>
    <cellStyle name="Normal 3 2 5 2 2 4" xfId="2500" xr:uid="{00000000-0005-0000-0000-000045090000}"/>
    <cellStyle name="Normal 3 2 5 2 2 4 2" xfId="7822" xr:uid="{8AFFAC47-FECD-48B8-B4B9-E56BD0F16544}"/>
    <cellStyle name="Normal 3 2 5 2 2 5" xfId="7817" xr:uid="{73FC375E-8C78-42BC-B683-407E7942056E}"/>
    <cellStyle name="Normal 3 2 5 2 3" xfId="2501" xr:uid="{00000000-0005-0000-0000-000046090000}"/>
    <cellStyle name="Normal 3 2 5 2 3 2" xfId="2502" xr:uid="{00000000-0005-0000-0000-000047090000}"/>
    <cellStyle name="Normal 3 2 5 2 3 2 2" xfId="2503" xr:uid="{00000000-0005-0000-0000-000048090000}"/>
    <cellStyle name="Normal 3 2 5 2 3 2 2 2" xfId="7825" xr:uid="{C8D05988-FAE2-4182-A430-F153FE5F0D85}"/>
    <cellStyle name="Normal 3 2 5 2 3 2 3" xfId="7824" xr:uid="{6268F441-EF24-4211-9F92-2F571B1C929E}"/>
    <cellStyle name="Normal 3 2 5 2 3 3" xfId="2504" xr:uid="{00000000-0005-0000-0000-000049090000}"/>
    <cellStyle name="Normal 3 2 5 2 3 3 2" xfId="7826" xr:uid="{412E6D86-B6E9-4211-B01D-A4126081149E}"/>
    <cellStyle name="Normal 3 2 5 2 3 4" xfId="2505" xr:uid="{00000000-0005-0000-0000-00004A090000}"/>
    <cellStyle name="Normal 3 2 5 2 3 4 2" xfId="7827" xr:uid="{9C0B89BE-CE53-43BF-B16F-857DC8C99793}"/>
    <cellStyle name="Normal 3 2 5 2 3 5" xfId="7823" xr:uid="{D0192AA0-083E-423D-93E1-3FC1CC570B6B}"/>
    <cellStyle name="Normal 3 2 5 2 4" xfId="2506" xr:uid="{00000000-0005-0000-0000-00004B090000}"/>
    <cellStyle name="Normal 3 2 5 2 4 2" xfId="2507" xr:uid="{00000000-0005-0000-0000-00004C090000}"/>
    <cellStyle name="Normal 3 2 5 2 4 2 2" xfId="7829" xr:uid="{A5BE4FDD-5B52-4F55-BF57-8DE6485BF09C}"/>
    <cellStyle name="Normal 3 2 5 2 4 3" xfId="7828" xr:uid="{E53786EA-88CE-44B8-AEBE-2316AFA86992}"/>
    <cellStyle name="Normal 3 2 5 2 5" xfId="2508" xr:uid="{00000000-0005-0000-0000-00004D090000}"/>
    <cellStyle name="Normal 3 2 5 2 5 2" xfId="7830" xr:uid="{AE874512-B391-4311-BC14-CEF694AA255C}"/>
    <cellStyle name="Normal 3 2 5 2 6" xfId="2509" xr:uid="{00000000-0005-0000-0000-00004E090000}"/>
    <cellStyle name="Normal 3 2 5 2 6 2" xfId="7831" xr:uid="{00D674C0-359B-4CF3-8833-A966735BF370}"/>
    <cellStyle name="Normal 3 2 5 2 7" xfId="7816" xr:uid="{92327A53-056B-4E41-AE92-8EF481C77B77}"/>
    <cellStyle name="Normal 3 2 5 3" xfId="2510" xr:uid="{00000000-0005-0000-0000-00004F090000}"/>
    <cellStyle name="Normal 3 2 5 3 2" xfId="2511" xr:uid="{00000000-0005-0000-0000-000050090000}"/>
    <cellStyle name="Normal 3 2 5 3 2 2" xfId="2512" xr:uid="{00000000-0005-0000-0000-000051090000}"/>
    <cellStyle name="Normal 3 2 5 3 2 2 2" xfId="7834" xr:uid="{271B0D08-1BF1-4E5F-B919-7FEEE3F14142}"/>
    <cellStyle name="Normal 3 2 5 3 2 3" xfId="2513" xr:uid="{00000000-0005-0000-0000-000052090000}"/>
    <cellStyle name="Normal 3 2 5 3 2 3 2" xfId="7835" xr:uid="{DFED09A8-110B-4833-AE34-3C9EE631A6F6}"/>
    <cellStyle name="Normal 3 2 5 3 2 4" xfId="7833" xr:uid="{E9F833EB-3EF0-47A6-907F-8E74BFF2CE2F}"/>
    <cellStyle name="Normal 3 2 5 3 3" xfId="2514" xr:uid="{00000000-0005-0000-0000-000053090000}"/>
    <cellStyle name="Normal 3 2 5 3 3 2" xfId="7836" xr:uid="{A5D5942B-7EFD-43C3-9FFC-7C20F2E20D46}"/>
    <cellStyle name="Normal 3 2 5 3 4" xfId="2515" xr:uid="{00000000-0005-0000-0000-000054090000}"/>
    <cellStyle name="Normal 3 2 5 3 4 2" xfId="7837" xr:uid="{D019F0F4-AF5D-4041-94FD-B56402746013}"/>
    <cellStyle name="Normal 3 2 5 3 5" xfId="7832" xr:uid="{65DF9DC1-6BF7-4C43-9282-C17F990493E4}"/>
    <cellStyle name="Normal 3 2 5 4" xfId="2516" xr:uid="{00000000-0005-0000-0000-000055090000}"/>
    <cellStyle name="Normal 3 2 5 4 2" xfId="2517" xr:uid="{00000000-0005-0000-0000-000056090000}"/>
    <cellStyle name="Normal 3 2 5 4 2 2" xfId="2518" xr:uid="{00000000-0005-0000-0000-000057090000}"/>
    <cellStyle name="Normal 3 2 5 4 2 2 2" xfId="7840" xr:uid="{A5E5E8D7-16D3-4205-AF6D-5A8F4152A705}"/>
    <cellStyle name="Normal 3 2 5 4 2 3" xfId="7839" xr:uid="{2BB26DD9-3ECF-4487-BEC8-7133EDA117F6}"/>
    <cellStyle name="Normal 3 2 5 4 3" xfId="2519" xr:uid="{00000000-0005-0000-0000-000058090000}"/>
    <cellStyle name="Normal 3 2 5 4 3 2" xfId="7841" xr:uid="{A212E886-2033-4E45-B80B-B1AECAA3CD80}"/>
    <cellStyle name="Normal 3 2 5 4 4" xfId="2520" xr:uid="{00000000-0005-0000-0000-000059090000}"/>
    <cellStyle name="Normal 3 2 5 4 4 2" xfId="7842" xr:uid="{01B6F6B0-C5FD-4045-A15D-ECBD1F1C843E}"/>
    <cellStyle name="Normal 3 2 5 4 5" xfId="7838" xr:uid="{6C8B6BF1-E1A3-4328-8A38-448F314BBB97}"/>
    <cellStyle name="Normal 3 2 5 5" xfId="2521" xr:uid="{00000000-0005-0000-0000-00005A090000}"/>
    <cellStyle name="Normal 3 2 5 5 2" xfId="2522" xr:uid="{00000000-0005-0000-0000-00005B090000}"/>
    <cellStyle name="Normal 3 2 5 5 2 2" xfId="7844" xr:uid="{9221E34F-CEBF-4B29-A0A2-D93133460C3E}"/>
    <cellStyle name="Normal 3 2 5 5 3" xfId="2523" xr:uid="{00000000-0005-0000-0000-00005C090000}"/>
    <cellStyle name="Normal 3 2 5 5 3 2" xfId="7845" xr:uid="{94E141B8-F1E1-4D78-B3BF-16FCFFD49916}"/>
    <cellStyle name="Normal 3 2 5 5 4" xfId="7843" xr:uid="{B7907123-D028-4B35-A9EF-B4B50FFCF970}"/>
    <cellStyle name="Normal 3 2 5 6" xfId="2524" xr:uid="{00000000-0005-0000-0000-00005D090000}"/>
    <cellStyle name="Normal 3 2 5 6 2" xfId="2525" xr:uid="{00000000-0005-0000-0000-00005E090000}"/>
    <cellStyle name="Normal 3 2 5 6 2 2" xfId="7847" xr:uid="{5D66A431-BBE2-48D9-9FB8-B630A90C4C51}"/>
    <cellStyle name="Normal 3 2 5 6 3" xfId="7846" xr:uid="{48AD04CA-9D44-4A68-B3CA-E29C1196FCE7}"/>
    <cellStyle name="Normal 3 2 5 7" xfId="2526" xr:uid="{00000000-0005-0000-0000-00005F090000}"/>
    <cellStyle name="Normal 3 2 5 7 2" xfId="2527" xr:uid="{00000000-0005-0000-0000-000060090000}"/>
    <cellStyle name="Normal 3 2 5 7 2 2" xfId="7849" xr:uid="{23897C78-8570-4E52-B431-076429F43CD1}"/>
    <cellStyle name="Normal 3 2 5 7 3" xfId="7848" xr:uid="{4B3DD6DB-4DA8-4E35-9822-CE4940D92FF2}"/>
    <cellStyle name="Normal 3 2 5 8" xfId="2528" xr:uid="{00000000-0005-0000-0000-000061090000}"/>
    <cellStyle name="Normal 3 2 5 8 2" xfId="2529" xr:uid="{00000000-0005-0000-0000-000062090000}"/>
    <cellStyle name="Normal 3 2 5 8 2 2" xfId="7851" xr:uid="{693F332F-4CDF-4374-A994-4D2C7DDBD2BE}"/>
    <cellStyle name="Normal 3 2 5 8 3" xfId="7850" xr:uid="{DC8AC998-07E2-429E-97F5-790BE7FE1021}"/>
    <cellStyle name="Normal 3 2 5 9" xfId="2530" xr:uid="{00000000-0005-0000-0000-000063090000}"/>
    <cellStyle name="Normal 3 2 5 9 2" xfId="7852" xr:uid="{0197CF65-D27F-40FA-BBD9-CA2085BBA406}"/>
    <cellStyle name="Normal 3 2 6" xfId="2531" xr:uid="{00000000-0005-0000-0000-000064090000}"/>
    <cellStyle name="Normal 3 2 6 2" xfId="2532" xr:uid="{00000000-0005-0000-0000-000065090000}"/>
    <cellStyle name="Normal 3 2 6 2 2" xfId="2533" xr:uid="{00000000-0005-0000-0000-000066090000}"/>
    <cellStyle name="Normal 3 2 6 2 2 2" xfId="2534" xr:uid="{00000000-0005-0000-0000-000067090000}"/>
    <cellStyle name="Normal 3 2 6 2 2 2 2" xfId="7856" xr:uid="{A41A0F59-FB0F-4DBD-9C2D-D1D2C92E9CDA}"/>
    <cellStyle name="Normal 3 2 6 2 2 3" xfId="2535" xr:uid="{00000000-0005-0000-0000-000068090000}"/>
    <cellStyle name="Normal 3 2 6 2 2 3 2" xfId="7857" xr:uid="{567AA119-15F3-4166-A01B-3D18CAD62B35}"/>
    <cellStyle name="Normal 3 2 6 2 2 4" xfId="7855" xr:uid="{CDD35013-92D3-4195-BFF8-2CEAD50A08AA}"/>
    <cellStyle name="Normal 3 2 6 2 3" xfId="2536" xr:uid="{00000000-0005-0000-0000-000069090000}"/>
    <cellStyle name="Normal 3 2 6 2 3 2" xfId="7858" xr:uid="{617AE124-DDE1-4359-8DFF-CD58F47EFE36}"/>
    <cellStyle name="Normal 3 2 6 2 4" xfId="2537" xr:uid="{00000000-0005-0000-0000-00006A090000}"/>
    <cellStyle name="Normal 3 2 6 2 4 2" xfId="7859" xr:uid="{71CEF521-CCF8-456E-BC15-512DADB51789}"/>
    <cellStyle name="Normal 3 2 6 2 5" xfId="7854" xr:uid="{DC714CE4-2BCF-4DDA-8A38-B9FC7BB12414}"/>
    <cellStyle name="Normal 3 2 6 3" xfId="2538" xr:uid="{00000000-0005-0000-0000-00006B090000}"/>
    <cellStyle name="Normal 3 2 6 3 2" xfId="2539" xr:uid="{00000000-0005-0000-0000-00006C090000}"/>
    <cellStyle name="Normal 3 2 6 3 2 2" xfId="2540" xr:uid="{00000000-0005-0000-0000-00006D090000}"/>
    <cellStyle name="Normal 3 2 6 3 2 2 2" xfId="7862" xr:uid="{7703CA9C-A3E8-4325-B6C0-6816D669D0D0}"/>
    <cellStyle name="Normal 3 2 6 3 2 3" xfId="7861" xr:uid="{05324C17-EC18-442A-84B8-529704395C81}"/>
    <cellStyle name="Normal 3 2 6 3 3" xfId="2541" xr:uid="{00000000-0005-0000-0000-00006E090000}"/>
    <cellStyle name="Normal 3 2 6 3 3 2" xfId="7863" xr:uid="{E395FAD4-63A4-4FEF-BCF5-E47586BC435B}"/>
    <cellStyle name="Normal 3 2 6 3 4" xfId="2542" xr:uid="{00000000-0005-0000-0000-00006F090000}"/>
    <cellStyle name="Normal 3 2 6 3 4 2" xfId="7864" xr:uid="{125566E6-1E03-43E4-B6C4-B0D126B6FC25}"/>
    <cellStyle name="Normal 3 2 6 3 5" xfId="7860" xr:uid="{22D3A227-8992-45C9-8CAC-D6B8C2370B5C}"/>
    <cellStyle name="Normal 3 2 6 4" xfId="2543" xr:uid="{00000000-0005-0000-0000-000070090000}"/>
    <cellStyle name="Normal 3 2 6 4 2" xfId="2544" xr:uid="{00000000-0005-0000-0000-000071090000}"/>
    <cellStyle name="Normal 3 2 6 4 2 2" xfId="7866" xr:uid="{7C620DC9-594E-4710-A583-B8B32A63A145}"/>
    <cellStyle name="Normal 3 2 6 4 3" xfId="2545" xr:uid="{00000000-0005-0000-0000-000072090000}"/>
    <cellStyle name="Normal 3 2 6 4 3 2" xfId="7867" xr:uid="{C9CBD6B8-D18C-4504-B7DD-3A4DE4C6CC5A}"/>
    <cellStyle name="Normal 3 2 6 4 4" xfId="7865" xr:uid="{10808274-0F1D-469B-94B9-A92B0DB9B4DB}"/>
    <cellStyle name="Normal 3 2 6 5" xfId="2546" xr:uid="{00000000-0005-0000-0000-000073090000}"/>
    <cellStyle name="Normal 3 2 6 5 2" xfId="7868" xr:uid="{632254F3-57E0-4F47-83CD-B55635560A87}"/>
    <cellStyle name="Normal 3 2 6 6" xfId="2547" xr:uid="{00000000-0005-0000-0000-000074090000}"/>
    <cellStyle name="Normal 3 2 6 6 2" xfId="7869" xr:uid="{5C00F3E6-8CCF-4080-AC76-B3A5E8C816CF}"/>
    <cellStyle name="Normal 3 2 6 7" xfId="7853" xr:uid="{DDCA809C-9BF8-4CF7-B531-D7943755E878}"/>
    <cellStyle name="Normal 3 2 7" xfId="2548" xr:uid="{00000000-0005-0000-0000-000075090000}"/>
    <cellStyle name="Normal 3 2 7 2" xfId="2549" xr:uid="{00000000-0005-0000-0000-000076090000}"/>
    <cellStyle name="Normal 3 2 7 2 2" xfId="2550" xr:uid="{00000000-0005-0000-0000-000077090000}"/>
    <cellStyle name="Normal 3 2 7 2 2 2" xfId="7872" xr:uid="{E614CE6B-A5DC-4872-B38F-187F5C9B1BD9}"/>
    <cellStyle name="Normal 3 2 7 2 3" xfId="2551" xr:uid="{00000000-0005-0000-0000-000078090000}"/>
    <cellStyle name="Normal 3 2 7 2 3 2" xfId="7873" xr:uid="{BFBBB1E0-D9B7-4541-9763-BF23831CF1EF}"/>
    <cellStyle name="Normal 3 2 7 2 4" xfId="7871" xr:uid="{2A4E1EF8-9EAF-4519-8A98-780D94A5C6E1}"/>
    <cellStyle name="Normal 3 2 7 3" xfId="2552" xr:uid="{00000000-0005-0000-0000-000079090000}"/>
    <cellStyle name="Normal 3 2 7 3 2" xfId="2553" xr:uid="{00000000-0005-0000-0000-00007A090000}"/>
    <cellStyle name="Normal 3 2 7 3 2 2" xfId="7875" xr:uid="{8456C11C-DE2A-4FAA-9DFA-65DFAA0CC4E0}"/>
    <cellStyle name="Normal 3 2 7 3 3" xfId="7874" xr:uid="{954783D4-9B84-490A-8D1E-2D93FFCCA53E}"/>
    <cellStyle name="Normal 3 2 7 4" xfId="2554" xr:uid="{00000000-0005-0000-0000-00007B090000}"/>
    <cellStyle name="Normal 3 2 7 4 2" xfId="7876" xr:uid="{7F07097E-CEBC-4997-9CA2-47CD90D1C3DD}"/>
    <cellStyle name="Normal 3 2 7 5" xfId="7870" xr:uid="{099313EF-009B-46DA-BEF7-6690AA1446E6}"/>
    <cellStyle name="Normal 3 2 8" xfId="2555" xr:uid="{00000000-0005-0000-0000-00007C090000}"/>
    <cellStyle name="Normal 3 2 8 2" xfId="2556" xr:uid="{00000000-0005-0000-0000-00007D090000}"/>
    <cellStyle name="Normal 3 2 8 2 2" xfId="2557" xr:uid="{00000000-0005-0000-0000-00007E090000}"/>
    <cellStyle name="Normal 3 2 8 2 2 2" xfId="7879" xr:uid="{62BE49D6-2422-471F-8CAE-BF6C3FEC5A64}"/>
    <cellStyle name="Normal 3 2 8 2 3" xfId="7878" xr:uid="{D4A87F48-8BDA-4974-8024-5AA40263F8B6}"/>
    <cellStyle name="Normal 3 2 8 3" xfId="2558" xr:uid="{00000000-0005-0000-0000-00007F090000}"/>
    <cellStyle name="Normal 3 2 8 3 2" xfId="7880" xr:uid="{F1C32FD7-412B-49D8-93E8-78E2492C1AEA}"/>
    <cellStyle name="Normal 3 2 8 4" xfId="2559" xr:uid="{00000000-0005-0000-0000-000080090000}"/>
    <cellStyle name="Normal 3 2 8 4 2" xfId="7881" xr:uid="{75CF506D-31B3-4948-84BB-E0C2056D2CD6}"/>
    <cellStyle name="Normal 3 2 8 5" xfId="7877" xr:uid="{8CD862FE-F566-4275-ACE9-17B55F806D91}"/>
    <cellStyle name="Normal 3 2 9" xfId="2560" xr:uid="{00000000-0005-0000-0000-000081090000}"/>
    <cellStyle name="Normal 3 2 9 2" xfId="2561" xr:uid="{00000000-0005-0000-0000-000082090000}"/>
    <cellStyle name="Normal 3 2 9 2 2" xfId="7883" xr:uid="{D36081D4-EDC4-43E8-8601-0C19521AC05B}"/>
    <cellStyle name="Normal 3 2 9 3" xfId="2562" xr:uid="{00000000-0005-0000-0000-000083090000}"/>
    <cellStyle name="Normal 3 2 9 3 2" xfId="7884" xr:uid="{F50FC2A3-F806-46C3-8A05-8659B13EE456}"/>
    <cellStyle name="Normal 3 2 9 4" xfId="7882" xr:uid="{3A59D4D3-31F0-4461-BD15-97425C24773C}"/>
    <cellStyle name="Normal 3 3" xfId="117" xr:uid="{00000000-0005-0000-0000-000084090000}"/>
    <cellStyle name="Normal 3 3 10" xfId="2563" xr:uid="{00000000-0005-0000-0000-000085090000}"/>
    <cellStyle name="Normal 3 3 10 2" xfId="2564" xr:uid="{00000000-0005-0000-0000-000086090000}"/>
    <cellStyle name="Normal 3 3 10 2 2" xfId="7886" xr:uid="{8CBCC314-1FDB-4BBB-80C3-5484298D0222}"/>
    <cellStyle name="Normal 3 3 10 3" xfId="7885" xr:uid="{E1500131-3DFD-4517-89CB-6470EEEC57DD}"/>
    <cellStyle name="Normal 3 3 11" xfId="2565" xr:uid="{00000000-0005-0000-0000-000087090000}"/>
    <cellStyle name="Normal 3 3 11 2" xfId="2566" xr:uid="{00000000-0005-0000-0000-000088090000}"/>
    <cellStyle name="Normal 3 3 11 2 2" xfId="7888" xr:uid="{E1EDC550-0B09-4297-9499-4DC3132EB882}"/>
    <cellStyle name="Normal 3 3 11 3" xfId="7887" xr:uid="{8D7F342D-D823-452C-BB4F-18CDABF5FE62}"/>
    <cellStyle name="Normal 3 3 12" xfId="2567" xr:uid="{00000000-0005-0000-0000-000089090000}"/>
    <cellStyle name="Normal 3 3 12 2" xfId="7889" xr:uid="{58D12C92-6001-40AD-B5E6-51188C33646F}"/>
    <cellStyle name="Normal 3 3 13" xfId="2568" xr:uid="{00000000-0005-0000-0000-00008A090000}"/>
    <cellStyle name="Normal 3 3 13 2" xfId="7890" xr:uid="{A2558FD3-BA6B-468A-83AC-A593B3A870DD}"/>
    <cellStyle name="Normal 3 3 14" xfId="5344" xr:uid="{9263DF13-A094-4931-B0A9-10F79C757B08}"/>
    <cellStyle name="Normal 3 3 14 2" xfId="10663" xr:uid="{698057B3-C6B5-4E3C-9F39-652364343D46}"/>
    <cellStyle name="Normal 3 3 15" xfId="5451" xr:uid="{229E8C05-7040-41A2-A582-5E01D375A610}"/>
    <cellStyle name="Normal 3 3 2" xfId="118" xr:uid="{00000000-0005-0000-0000-00008B090000}"/>
    <cellStyle name="Normal 3 3 2 10" xfId="2569" xr:uid="{00000000-0005-0000-0000-00008C090000}"/>
    <cellStyle name="Normal 3 3 2 10 2" xfId="7891" xr:uid="{72C72DB1-27E2-490C-8347-58EC99628EF7}"/>
    <cellStyle name="Normal 3 3 2 11" xfId="5452" xr:uid="{45045B97-06B4-4FF7-AE5C-2803BF1939BC}"/>
    <cellStyle name="Normal 3 3 2 2" xfId="119" xr:uid="{00000000-0005-0000-0000-00008D090000}"/>
    <cellStyle name="Normal 3 3 2 2 10" xfId="5453" xr:uid="{FBFDB47B-48A5-4CD5-BAD8-1E7029A21F66}"/>
    <cellStyle name="Normal 3 3 2 2 2" xfId="120" xr:uid="{00000000-0005-0000-0000-00008E090000}"/>
    <cellStyle name="Normal 3 3 2 2 2 2" xfId="2570" xr:uid="{00000000-0005-0000-0000-00008F090000}"/>
    <cellStyle name="Normal 3 3 2 2 2 2 2" xfId="2571" xr:uid="{00000000-0005-0000-0000-000090090000}"/>
    <cellStyle name="Normal 3 3 2 2 2 2 2 2" xfId="2572" xr:uid="{00000000-0005-0000-0000-000091090000}"/>
    <cellStyle name="Normal 3 3 2 2 2 2 2 2 2" xfId="7894" xr:uid="{E3BA3EA2-D87B-4BD6-A3C2-E824273D84C0}"/>
    <cellStyle name="Normal 3 3 2 2 2 2 2 3" xfId="2573" xr:uid="{00000000-0005-0000-0000-000092090000}"/>
    <cellStyle name="Normal 3 3 2 2 2 2 2 3 2" xfId="7895" xr:uid="{C79214C4-BD02-4D22-94ED-85159A4A440B}"/>
    <cellStyle name="Normal 3 3 2 2 2 2 2 4" xfId="7893" xr:uid="{63850CEA-4C6C-4DE7-852D-0CEBA22B78C4}"/>
    <cellStyle name="Normal 3 3 2 2 2 2 3" xfId="2574" xr:uid="{00000000-0005-0000-0000-000093090000}"/>
    <cellStyle name="Normal 3 3 2 2 2 2 3 2" xfId="7896" xr:uid="{33862878-DFED-4775-83D0-0242EAA80C85}"/>
    <cellStyle name="Normal 3 3 2 2 2 2 4" xfId="2575" xr:uid="{00000000-0005-0000-0000-000094090000}"/>
    <cellStyle name="Normal 3 3 2 2 2 2 4 2" xfId="7897" xr:uid="{45A61562-CFE4-4D71-AA1A-C51960C06930}"/>
    <cellStyle name="Normal 3 3 2 2 2 2 5" xfId="7892" xr:uid="{2E592622-6F77-42E9-83DD-84ABA5AEFA47}"/>
    <cellStyle name="Normal 3 3 2 2 2 3" xfId="2576" xr:uid="{00000000-0005-0000-0000-000095090000}"/>
    <cellStyle name="Normal 3 3 2 2 2 3 2" xfId="2577" xr:uid="{00000000-0005-0000-0000-000096090000}"/>
    <cellStyle name="Normal 3 3 2 2 2 3 2 2" xfId="2578" xr:uid="{00000000-0005-0000-0000-000097090000}"/>
    <cellStyle name="Normal 3 3 2 2 2 3 2 2 2" xfId="7900" xr:uid="{F6EAA72C-CD97-4746-85FF-B2AE84AD3B49}"/>
    <cellStyle name="Normal 3 3 2 2 2 3 2 3" xfId="7899" xr:uid="{E779CC3E-3EA5-4C40-A2CD-0E367B40BD29}"/>
    <cellStyle name="Normal 3 3 2 2 2 3 3" xfId="2579" xr:uid="{00000000-0005-0000-0000-000098090000}"/>
    <cellStyle name="Normal 3 3 2 2 2 3 3 2" xfId="7901" xr:uid="{6AFF836B-DE5A-4F12-81B3-09471768B7DD}"/>
    <cellStyle name="Normal 3 3 2 2 2 3 4" xfId="2580" xr:uid="{00000000-0005-0000-0000-000099090000}"/>
    <cellStyle name="Normal 3 3 2 2 2 3 4 2" xfId="7902" xr:uid="{54792593-C8A3-4F88-9089-FE99D3E9C8F2}"/>
    <cellStyle name="Normal 3 3 2 2 2 3 5" xfId="7898" xr:uid="{8EC1AB2D-22B4-4844-9ECB-23E2864A36C3}"/>
    <cellStyle name="Normal 3 3 2 2 2 4" xfId="2581" xr:uid="{00000000-0005-0000-0000-00009A090000}"/>
    <cellStyle name="Normal 3 3 2 2 2 4 2" xfId="2582" xr:uid="{00000000-0005-0000-0000-00009B090000}"/>
    <cellStyle name="Normal 3 3 2 2 2 4 2 2" xfId="7904" xr:uid="{3AEA0194-702B-4ECB-BFF4-6E801917E724}"/>
    <cellStyle name="Normal 3 3 2 2 2 4 3" xfId="7903" xr:uid="{F490B7AF-7C36-4FDD-ABE1-11429DCC80A6}"/>
    <cellStyle name="Normal 3 3 2 2 2 5" xfId="2583" xr:uid="{00000000-0005-0000-0000-00009C090000}"/>
    <cellStyle name="Normal 3 3 2 2 2 5 2" xfId="2584" xr:uid="{00000000-0005-0000-0000-00009D090000}"/>
    <cellStyle name="Normal 3 3 2 2 2 5 2 2" xfId="7906" xr:uid="{882DC41E-BD69-45A8-96A3-92DEF09DD498}"/>
    <cellStyle name="Normal 3 3 2 2 2 5 3" xfId="7905" xr:uid="{7BFE804E-83B7-4D65-A85A-CF0D24391FD6}"/>
    <cellStyle name="Normal 3 3 2 2 2 6" xfId="2585" xr:uid="{00000000-0005-0000-0000-00009E090000}"/>
    <cellStyle name="Normal 3 3 2 2 2 6 2" xfId="2586" xr:uid="{00000000-0005-0000-0000-00009F090000}"/>
    <cellStyle name="Normal 3 3 2 2 2 6 2 2" xfId="7908" xr:uid="{05FDBD92-4676-4EEB-BFF3-8BC9211F50A0}"/>
    <cellStyle name="Normal 3 3 2 2 2 6 3" xfId="7907" xr:uid="{4543FB14-64C7-466C-B912-825316A14669}"/>
    <cellStyle name="Normal 3 3 2 2 2 7" xfId="2587" xr:uid="{00000000-0005-0000-0000-0000A0090000}"/>
    <cellStyle name="Normal 3 3 2 2 2 7 2" xfId="7909" xr:uid="{9EC0763C-5555-4DEC-9808-1901E9AB0D77}"/>
    <cellStyle name="Normal 3 3 2 2 2 8" xfId="2588" xr:uid="{00000000-0005-0000-0000-0000A1090000}"/>
    <cellStyle name="Normal 3 3 2 2 2 8 2" xfId="7910" xr:uid="{FB7E7954-C644-404B-97D1-42E5E675C79E}"/>
    <cellStyle name="Normal 3 3 2 2 2 9" xfId="5454" xr:uid="{561F7B7C-75E7-4C1C-9693-2DE8777D5657}"/>
    <cellStyle name="Normal 3 3 2 2 3" xfId="2589" xr:uid="{00000000-0005-0000-0000-0000A2090000}"/>
    <cellStyle name="Normal 3 3 2 2 3 2" xfId="2590" xr:uid="{00000000-0005-0000-0000-0000A3090000}"/>
    <cellStyle name="Normal 3 3 2 2 3 2 2" xfId="2591" xr:uid="{00000000-0005-0000-0000-0000A4090000}"/>
    <cellStyle name="Normal 3 3 2 2 3 2 2 2" xfId="7913" xr:uid="{D095284B-32AD-47AE-9CB2-4CD78E2EE657}"/>
    <cellStyle name="Normal 3 3 2 2 3 2 3" xfId="2592" xr:uid="{00000000-0005-0000-0000-0000A5090000}"/>
    <cellStyle name="Normal 3 3 2 2 3 2 3 2" xfId="7914" xr:uid="{4AE94186-08F9-4DF5-BE74-E1ACA1049C72}"/>
    <cellStyle name="Normal 3 3 2 2 3 2 4" xfId="7912" xr:uid="{B97F654E-F61D-4DFA-B44F-0AC5E66EA768}"/>
    <cellStyle name="Normal 3 3 2 2 3 3" xfId="2593" xr:uid="{00000000-0005-0000-0000-0000A6090000}"/>
    <cellStyle name="Normal 3 3 2 2 3 3 2" xfId="7915" xr:uid="{51D736F5-86D9-43F7-872B-024BE2239404}"/>
    <cellStyle name="Normal 3 3 2 2 3 4" xfId="2594" xr:uid="{00000000-0005-0000-0000-0000A7090000}"/>
    <cellStyle name="Normal 3 3 2 2 3 4 2" xfId="7916" xr:uid="{DEEA443A-D62D-43AE-B749-E0D6E105DF28}"/>
    <cellStyle name="Normal 3 3 2 2 3 5" xfId="7911" xr:uid="{43582309-45B6-4D1B-B65A-2C38433DA407}"/>
    <cellStyle name="Normal 3 3 2 2 4" xfId="2595" xr:uid="{00000000-0005-0000-0000-0000A8090000}"/>
    <cellStyle name="Normal 3 3 2 2 4 2" xfId="2596" xr:uid="{00000000-0005-0000-0000-0000A9090000}"/>
    <cellStyle name="Normal 3 3 2 2 4 2 2" xfId="2597" xr:uid="{00000000-0005-0000-0000-0000AA090000}"/>
    <cellStyle name="Normal 3 3 2 2 4 2 2 2" xfId="7919" xr:uid="{B0722FB6-6422-44AD-8CBD-A33F6D8222A5}"/>
    <cellStyle name="Normal 3 3 2 2 4 2 3" xfId="7918" xr:uid="{790DC09C-DEA6-4F8F-9498-47A0666C5171}"/>
    <cellStyle name="Normal 3 3 2 2 4 3" xfId="2598" xr:uid="{00000000-0005-0000-0000-0000AB090000}"/>
    <cellStyle name="Normal 3 3 2 2 4 3 2" xfId="7920" xr:uid="{370E62E1-B99A-4934-A43D-2DA0F7D72D04}"/>
    <cellStyle name="Normal 3 3 2 2 4 4" xfId="2599" xr:uid="{00000000-0005-0000-0000-0000AC090000}"/>
    <cellStyle name="Normal 3 3 2 2 4 4 2" xfId="7921" xr:uid="{03411F79-B458-46BA-806C-8316C276B476}"/>
    <cellStyle name="Normal 3 3 2 2 4 5" xfId="7917" xr:uid="{53233021-BC61-44E7-BC29-BAF70959D154}"/>
    <cellStyle name="Normal 3 3 2 2 5" xfId="2600" xr:uid="{00000000-0005-0000-0000-0000AD090000}"/>
    <cellStyle name="Normal 3 3 2 2 5 2" xfId="2601" xr:uid="{00000000-0005-0000-0000-0000AE090000}"/>
    <cellStyle name="Normal 3 3 2 2 5 2 2" xfId="7923" xr:uid="{ECF085C1-E205-492A-BDE5-02151DFEA1C3}"/>
    <cellStyle name="Normal 3 3 2 2 5 3" xfId="7922" xr:uid="{B26622D5-FB28-4C9C-86E8-CCA1E0B9B102}"/>
    <cellStyle name="Normal 3 3 2 2 6" xfId="2602" xr:uid="{00000000-0005-0000-0000-0000AF090000}"/>
    <cellStyle name="Normal 3 3 2 2 6 2" xfId="2603" xr:uid="{00000000-0005-0000-0000-0000B0090000}"/>
    <cellStyle name="Normal 3 3 2 2 6 2 2" xfId="7925" xr:uid="{9C57978C-2065-4271-B895-0DD20436ED65}"/>
    <cellStyle name="Normal 3 3 2 2 6 3" xfId="7924" xr:uid="{49E4459D-F82F-4071-9308-3F21E7E6C2DE}"/>
    <cellStyle name="Normal 3 3 2 2 7" xfId="2604" xr:uid="{00000000-0005-0000-0000-0000B1090000}"/>
    <cellStyle name="Normal 3 3 2 2 7 2" xfId="2605" xr:uid="{00000000-0005-0000-0000-0000B2090000}"/>
    <cellStyle name="Normal 3 3 2 2 7 2 2" xfId="7927" xr:uid="{AEC3AFF1-6208-4B80-88B7-190AD8C20284}"/>
    <cellStyle name="Normal 3 3 2 2 7 3" xfId="7926" xr:uid="{AC3D390E-2A8C-418D-8251-21E1B9B97E4A}"/>
    <cellStyle name="Normal 3 3 2 2 8" xfId="2606" xr:uid="{00000000-0005-0000-0000-0000B3090000}"/>
    <cellStyle name="Normal 3 3 2 2 8 2" xfId="7928" xr:uid="{56BFD548-F667-4216-A0E6-2B88F4A6C8DE}"/>
    <cellStyle name="Normal 3 3 2 2 9" xfId="2607" xr:uid="{00000000-0005-0000-0000-0000B4090000}"/>
    <cellStyle name="Normal 3 3 2 2 9 2" xfId="7929" xr:uid="{FE151487-010A-4F74-8E42-C7BBC1382A18}"/>
    <cellStyle name="Normal 3 3 2 3" xfId="121" xr:uid="{00000000-0005-0000-0000-0000B5090000}"/>
    <cellStyle name="Normal 3 3 2 3 2" xfId="2608" xr:uid="{00000000-0005-0000-0000-0000B6090000}"/>
    <cellStyle name="Normal 3 3 2 3 2 2" xfId="2609" xr:uid="{00000000-0005-0000-0000-0000B7090000}"/>
    <cellStyle name="Normal 3 3 2 3 2 2 2" xfId="2610" xr:uid="{00000000-0005-0000-0000-0000B8090000}"/>
    <cellStyle name="Normal 3 3 2 3 2 2 2 2" xfId="7932" xr:uid="{1A40ED81-9EAD-4F38-B81A-9D93C2C90189}"/>
    <cellStyle name="Normal 3 3 2 3 2 2 3" xfId="2611" xr:uid="{00000000-0005-0000-0000-0000B9090000}"/>
    <cellStyle name="Normal 3 3 2 3 2 2 3 2" xfId="7933" xr:uid="{550AA1CB-7D6F-417F-9878-DBAB776558DD}"/>
    <cellStyle name="Normal 3 3 2 3 2 2 4" xfId="7931" xr:uid="{02B28872-8E75-4DDD-89C1-1A7A58CE8B7D}"/>
    <cellStyle name="Normal 3 3 2 3 2 3" xfId="2612" xr:uid="{00000000-0005-0000-0000-0000BA090000}"/>
    <cellStyle name="Normal 3 3 2 3 2 3 2" xfId="7934" xr:uid="{DFCF6B8C-D0E8-4A82-8B96-BC713DA566E9}"/>
    <cellStyle name="Normal 3 3 2 3 2 4" xfId="2613" xr:uid="{00000000-0005-0000-0000-0000BB090000}"/>
    <cellStyle name="Normal 3 3 2 3 2 4 2" xfId="7935" xr:uid="{93D8A8FF-5F6B-4C86-BA7F-FADDD1BA9A65}"/>
    <cellStyle name="Normal 3 3 2 3 2 5" xfId="7930" xr:uid="{295AEFD7-A7A0-42F2-A54A-9E52AF4627F5}"/>
    <cellStyle name="Normal 3 3 2 3 3" xfId="2614" xr:uid="{00000000-0005-0000-0000-0000BC090000}"/>
    <cellStyle name="Normal 3 3 2 3 3 2" xfId="2615" xr:uid="{00000000-0005-0000-0000-0000BD090000}"/>
    <cellStyle name="Normal 3 3 2 3 3 2 2" xfId="2616" xr:uid="{00000000-0005-0000-0000-0000BE090000}"/>
    <cellStyle name="Normal 3 3 2 3 3 2 2 2" xfId="7938" xr:uid="{0847ECF9-C7AD-4120-9784-F18CCEC8F217}"/>
    <cellStyle name="Normal 3 3 2 3 3 2 3" xfId="7937" xr:uid="{38CA1F86-FF51-4388-BFA0-C67ED8301481}"/>
    <cellStyle name="Normal 3 3 2 3 3 3" xfId="2617" xr:uid="{00000000-0005-0000-0000-0000BF090000}"/>
    <cellStyle name="Normal 3 3 2 3 3 3 2" xfId="7939" xr:uid="{0A0B6C50-FA83-4C1A-8818-3F15B7DFFC81}"/>
    <cellStyle name="Normal 3 3 2 3 3 4" xfId="2618" xr:uid="{00000000-0005-0000-0000-0000C0090000}"/>
    <cellStyle name="Normal 3 3 2 3 3 4 2" xfId="7940" xr:uid="{7AC1FC20-DC80-4C05-B463-2F86CF5D301A}"/>
    <cellStyle name="Normal 3 3 2 3 3 5" xfId="7936" xr:uid="{3FA95CC2-26AA-4527-89A0-5FF36EA171C8}"/>
    <cellStyle name="Normal 3 3 2 3 4" xfId="2619" xr:uid="{00000000-0005-0000-0000-0000C1090000}"/>
    <cellStyle name="Normal 3 3 2 3 4 2" xfId="2620" xr:uid="{00000000-0005-0000-0000-0000C2090000}"/>
    <cellStyle name="Normal 3 3 2 3 4 2 2" xfId="7942" xr:uid="{B80B0964-643F-44F2-9DAE-7406BC4B686E}"/>
    <cellStyle name="Normal 3 3 2 3 4 3" xfId="7941" xr:uid="{27B61EB4-E492-4D8A-9D45-4DCBC008F265}"/>
    <cellStyle name="Normal 3 3 2 3 5" xfId="2621" xr:uid="{00000000-0005-0000-0000-0000C3090000}"/>
    <cellStyle name="Normal 3 3 2 3 5 2" xfId="2622" xr:uid="{00000000-0005-0000-0000-0000C4090000}"/>
    <cellStyle name="Normal 3 3 2 3 5 2 2" xfId="7944" xr:uid="{0275A5E5-1741-44E4-9004-38F83FDB1EEC}"/>
    <cellStyle name="Normal 3 3 2 3 5 3" xfId="7943" xr:uid="{A52C526D-4B04-4A6E-8F8C-7EAC812D6EEF}"/>
    <cellStyle name="Normal 3 3 2 3 6" xfId="2623" xr:uid="{00000000-0005-0000-0000-0000C5090000}"/>
    <cellStyle name="Normal 3 3 2 3 6 2" xfId="2624" xr:uid="{00000000-0005-0000-0000-0000C6090000}"/>
    <cellStyle name="Normal 3 3 2 3 6 2 2" xfId="7946" xr:uid="{EB418913-90DA-40D5-971A-19CA518C1614}"/>
    <cellStyle name="Normal 3 3 2 3 6 3" xfId="7945" xr:uid="{400593CB-8533-4FE1-A658-18777C4C1244}"/>
    <cellStyle name="Normal 3 3 2 3 7" xfId="2625" xr:uid="{00000000-0005-0000-0000-0000C7090000}"/>
    <cellStyle name="Normal 3 3 2 3 7 2" xfId="7947" xr:uid="{78CFF95A-10FA-4528-9F5C-A17062730EC7}"/>
    <cellStyle name="Normal 3 3 2 3 8" xfId="2626" xr:uid="{00000000-0005-0000-0000-0000C8090000}"/>
    <cellStyle name="Normal 3 3 2 3 8 2" xfId="7948" xr:uid="{8BD1C3A2-8660-4713-835F-75694D90D296}"/>
    <cellStyle name="Normal 3 3 2 3 9" xfId="5455" xr:uid="{6D3BCF86-CF0F-4BA3-8CDC-4AD7CB734395}"/>
    <cellStyle name="Normal 3 3 2 4" xfId="2627" xr:uid="{00000000-0005-0000-0000-0000C9090000}"/>
    <cellStyle name="Normal 3 3 2 4 2" xfId="2628" xr:uid="{00000000-0005-0000-0000-0000CA090000}"/>
    <cellStyle name="Normal 3 3 2 4 2 2" xfId="2629" xr:uid="{00000000-0005-0000-0000-0000CB090000}"/>
    <cellStyle name="Normal 3 3 2 4 2 2 2" xfId="7951" xr:uid="{8B988666-C979-474E-B260-8C5AA5C22F00}"/>
    <cellStyle name="Normal 3 3 2 4 2 3" xfId="2630" xr:uid="{00000000-0005-0000-0000-0000CC090000}"/>
    <cellStyle name="Normal 3 3 2 4 2 3 2" xfId="7952" xr:uid="{6D7E5685-0ADE-4C4E-8A2C-687FE2FADCD6}"/>
    <cellStyle name="Normal 3 3 2 4 2 4" xfId="7950" xr:uid="{8EF6D64B-EEF3-4B51-9DB9-1CAD84297BEA}"/>
    <cellStyle name="Normal 3 3 2 4 3" xfId="2631" xr:uid="{00000000-0005-0000-0000-0000CD090000}"/>
    <cellStyle name="Normal 3 3 2 4 3 2" xfId="7953" xr:uid="{425991DA-5C29-4F27-A20A-3AFBF33B94B6}"/>
    <cellStyle name="Normal 3 3 2 4 4" xfId="2632" xr:uid="{00000000-0005-0000-0000-0000CE090000}"/>
    <cellStyle name="Normal 3 3 2 4 4 2" xfId="7954" xr:uid="{C62623B3-DF19-40D0-9E42-EACB4E89FF5C}"/>
    <cellStyle name="Normal 3 3 2 4 5" xfId="7949" xr:uid="{2BB1FC40-51C0-41FB-88B0-9949F46B082B}"/>
    <cellStyle name="Normal 3 3 2 5" xfId="2633" xr:uid="{00000000-0005-0000-0000-0000CF090000}"/>
    <cellStyle name="Normal 3 3 2 5 2" xfId="2634" xr:uid="{00000000-0005-0000-0000-0000D0090000}"/>
    <cellStyle name="Normal 3 3 2 5 2 2" xfId="2635" xr:uid="{00000000-0005-0000-0000-0000D1090000}"/>
    <cellStyle name="Normal 3 3 2 5 2 2 2" xfId="7957" xr:uid="{9CA8A088-F12F-437D-8DFD-F25957440516}"/>
    <cellStyle name="Normal 3 3 2 5 2 3" xfId="7956" xr:uid="{D37118B9-35C4-4051-9C1E-18642195674F}"/>
    <cellStyle name="Normal 3 3 2 5 3" xfId="2636" xr:uid="{00000000-0005-0000-0000-0000D2090000}"/>
    <cellStyle name="Normal 3 3 2 5 3 2" xfId="7958" xr:uid="{07AF860F-C4DD-49CD-AC6D-02B1B0E69B00}"/>
    <cellStyle name="Normal 3 3 2 5 4" xfId="2637" xr:uid="{00000000-0005-0000-0000-0000D3090000}"/>
    <cellStyle name="Normal 3 3 2 5 4 2" xfId="7959" xr:uid="{F1C351BA-4CBF-484F-BAFC-EDF19E914EC7}"/>
    <cellStyle name="Normal 3 3 2 5 5" xfId="7955" xr:uid="{8999BB33-C5C7-45E9-A2AF-01932B1C64E6}"/>
    <cellStyle name="Normal 3 3 2 6" xfId="2638" xr:uid="{00000000-0005-0000-0000-0000D4090000}"/>
    <cellStyle name="Normal 3 3 2 6 2" xfId="2639" xr:uid="{00000000-0005-0000-0000-0000D5090000}"/>
    <cellStyle name="Normal 3 3 2 6 2 2" xfId="7961" xr:uid="{244A3670-47DC-4FF7-B1EC-BE90FC334268}"/>
    <cellStyle name="Normal 3 3 2 6 3" xfId="7960" xr:uid="{DB259875-C092-4CF8-8BEB-81E9277FD5C6}"/>
    <cellStyle name="Normal 3 3 2 7" xfId="2640" xr:uid="{00000000-0005-0000-0000-0000D6090000}"/>
    <cellStyle name="Normal 3 3 2 7 2" xfId="2641" xr:uid="{00000000-0005-0000-0000-0000D7090000}"/>
    <cellStyle name="Normal 3 3 2 7 2 2" xfId="7963" xr:uid="{FB98BD79-A9AD-4889-BF31-6869903A968E}"/>
    <cellStyle name="Normal 3 3 2 7 3" xfId="7962" xr:uid="{5A9F98FE-23C9-465C-B446-06706D82D5F3}"/>
    <cellStyle name="Normal 3 3 2 8" xfId="2642" xr:uid="{00000000-0005-0000-0000-0000D8090000}"/>
    <cellStyle name="Normal 3 3 2 8 2" xfId="2643" xr:uid="{00000000-0005-0000-0000-0000D9090000}"/>
    <cellStyle name="Normal 3 3 2 8 2 2" xfId="7965" xr:uid="{9F60A96A-141B-472B-9BC9-D91531708D2C}"/>
    <cellStyle name="Normal 3 3 2 8 3" xfId="7964" xr:uid="{C3BDA374-1BBC-45E4-BB70-F92E33A6EC63}"/>
    <cellStyle name="Normal 3 3 2 9" xfId="2644" xr:uid="{00000000-0005-0000-0000-0000DA090000}"/>
    <cellStyle name="Normal 3 3 2 9 2" xfId="7966" xr:uid="{A2D1D430-8F28-4BB0-BD1D-56E80E35FD58}"/>
    <cellStyle name="Normal 3 3 3" xfId="122" xr:uid="{00000000-0005-0000-0000-0000DB090000}"/>
    <cellStyle name="Normal 3 3 3 10" xfId="5456" xr:uid="{454C085D-FE2C-4F71-80EF-10B879BDD1BF}"/>
    <cellStyle name="Normal 3 3 3 2" xfId="123" xr:uid="{00000000-0005-0000-0000-0000DC090000}"/>
    <cellStyle name="Normal 3 3 3 2 2" xfId="2645" xr:uid="{00000000-0005-0000-0000-0000DD090000}"/>
    <cellStyle name="Normal 3 3 3 2 2 2" xfId="2646" xr:uid="{00000000-0005-0000-0000-0000DE090000}"/>
    <cellStyle name="Normal 3 3 3 2 2 2 2" xfId="2647" xr:uid="{00000000-0005-0000-0000-0000DF090000}"/>
    <cellStyle name="Normal 3 3 3 2 2 2 2 2" xfId="7969" xr:uid="{E22D2B63-D45F-4E73-A63D-18E55A09FD1B}"/>
    <cellStyle name="Normal 3 3 3 2 2 2 3" xfId="2648" xr:uid="{00000000-0005-0000-0000-0000E0090000}"/>
    <cellStyle name="Normal 3 3 3 2 2 2 3 2" xfId="7970" xr:uid="{40A477EE-D54C-4222-9741-FE40F410606E}"/>
    <cellStyle name="Normal 3 3 3 2 2 2 4" xfId="7968" xr:uid="{405E3760-E403-4EBF-9B38-9F51B15755D4}"/>
    <cellStyle name="Normal 3 3 3 2 2 3" xfId="2649" xr:uid="{00000000-0005-0000-0000-0000E1090000}"/>
    <cellStyle name="Normal 3 3 3 2 2 3 2" xfId="7971" xr:uid="{72606C00-A0FB-4AAF-A3E5-0309EFD34367}"/>
    <cellStyle name="Normal 3 3 3 2 2 4" xfId="2650" xr:uid="{00000000-0005-0000-0000-0000E2090000}"/>
    <cellStyle name="Normal 3 3 3 2 2 4 2" xfId="7972" xr:uid="{6D222FA4-1580-4F67-92DF-FF3B7B0BDD6F}"/>
    <cellStyle name="Normal 3 3 3 2 2 5" xfId="7967" xr:uid="{194EA532-63C0-4583-9F04-4A935DA25227}"/>
    <cellStyle name="Normal 3 3 3 2 3" xfId="2651" xr:uid="{00000000-0005-0000-0000-0000E3090000}"/>
    <cellStyle name="Normal 3 3 3 2 3 2" xfId="2652" xr:uid="{00000000-0005-0000-0000-0000E4090000}"/>
    <cellStyle name="Normal 3 3 3 2 3 2 2" xfId="2653" xr:uid="{00000000-0005-0000-0000-0000E5090000}"/>
    <cellStyle name="Normal 3 3 3 2 3 2 2 2" xfId="7975" xr:uid="{A9392903-D496-48E6-8EA4-5A3A3AC37077}"/>
    <cellStyle name="Normal 3 3 3 2 3 2 3" xfId="7974" xr:uid="{62197EE4-2D7D-402F-B73A-2C8270EA1370}"/>
    <cellStyle name="Normal 3 3 3 2 3 3" xfId="2654" xr:uid="{00000000-0005-0000-0000-0000E6090000}"/>
    <cellStyle name="Normal 3 3 3 2 3 3 2" xfId="7976" xr:uid="{E5B5A5F6-EC3D-48D1-941D-E293BF46181A}"/>
    <cellStyle name="Normal 3 3 3 2 3 4" xfId="2655" xr:uid="{00000000-0005-0000-0000-0000E7090000}"/>
    <cellStyle name="Normal 3 3 3 2 3 4 2" xfId="7977" xr:uid="{189795C5-9930-4E9B-8D5D-825307916723}"/>
    <cellStyle name="Normal 3 3 3 2 3 5" xfId="7973" xr:uid="{79CCAFE2-6A67-4B2C-BDEA-8CB3632FA0AD}"/>
    <cellStyle name="Normal 3 3 3 2 4" xfId="2656" xr:uid="{00000000-0005-0000-0000-0000E8090000}"/>
    <cellStyle name="Normal 3 3 3 2 4 2" xfId="2657" xr:uid="{00000000-0005-0000-0000-0000E9090000}"/>
    <cellStyle name="Normal 3 3 3 2 4 2 2" xfId="7979" xr:uid="{772CD030-B4F6-4726-B531-2C4B1298B440}"/>
    <cellStyle name="Normal 3 3 3 2 4 3" xfId="7978" xr:uid="{01D592BA-4590-499F-9D19-F34B7701E3F8}"/>
    <cellStyle name="Normal 3 3 3 2 5" xfId="2658" xr:uid="{00000000-0005-0000-0000-0000EA090000}"/>
    <cellStyle name="Normal 3 3 3 2 5 2" xfId="2659" xr:uid="{00000000-0005-0000-0000-0000EB090000}"/>
    <cellStyle name="Normal 3 3 3 2 5 2 2" xfId="7981" xr:uid="{AD2CD01A-B6F6-47F6-8BD7-BB308CE60986}"/>
    <cellStyle name="Normal 3 3 3 2 5 3" xfId="7980" xr:uid="{5823395D-541F-4B4D-93DA-8E2B9715B9BF}"/>
    <cellStyle name="Normal 3 3 3 2 6" xfId="2660" xr:uid="{00000000-0005-0000-0000-0000EC090000}"/>
    <cellStyle name="Normal 3 3 3 2 6 2" xfId="2661" xr:uid="{00000000-0005-0000-0000-0000ED090000}"/>
    <cellStyle name="Normal 3 3 3 2 6 2 2" xfId="7983" xr:uid="{85F470A3-0629-4214-AD01-ECB66714AE8E}"/>
    <cellStyle name="Normal 3 3 3 2 6 3" xfId="7982" xr:uid="{D4C23D91-AF6B-4BC2-B8E2-F7BDD35CC290}"/>
    <cellStyle name="Normal 3 3 3 2 7" xfId="2662" xr:uid="{00000000-0005-0000-0000-0000EE090000}"/>
    <cellStyle name="Normal 3 3 3 2 7 2" xfId="7984" xr:uid="{3E940613-2A02-47C2-905F-74B65210FB62}"/>
    <cellStyle name="Normal 3 3 3 2 8" xfId="2663" xr:uid="{00000000-0005-0000-0000-0000EF090000}"/>
    <cellStyle name="Normal 3 3 3 2 8 2" xfId="7985" xr:uid="{54898C55-9DB2-4A84-896D-282655594E44}"/>
    <cellStyle name="Normal 3 3 3 2 9" xfId="5457" xr:uid="{1CD027A9-2B40-4AA7-A2D7-3E41CBA41362}"/>
    <cellStyle name="Normal 3 3 3 3" xfId="2664" xr:uid="{00000000-0005-0000-0000-0000F0090000}"/>
    <cellStyle name="Normal 3 3 3 3 2" xfId="2665" xr:uid="{00000000-0005-0000-0000-0000F1090000}"/>
    <cellStyle name="Normal 3 3 3 3 2 2" xfId="2666" xr:uid="{00000000-0005-0000-0000-0000F2090000}"/>
    <cellStyle name="Normal 3 3 3 3 2 2 2" xfId="7988" xr:uid="{C25BF2AD-4F80-4643-BF4F-92BFFC54C092}"/>
    <cellStyle name="Normal 3 3 3 3 2 3" xfId="2667" xr:uid="{00000000-0005-0000-0000-0000F3090000}"/>
    <cellStyle name="Normal 3 3 3 3 2 3 2" xfId="7989" xr:uid="{0BD7531E-2EFE-41D5-A4D1-B16B5007533B}"/>
    <cellStyle name="Normal 3 3 3 3 2 4" xfId="7987" xr:uid="{AD0CA63A-5510-4B56-8EAC-D0C7BC68654B}"/>
    <cellStyle name="Normal 3 3 3 3 3" xfId="2668" xr:uid="{00000000-0005-0000-0000-0000F4090000}"/>
    <cellStyle name="Normal 3 3 3 3 3 2" xfId="7990" xr:uid="{3ED86AF2-DF6A-4D72-BE78-8882C98B23AD}"/>
    <cellStyle name="Normal 3 3 3 3 4" xfId="2669" xr:uid="{00000000-0005-0000-0000-0000F5090000}"/>
    <cellStyle name="Normal 3 3 3 3 4 2" xfId="7991" xr:uid="{03836B38-C034-4028-AA84-57297B9AA1B7}"/>
    <cellStyle name="Normal 3 3 3 3 5" xfId="7986" xr:uid="{BD212591-42A0-4E28-A684-3F952D97EAD8}"/>
    <cellStyle name="Normal 3 3 3 4" xfId="2670" xr:uid="{00000000-0005-0000-0000-0000F6090000}"/>
    <cellStyle name="Normal 3 3 3 4 2" xfId="2671" xr:uid="{00000000-0005-0000-0000-0000F7090000}"/>
    <cellStyle name="Normal 3 3 3 4 2 2" xfId="2672" xr:uid="{00000000-0005-0000-0000-0000F8090000}"/>
    <cellStyle name="Normal 3 3 3 4 2 2 2" xfId="7994" xr:uid="{34472AD7-7866-4470-B1C8-C05143AE5C5C}"/>
    <cellStyle name="Normal 3 3 3 4 2 3" xfId="7993" xr:uid="{DAA08EB4-BF20-405D-988C-642911A523A4}"/>
    <cellStyle name="Normal 3 3 3 4 3" xfId="2673" xr:uid="{00000000-0005-0000-0000-0000F9090000}"/>
    <cellStyle name="Normal 3 3 3 4 3 2" xfId="7995" xr:uid="{FF9148A8-48FA-4EA1-AC1E-92DF0ED4DDDA}"/>
    <cellStyle name="Normal 3 3 3 4 4" xfId="2674" xr:uid="{00000000-0005-0000-0000-0000FA090000}"/>
    <cellStyle name="Normal 3 3 3 4 4 2" xfId="7996" xr:uid="{C6DC9C9A-E38F-48DF-B702-6357B658C3A0}"/>
    <cellStyle name="Normal 3 3 3 4 5" xfId="7992" xr:uid="{AE834794-92A9-41DE-8CF7-61293B0B7B1F}"/>
    <cellStyle name="Normal 3 3 3 5" xfId="2675" xr:uid="{00000000-0005-0000-0000-0000FB090000}"/>
    <cellStyle name="Normal 3 3 3 5 2" xfId="2676" xr:uid="{00000000-0005-0000-0000-0000FC090000}"/>
    <cellStyle name="Normal 3 3 3 5 2 2" xfId="7998" xr:uid="{2DF14469-46C1-4343-993D-B0719D46D34A}"/>
    <cellStyle name="Normal 3 3 3 5 3" xfId="7997" xr:uid="{898D3477-C28E-4403-A469-12A3455DFA1C}"/>
    <cellStyle name="Normal 3 3 3 6" xfId="2677" xr:uid="{00000000-0005-0000-0000-0000FD090000}"/>
    <cellStyle name="Normal 3 3 3 6 2" xfId="2678" xr:uid="{00000000-0005-0000-0000-0000FE090000}"/>
    <cellStyle name="Normal 3 3 3 6 2 2" xfId="8000" xr:uid="{EE1F934C-EB4E-4DCE-9653-23A0BE229470}"/>
    <cellStyle name="Normal 3 3 3 6 3" xfId="7999" xr:uid="{240F1297-6D42-4897-BDF9-BAF1AF543E6A}"/>
    <cellStyle name="Normal 3 3 3 7" xfId="2679" xr:uid="{00000000-0005-0000-0000-0000FF090000}"/>
    <cellStyle name="Normal 3 3 3 7 2" xfId="2680" xr:uid="{00000000-0005-0000-0000-0000000A0000}"/>
    <cellStyle name="Normal 3 3 3 7 2 2" xfId="8002" xr:uid="{538BECEA-8002-4BB3-9ABE-80B62E6112A7}"/>
    <cellStyle name="Normal 3 3 3 7 3" xfId="8001" xr:uid="{28B18E91-0756-4ADE-9EB7-200F04ECDFC6}"/>
    <cellStyle name="Normal 3 3 3 8" xfId="2681" xr:uid="{00000000-0005-0000-0000-0000010A0000}"/>
    <cellStyle name="Normal 3 3 3 8 2" xfId="8003" xr:uid="{2916E646-F9E0-40F7-8DD3-AD96AB76D041}"/>
    <cellStyle name="Normal 3 3 3 9" xfId="2682" xr:uid="{00000000-0005-0000-0000-0000020A0000}"/>
    <cellStyle name="Normal 3 3 3 9 2" xfId="8004" xr:uid="{01A6D149-2C07-428C-9585-24A1EC13652F}"/>
    <cellStyle name="Normal 3 3 4" xfId="124" xr:uid="{00000000-0005-0000-0000-0000030A0000}"/>
    <cellStyle name="Normal 3 3 4 10" xfId="5458" xr:uid="{959F7938-FCDE-4362-9D8C-7A8946AF2448}"/>
    <cellStyle name="Normal 3 3 4 2" xfId="2683" xr:uid="{00000000-0005-0000-0000-0000040A0000}"/>
    <cellStyle name="Normal 3 3 4 2 2" xfId="2684" xr:uid="{00000000-0005-0000-0000-0000050A0000}"/>
    <cellStyle name="Normal 3 3 4 2 2 2" xfId="2685" xr:uid="{00000000-0005-0000-0000-0000060A0000}"/>
    <cellStyle name="Normal 3 3 4 2 2 2 2" xfId="2686" xr:uid="{00000000-0005-0000-0000-0000070A0000}"/>
    <cellStyle name="Normal 3 3 4 2 2 2 2 2" xfId="8008" xr:uid="{3A71C3B7-4B44-4B2E-8F18-A87DCD5E3C0C}"/>
    <cellStyle name="Normal 3 3 4 2 2 2 3" xfId="2687" xr:uid="{00000000-0005-0000-0000-0000080A0000}"/>
    <cellStyle name="Normal 3 3 4 2 2 2 3 2" xfId="8009" xr:uid="{7367FA72-D2FA-4C1B-9726-EC862EAEB076}"/>
    <cellStyle name="Normal 3 3 4 2 2 2 4" xfId="8007" xr:uid="{7261FAF5-BB40-41BA-A55A-122E21D4CA68}"/>
    <cellStyle name="Normal 3 3 4 2 2 3" xfId="2688" xr:uid="{00000000-0005-0000-0000-0000090A0000}"/>
    <cellStyle name="Normal 3 3 4 2 2 3 2" xfId="8010" xr:uid="{F246AC24-B09F-4905-80CB-1D2864FA9C66}"/>
    <cellStyle name="Normal 3 3 4 2 2 4" xfId="2689" xr:uid="{00000000-0005-0000-0000-00000A0A0000}"/>
    <cellStyle name="Normal 3 3 4 2 2 4 2" xfId="8011" xr:uid="{50788FB6-E644-4472-BB81-714429A9467F}"/>
    <cellStyle name="Normal 3 3 4 2 2 5" xfId="8006" xr:uid="{D5C88D1A-572B-44DB-B829-D07DBE1D95BF}"/>
    <cellStyle name="Normal 3 3 4 2 3" xfId="2690" xr:uid="{00000000-0005-0000-0000-00000B0A0000}"/>
    <cellStyle name="Normal 3 3 4 2 3 2" xfId="2691" xr:uid="{00000000-0005-0000-0000-00000C0A0000}"/>
    <cellStyle name="Normal 3 3 4 2 3 2 2" xfId="2692" xr:uid="{00000000-0005-0000-0000-00000D0A0000}"/>
    <cellStyle name="Normal 3 3 4 2 3 2 2 2" xfId="8014" xr:uid="{DED90B05-DD26-4644-9D16-7A24E8A4C5CD}"/>
    <cellStyle name="Normal 3 3 4 2 3 2 3" xfId="8013" xr:uid="{2C91B53A-83C2-4786-910F-2AEFBB18DBAA}"/>
    <cellStyle name="Normal 3 3 4 2 3 3" xfId="2693" xr:uid="{00000000-0005-0000-0000-00000E0A0000}"/>
    <cellStyle name="Normal 3 3 4 2 3 3 2" xfId="8015" xr:uid="{223EE573-AF56-4E4E-A1E6-12395A9622BD}"/>
    <cellStyle name="Normal 3 3 4 2 3 4" xfId="2694" xr:uid="{00000000-0005-0000-0000-00000F0A0000}"/>
    <cellStyle name="Normal 3 3 4 2 3 4 2" xfId="8016" xr:uid="{04DF56EE-761F-4C8B-893F-6F4133FA99F1}"/>
    <cellStyle name="Normal 3 3 4 2 3 5" xfId="8012" xr:uid="{FA09EDC4-1F55-4A89-B59F-9EBDC58828E3}"/>
    <cellStyle name="Normal 3 3 4 2 4" xfId="2695" xr:uid="{00000000-0005-0000-0000-0000100A0000}"/>
    <cellStyle name="Normal 3 3 4 2 4 2" xfId="2696" xr:uid="{00000000-0005-0000-0000-0000110A0000}"/>
    <cellStyle name="Normal 3 3 4 2 4 2 2" xfId="8018" xr:uid="{7C171517-F3DE-4A89-AB20-CA555322E02B}"/>
    <cellStyle name="Normal 3 3 4 2 4 3" xfId="8017" xr:uid="{B76293A0-700E-4970-A370-A60EE387ADD1}"/>
    <cellStyle name="Normal 3 3 4 2 5" xfId="2697" xr:uid="{00000000-0005-0000-0000-0000120A0000}"/>
    <cellStyle name="Normal 3 3 4 2 5 2" xfId="8019" xr:uid="{F88C7874-77FF-4F14-816E-8E01B47A1E51}"/>
    <cellStyle name="Normal 3 3 4 2 6" xfId="2698" xr:uid="{00000000-0005-0000-0000-0000130A0000}"/>
    <cellStyle name="Normal 3 3 4 2 6 2" xfId="8020" xr:uid="{D94F4722-4D98-41A8-ADF0-AB87CAE0518A}"/>
    <cellStyle name="Normal 3 3 4 2 7" xfId="8005" xr:uid="{1FB6A9CD-6448-4517-98B2-3BE0C5A13500}"/>
    <cellStyle name="Normal 3 3 4 3" xfId="2699" xr:uid="{00000000-0005-0000-0000-0000140A0000}"/>
    <cellStyle name="Normal 3 3 4 3 2" xfId="2700" xr:uid="{00000000-0005-0000-0000-0000150A0000}"/>
    <cellStyle name="Normal 3 3 4 3 2 2" xfId="2701" xr:uid="{00000000-0005-0000-0000-0000160A0000}"/>
    <cellStyle name="Normal 3 3 4 3 2 2 2" xfId="8023" xr:uid="{649A5E75-0F0C-4D6C-9AB3-28D3DA289C7E}"/>
    <cellStyle name="Normal 3 3 4 3 2 3" xfId="2702" xr:uid="{00000000-0005-0000-0000-0000170A0000}"/>
    <cellStyle name="Normal 3 3 4 3 2 3 2" xfId="8024" xr:uid="{0384A1EE-1E29-4070-AD56-4072843F6E42}"/>
    <cellStyle name="Normal 3 3 4 3 2 4" xfId="8022" xr:uid="{4CB75877-AF74-4533-A11C-A08EFB3839A5}"/>
    <cellStyle name="Normal 3 3 4 3 3" xfId="2703" xr:uid="{00000000-0005-0000-0000-0000180A0000}"/>
    <cellStyle name="Normal 3 3 4 3 3 2" xfId="8025" xr:uid="{D96AB5E7-47C9-4B0E-A247-7FA4E8572DD5}"/>
    <cellStyle name="Normal 3 3 4 3 4" xfId="2704" xr:uid="{00000000-0005-0000-0000-0000190A0000}"/>
    <cellStyle name="Normal 3 3 4 3 4 2" xfId="8026" xr:uid="{D154ADC5-9219-4CC5-B6A5-D0B075E21F6E}"/>
    <cellStyle name="Normal 3 3 4 3 5" xfId="8021" xr:uid="{CBDDC7F6-4FB2-40CB-A5E1-D061C7030AF5}"/>
    <cellStyle name="Normal 3 3 4 4" xfId="2705" xr:uid="{00000000-0005-0000-0000-00001A0A0000}"/>
    <cellStyle name="Normal 3 3 4 4 2" xfId="2706" xr:uid="{00000000-0005-0000-0000-00001B0A0000}"/>
    <cellStyle name="Normal 3 3 4 4 2 2" xfId="2707" xr:uid="{00000000-0005-0000-0000-00001C0A0000}"/>
    <cellStyle name="Normal 3 3 4 4 2 2 2" xfId="8029" xr:uid="{176C1C6E-6295-4212-9CE1-E3414F4FAEF6}"/>
    <cellStyle name="Normal 3 3 4 4 2 3" xfId="8028" xr:uid="{EA83C853-891D-44BA-9786-C8D3C5184C5A}"/>
    <cellStyle name="Normal 3 3 4 4 3" xfId="2708" xr:uid="{00000000-0005-0000-0000-00001D0A0000}"/>
    <cellStyle name="Normal 3 3 4 4 3 2" xfId="8030" xr:uid="{C8DFD6BC-B113-4B5F-A913-8832E30E393E}"/>
    <cellStyle name="Normal 3 3 4 4 4" xfId="2709" xr:uid="{00000000-0005-0000-0000-00001E0A0000}"/>
    <cellStyle name="Normal 3 3 4 4 4 2" xfId="8031" xr:uid="{0A2AEFF2-AEFE-4BEA-9589-2A7CFA83E3EB}"/>
    <cellStyle name="Normal 3 3 4 4 5" xfId="8027" xr:uid="{E52CF5DB-D262-4A28-ACD0-CEBED5FD030E}"/>
    <cellStyle name="Normal 3 3 4 5" xfId="2710" xr:uid="{00000000-0005-0000-0000-00001F0A0000}"/>
    <cellStyle name="Normal 3 3 4 5 2" xfId="2711" xr:uid="{00000000-0005-0000-0000-0000200A0000}"/>
    <cellStyle name="Normal 3 3 4 5 2 2" xfId="8033" xr:uid="{AE6FE420-FD29-467B-B987-6D55B12816B2}"/>
    <cellStyle name="Normal 3 3 4 5 3" xfId="8032" xr:uid="{EE40CB93-6FF9-4F13-80A2-0DB1688E4F53}"/>
    <cellStyle name="Normal 3 3 4 6" xfId="2712" xr:uid="{00000000-0005-0000-0000-0000210A0000}"/>
    <cellStyle name="Normal 3 3 4 6 2" xfId="2713" xr:uid="{00000000-0005-0000-0000-0000220A0000}"/>
    <cellStyle name="Normal 3 3 4 6 2 2" xfId="8035" xr:uid="{CE1F2A91-2ED2-4B63-82F6-EC3E94B2DD4A}"/>
    <cellStyle name="Normal 3 3 4 6 3" xfId="8034" xr:uid="{6A637EF3-1FB1-4003-A038-8956997DF33B}"/>
    <cellStyle name="Normal 3 3 4 7" xfId="2714" xr:uid="{00000000-0005-0000-0000-0000230A0000}"/>
    <cellStyle name="Normal 3 3 4 7 2" xfId="2715" xr:uid="{00000000-0005-0000-0000-0000240A0000}"/>
    <cellStyle name="Normal 3 3 4 7 2 2" xfId="8037" xr:uid="{CA23467E-809D-4365-A154-ACA9FE9014FB}"/>
    <cellStyle name="Normal 3 3 4 7 3" xfId="8036" xr:uid="{2DCECB3B-4BB5-4F28-9AAA-3F2AEA577440}"/>
    <cellStyle name="Normal 3 3 4 8" xfId="2716" xr:uid="{00000000-0005-0000-0000-0000250A0000}"/>
    <cellStyle name="Normal 3 3 4 8 2" xfId="8038" xr:uid="{51B7FAAF-3F29-4BB9-91E7-87995873F1CD}"/>
    <cellStyle name="Normal 3 3 4 9" xfId="2717" xr:uid="{00000000-0005-0000-0000-0000260A0000}"/>
    <cellStyle name="Normal 3 3 4 9 2" xfId="8039" xr:uid="{66FEFA32-B556-4F2B-AC0A-51398200BEA4}"/>
    <cellStyle name="Normal 3 3 5" xfId="2718" xr:uid="{00000000-0005-0000-0000-0000270A0000}"/>
    <cellStyle name="Normal 3 3 5 2" xfId="2719" xr:uid="{00000000-0005-0000-0000-0000280A0000}"/>
    <cellStyle name="Normal 3 3 5 2 2" xfId="2720" xr:uid="{00000000-0005-0000-0000-0000290A0000}"/>
    <cellStyle name="Normal 3 3 5 2 2 2" xfId="2721" xr:uid="{00000000-0005-0000-0000-00002A0A0000}"/>
    <cellStyle name="Normal 3 3 5 2 2 2 2" xfId="8043" xr:uid="{62FD4F4E-BFE8-45EF-85B6-E0AF3BC1468B}"/>
    <cellStyle name="Normal 3 3 5 2 2 3" xfId="2722" xr:uid="{00000000-0005-0000-0000-00002B0A0000}"/>
    <cellStyle name="Normal 3 3 5 2 2 3 2" xfId="8044" xr:uid="{89D8AAF4-B76E-4871-A802-7169DCD91353}"/>
    <cellStyle name="Normal 3 3 5 2 2 4" xfId="8042" xr:uid="{EFB7F06F-9839-4F01-AC0D-229AB74A4353}"/>
    <cellStyle name="Normal 3 3 5 2 3" xfId="2723" xr:uid="{00000000-0005-0000-0000-00002C0A0000}"/>
    <cellStyle name="Normal 3 3 5 2 3 2" xfId="8045" xr:uid="{B5D52614-8E60-46AC-AC60-F1D1045F7B9B}"/>
    <cellStyle name="Normal 3 3 5 2 4" xfId="2724" xr:uid="{00000000-0005-0000-0000-00002D0A0000}"/>
    <cellStyle name="Normal 3 3 5 2 4 2" xfId="8046" xr:uid="{5ED42E82-C8C3-423A-BC28-DF583FF3C335}"/>
    <cellStyle name="Normal 3 3 5 2 5" xfId="8041" xr:uid="{A2F12077-FC90-4E70-978D-77DF4A9AF2C1}"/>
    <cellStyle name="Normal 3 3 5 3" xfId="2725" xr:uid="{00000000-0005-0000-0000-00002E0A0000}"/>
    <cellStyle name="Normal 3 3 5 3 2" xfId="2726" xr:uid="{00000000-0005-0000-0000-00002F0A0000}"/>
    <cellStyle name="Normal 3 3 5 3 2 2" xfId="2727" xr:uid="{00000000-0005-0000-0000-0000300A0000}"/>
    <cellStyle name="Normal 3 3 5 3 2 2 2" xfId="8049" xr:uid="{D871CCBB-6F53-47DA-9B37-D9D70800814B}"/>
    <cellStyle name="Normal 3 3 5 3 2 3" xfId="8048" xr:uid="{05E402D3-BC3B-4AE6-B68F-A619B4740C20}"/>
    <cellStyle name="Normal 3 3 5 3 3" xfId="2728" xr:uid="{00000000-0005-0000-0000-0000310A0000}"/>
    <cellStyle name="Normal 3 3 5 3 3 2" xfId="8050" xr:uid="{76A0AD8F-E31B-429B-BF3C-A7EF7CBD83B7}"/>
    <cellStyle name="Normal 3 3 5 3 4" xfId="2729" xr:uid="{00000000-0005-0000-0000-0000320A0000}"/>
    <cellStyle name="Normal 3 3 5 3 4 2" xfId="8051" xr:uid="{A5C336F5-88B8-476C-A2E4-8CC1B16B1FA3}"/>
    <cellStyle name="Normal 3 3 5 3 5" xfId="8047" xr:uid="{CC2ACBEB-5EB6-4DC4-B046-C3D7717403A0}"/>
    <cellStyle name="Normal 3 3 5 4" xfId="2730" xr:uid="{00000000-0005-0000-0000-0000330A0000}"/>
    <cellStyle name="Normal 3 3 5 4 2" xfId="2731" xr:uid="{00000000-0005-0000-0000-0000340A0000}"/>
    <cellStyle name="Normal 3 3 5 4 2 2" xfId="8053" xr:uid="{3789653B-ED4A-4B96-98FE-0D16FB1EB72C}"/>
    <cellStyle name="Normal 3 3 5 4 3" xfId="8052" xr:uid="{0677754F-6810-40CC-8682-43C27758088E}"/>
    <cellStyle name="Normal 3 3 5 5" xfId="2732" xr:uid="{00000000-0005-0000-0000-0000350A0000}"/>
    <cellStyle name="Normal 3 3 5 5 2" xfId="8054" xr:uid="{EDBF5BDB-F093-4517-B192-48F0C0AF2339}"/>
    <cellStyle name="Normal 3 3 5 6" xfId="2733" xr:uid="{00000000-0005-0000-0000-0000360A0000}"/>
    <cellStyle name="Normal 3 3 5 6 2" xfId="8055" xr:uid="{B53D2CF5-C926-4B63-9176-FFF5EFA7417D}"/>
    <cellStyle name="Normal 3 3 5 7" xfId="8040" xr:uid="{14E47289-D8B5-416D-B31F-A4438B46C22F}"/>
    <cellStyle name="Normal 3 3 6" xfId="2734" xr:uid="{00000000-0005-0000-0000-0000370A0000}"/>
    <cellStyle name="Normal 3 3 6 2" xfId="2735" xr:uid="{00000000-0005-0000-0000-0000380A0000}"/>
    <cellStyle name="Normal 3 3 6 2 2" xfId="2736" xr:uid="{00000000-0005-0000-0000-0000390A0000}"/>
    <cellStyle name="Normal 3 3 6 2 2 2" xfId="8058" xr:uid="{6A0FD80B-0D5B-4B39-A393-2A17A9D0F57F}"/>
    <cellStyle name="Normal 3 3 6 2 3" xfId="2737" xr:uid="{00000000-0005-0000-0000-00003A0A0000}"/>
    <cellStyle name="Normal 3 3 6 2 3 2" xfId="8059" xr:uid="{305F8089-FF47-4FD9-B46B-BD5CEEE96518}"/>
    <cellStyle name="Normal 3 3 6 2 4" xfId="8057" xr:uid="{61A99B32-C797-49A2-9DEC-59EA731D7D81}"/>
    <cellStyle name="Normal 3 3 6 3" xfId="2738" xr:uid="{00000000-0005-0000-0000-00003B0A0000}"/>
    <cellStyle name="Normal 3 3 6 3 2" xfId="2739" xr:uid="{00000000-0005-0000-0000-00003C0A0000}"/>
    <cellStyle name="Normal 3 3 6 3 2 2" xfId="8061" xr:uid="{CD0EF0E8-B01A-464B-8A32-D8A20E5321D0}"/>
    <cellStyle name="Normal 3 3 6 3 3" xfId="8060" xr:uid="{42687432-EB28-47B1-B0BD-7A83DACA41E7}"/>
    <cellStyle name="Normal 3 3 6 4" xfId="2740" xr:uid="{00000000-0005-0000-0000-00003D0A0000}"/>
    <cellStyle name="Normal 3 3 6 4 2" xfId="8062" xr:uid="{08D78403-69AF-4203-AF4A-BD2A39C89ECE}"/>
    <cellStyle name="Normal 3 3 6 5" xfId="8056" xr:uid="{62C20122-D377-4B25-938B-C881C524225E}"/>
    <cellStyle name="Normal 3 3 7" xfId="2741" xr:uid="{00000000-0005-0000-0000-00003E0A0000}"/>
    <cellStyle name="Normal 3 3 7 2" xfId="2742" xr:uid="{00000000-0005-0000-0000-00003F0A0000}"/>
    <cellStyle name="Normal 3 3 7 2 2" xfId="2743" xr:uid="{00000000-0005-0000-0000-0000400A0000}"/>
    <cellStyle name="Normal 3 3 7 2 2 2" xfId="8065" xr:uid="{528A8297-D594-406F-8BFB-6F7AB20C662A}"/>
    <cellStyle name="Normal 3 3 7 2 3" xfId="8064" xr:uid="{FDA0B327-73F0-48B0-89FF-3983A9306BC2}"/>
    <cellStyle name="Normal 3 3 7 3" xfId="2744" xr:uid="{00000000-0005-0000-0000-0000410A0000}"/>
    <cellStyle name="Normal 3 3 7 3 2" xfId="8066" xr:uid="{3115FB65-5E0F-487D-89A6-70A3DDE29B74}"/>
    <cellStyle name="Normal 3 3 7 4" xfId="2745" xr:uid="{00000000-0005-0000-0000-0000420A0000}"/>
    <cellStyle name="Normal 3 3 7 4 2" xfId="8067" xr:uid="{0A89E783-4F73-44CE-8ADE-EC302C193E86}"/>
    <cellStyle name="Normal 3 3 7 5" xfId="8063" xr:uid="{2A39C8B0-4B61-42EA-8021-2A70FA9671B6}"/>
    <cellStyle name="Normal 3 3 8" xfId="2746" xr:uid="{00000000-0005-0000-0000-0000430A0000}"/>
    <cellStyle name="Normal 3 3 8 2" xfId="2747" xr:uid="{00000000-0005-0000-0000-0000440A0000}"/>
    <cellStyle name="Normal 3 3 8 2 2" xfId="8069" xr:uid="{3232DBF7-CE0D-4B04-A4CB-F569D8A8DE2B}"/>
    <cellStyle name="Normal 3 3 8 3" xfId="2748" xr:uid="{00000000-0005-0000-0000-0000450A0000}"/>
    <cellStyle name="Normal 3 3 8 3 2" xfId="8070" xr:uid="{646160D3-7746-4899-96DF-0C90F827BC0E}"/>
    <cellStyle name="Normal 3 3 8 4" xfId="8068" xr:uid="{9E4DE71F-55F3-4DC7-AFCC-052B169EF347}"/>
    <cellStyle name="Normal 3 3 9" xfId="2749" xr:uid="{00000000-0005-0000-0000-0000460A0000}"/>
    <cellStyle name="Normal 3 3 9 2" xfId="2750" xr:uid="{00000000-0005-0000-0000-0000470A0000}"/>
    <cellStyle name="Normal 3 3 9 2 2" xfId="8072" xr:uid="{8D8C831C-B8C0-49DA-99F6-BDF29AD8C5FA}"/>
    <cellStyle name="Normal 3 3 9 3" xfId="2751" xr:uid="{00000000-0005-0000-0000-0000480A0000}"/>
    <cellStyle name="Normal 3 3 9 3 2" xfId="8073" xr:uid="{65EBDF77-B34B-41DF-B061-B70499331F16}"/>
    <cellStyle name="Normal 3 3 9 4" xfId="8071" xr:uid="{99A10AB4-0C2C-4419-8905-BC6990C16B5E}"/>
    <cellStyle name="Normal 3 4" xfId="125" xr:uid="{00000000-0005-0000-0000-0000490A0000}"/>
    <cellStyle name="Normal 3 4 10" xfId="2752" xr:uid="{00000000-0005-0000-0000-00004A0A0000}"/>
    <cellStyle name="Normal 3 4 10 2" xfId="2753" xr:uid="{00000000-0005-0000-0000-00004B0A0000}"/>
    <cellStyle name="Normal 3 4 10 2 2" xfId="8075" xr:uid="{43869114-7B5A-4D00-9594-3BA618721C7A}"/>
    <cellStyle name="Normal 3 4 10 3" xfId="8074" xr:uid="{89ABB73C-86B8-4554-8608-5A88A94CBA1C}"/>
    <cellStyle name="Normal 3 4 11" xfId="2754" xr:uid="{00000000-0005-0000-0000-00004C0A0000}"/>
    <cellStyle name="Normal 3 4 11 2" xfId="8076" xr:uid="{17340A55-772F-426C-8BE5-2FA489D2D5F5}"/>
    <cellStyle name="Normal 3 4 12" xfId="2755" xr:uid="{00000000-0005-0000-0000-00004D0A0000}"/>
    <cellStyle name="Normal 3 4 12 2" xfId="8077" xr:uid="{1172FCBE-D2A0-451B-B16B-228AEF236F9B}"/>
    <cellStyle name="Normal 3 4 13" xfId="5347" xr:uid="{53ACE113-FBBF-4785-A5DE-742CD5D64932}"/>
    <cellStyle name="Normal 3 4 13 2" xfId="10666" xr:uid="{6A89AB15-9743-4431-B5C6-7CC71F734E3B}"/>
    <cellStyle name="Normal 3 4 14" xfId="5459" xr:uid="{6A4E5738-CBAC-4123-B2DC-AAF04E3A78DF}"/>
    <cellStyle name="Normal 3 4 2" xfId="126" xr:uid="{00000000-0005-0000-0000-00004E0A0000}"/>
    <cellStyle name="Normal 3 4 2 10" xfId="5460" xr:uid="{DBA34DE7-DB44-4D23-97FB-80A8B6B59D61}"/>
    <cellStyle name="Normal 3 4 2 2" xfId="127" xr:uid="{00000000-0005-0000-0000-00004F0A0000}"/>
    <cellStyle name="Normal 3 4 2 2 2" xfId="2756" xr:uid="{00000000-0005-0000-0000-0000500A0000}"/>
    <cellStyle name="Normal 3 4 2 2 2 2" xfId="2757" xr:uid="{00000000-0005-0000-0000-0000510A0000}"/>
    <cellStyle name="Normal 3 4 2 2 2 2 2" xfId="2758" xr:uid="{00000000-0005-0000-0000-0000520A0000}"/>
    <cellStyle name="Normal 3 4 2 2 2 2 2 2" xfId="8080" xr:uid="{F930C51A-DC8E-41C3-9139-004C18528818}"/>
    <cellStyle name="Normal 3 4 2 2 2 2 3" xfId="2759" xr:uid="{00000000-0005-0000-0000-0000530A0000}"/>
    <cellStyle name="Normal 3 4 2 2 2 2 3 2" xfId="8081" xr:uid="{34E7A281-C57B-492F-AA21-F480C1BBE131}"/>
    <cellStyle name="Normal 3 4 2 2 2 2 4" xfId="8079" xr:uid="{9F1D9BEB-B47E-4A65-8D50-DC67D63E7704}"/>
    <cellStyle name="Normal 3 4 2 2 2 3" xfId="2760" xr:uid="{00000000-0005-0000-0000-0000540A0000}"/>
    <cellStyle name="Normal 3 4 2 2 2 3 2" xfId="8082" xr:uid="{7D527679-A7C1-4605-A8CC-77D8C6C3B86C}"/>
    <cellStyle name="Normal 3 4 2 2 2 4" xfId="2761" xr:uid="{00000000-0005-0000-0000-0000550A0000}"/>
    <cellStyle name="Normal 3 4 2 2 2 4 2" xfId="8083" xr:uid="{81450599-E985-4F6E-905C-992A6CC4AD64}"/>
    <cellStyle name="Normal 3 4 2 2 2 5" xfId="8078" xr:uid="{D87B71FF-C38D-4ECD-9FBE-372335936CBF}"/>
    <cellStyle name="Normal 3 4 2 2 3" xfId="2762" xr:uid="{00000000-0005-0000-0000-0000560A0000}"/>
    <cellStyle name="Normal 3 4 2 2 3 2" xfId="2763" xr:uid="{00000000-0005-0000-0000-0000570A0000}"/>
    <cellStyle name="Normal 3 4 2 2 3 2 2" xfId="2764" xr:uid="{00000000-0005-0000-0000-0000580A0000}"/>
    <cellStyle name="Normal 3 4 2 2 3 2 2 2" xfId="8086" xr:uid="{452FF3AD-4D6A-4A53-86A6-B3D5711FE737}"/>
    <cellStyle name="Normal 3 4 2 2 3 2 3" xfId="8085" xr:uid="{D98BF61D-745D-43FA-BF25-B2030D773F14}"/>
    <cellStyle name="Normal 3 4 2 2 3 3" xfId="2765" xr:uid="{00000000-0005-0000-0000-0000590A0000}"/>
    <cellStyle name="Normal 3 4 2 2 3 3 2" xfId="8087" xr:uid="{D5FD8929-7B72-4A44-98AD-D4C184F10864}"/>
    <cellStyle name="Normal 3 4 2 2 3 4" xfId="2766" xr:uid="{00000000-0005-0000-0000-00005A0A0000}"/>
    <cellStyle name="Normal 3 4 2 2 3 4 2" xfId="8088" xr:uid="{5F8E2BEF-2055-42F3-8201-EF46A085BD38}"/>
    <cellStyle name="Normal 3 4 2 2 3 5" xfId="8084" xr:uid="{6D16E33D-A710-438F-BCE6-FFE6B90E6952}"/>
    <cellStyle name="Normal 3 4 2 2 4" xfId="2767" xr:uid="{00000000-0005-0000-0000-00005B0A0000}"/>
    <cellStyle name="Normal 3 4 2 2 4 2" xfId="2768" xr:uid="{00000000-0005-0000-0000-00005C0A0000}"/>
    <cellStyle name="Normal 3 4 2 2 4 2 2" xfId="8090" xr:uid="{53EE7350-28C5-4F87-BDA1-745D69C17D13}"/>
    <cellStyle name="Normal 3 4 2 2 4 3" xfId="8089" xr:uid="{C8809826-C6D5-4635-8E5B-DA158C83082A}"/>
    <cellStyle name="Normal 3 4 2 2 5" xfId="2769" xr:uid="{00000000-0005-0000-0000-00005D0A0000}"/>
    <cellStyle name="Normal 3 4 2 2 5 2" xfId="2770" xr:uid="{00000000-0005-0000-0000-00005E0A0000}"/>
    <cellStyle name="Normal 3 4 2 2 5 2 2" xfId="8092" xr:uid="{1B2D0283-CF54-471A-ADCA-1F9617141A27}"/>
    <cellStyle name="Normal 3 4 2 2 5 3" xfId="8091" xr:uid="{E932C187-D3AF-4290-9E7E-55AF15EBF27A}"/>
    <cellStyle name="Normal 3 4 2 2 6" xfId="2771" xr:uid="{00000000-0005-0000-0000-00005F0A0000}"/>
    <cellStyle name="Normal 3 4 2 2 6 2" xfId="2772" xr:uid="{00000000-0005-0000-0000-0000600A0000}"/>
    <cellStyle name="Normal 3 4 2 2 6 2 2" xfId="8094" xr:uid="{CD798138-8EAE-4026-98D3-3A5EBA37DC49}"/>
    <cellStyle name="Normal 3 4 2 2 6 3" xfId="8093" xr:uid="{3257DDE2-6EA7-40B5-A9A3-93609DCB5EC2}"/>
    <cellStyle name="Normal 3 4 2 2 7" xfId="2773" xr:uid="{00000000-0005-0000-0000-0000610A0000}"/>
    <cellStyle name="Normal 3 4 2 2 7 2" xfId="8095" xr:uid="{050913A1-3DE6-49C1-9B68-1FD066A1045D}"/>
    <cellStyle name="Normal 3 4 2 2 8" xfId="2774" xr:uid="{00000000-0005-0000-0000-0000620A0000}"/>
    <cellStyle name="Normal 3 4 2 2 8 2" xfId="8096" xr:uid="{BA2CA7B2-D227-4B05-A796-486F5F878D16}"/>
    <cellStyle name="Normal 3 4 2 2 9" xfId="5461" xr:uid="{DEDECC2C-0D22-4FA8-BE5C-517A1A9AAC03}"/>
    <cellStyle name="Normal 3 4 2 3" xfId="2775" xr:uid="{00000000-0005-0000-0000-0000630A0000}"/>
    <cellStyle name="Normal 3 4 2 3 2" xfId="2776" xr:uid="{00000000-0005-0000-0000-0000640A0000}"/>
    <cellStyle name="Normal 3 4 2 3 2 2" xfId="2777" xr:uid="{00000000-0005-0000-0000-0000650A0000}"/>
    <cellStyle name="Normal 3 4 2 3 2 2 2" xfId="8099" xr:uid="{D10D1E5A-4C1A-4A62-A79F-572E6F0FD917}"/>
    <cellStyle name="Normal 3 4 2 3 2 3" xfId="2778" xr:uid="{00000000-0005-0000-0000-0000660A0000}"/>
    <cellStyle name="Normal 3 4 2 3 2 3 2" xfId="8100" xr:uid="{067082DD-92E2-4EFC-9DD1-C49992E85711}"/>
    <cellStyle name="Normal 3 4 2 3 2 4" xfId="8098" xr:uid="{66A78EC4-8C09-4850-800D-9F8E695B3959}"/>
    <cellStyle name="Normal 3 4 2 3 3" xfId="2779" xr:uid="{00000000-0005-0000-0000-0000670A0000}"/>
    <cellStyle name="Normal 3 4 2 3 3 2" xfId="8101" xr:uid="{5ABD5F30-E334-4E10-9D2D-8D29B8F04A8D}"/>
    <cellStyle name="Normal 3 4 2 3 4" xfId="2780" xr:uid="{00000000-0005-0000-0000-0000680A0000}"/>
    <cellStyle name="Normal 3 4 2 3 4 2" xfId="8102" xr:uid="{E9627E44-48D1-424B-81EA-C8D9405042C3}"/>
    <cellStyle name="Normal 3 4 2 3 5" xfId="8097" xr:uid="{5DE202E1-6E9C-45C5-97DD-3D80C55B3B34}"/>
    <cellStyle name="Normal 3 4 2 4" xfId="2781" xr:uid="{00000000-0005-0000-0000-0000690A0000}"/>
    <cellStyle name="Normal 3 4 2 4 2" xfId="2782" xr:uid="{00000000-0005-0000-0000-00006A0A0000}"/>
    <cellStyle name="Normal 3 4 2 4 2 2" xfId="2783" xr:uid="{00000000-0005-0000-0000-00006B0A0000}"/>
    <cellStyle name="Normal 3 4 2 4 2 2 2" xfId="8105" xr:uid="{088C2335-CEB9-4C10-9CE3-D28E26578695}"/>
    <cellStyle name="Normal 3 4 2 4 2 3" xfId="8104" xr:uid="{E015B06F-73DA-4014-BB05-DC9C5F586F8E}"/>
    <cellStyle name="Normal 3 4 2 4 3" xfId="2784" xr:uid="{00000000-0005-0000-0000-00006C0A0000}"/>
    <cellStyle name="Normal 3 4 2 4 3 2" xfId="8106" xr:uid="{ED76CBF8-7EDC-4423-800D-5E9383F173A4}"/>
    <cellStyle name="Normal 3 4 2 4 4" xfId="2785" xr:uid="{00000000-0005-0000-0000-00006D0A0000}"/>
    <cellStyle name="Normal 3 4 2 4 4 2" xfId="8107" xr:uid="{D4EA7FA0-1EDD-425F-B7FC-5EF461DD283D}"/>
    <cellStyle name="Normal 3 4 2 4 5" xfId="8103" xr:uid="{708E44CE-809B-459B-AA5B-E3EDD98FD354}"/>
    <cellStyle name="Normal 3 4 2 5" xfId="2786" xr:uid="{00000000-0005-0000-0000-00006E0A0000}"/>
    <cellStyle name="Normal 3 4 2 5 2" xfId="2787" xr:uid="{00000000-0005-0000-0000-00006F0A0000}"/>
    <cellStyle name="Normal 3 4 2 5 2 2" xfId="8109" xr:uid="{EF80090A-B845-4971-A47B-D436283ACD19}"/>
    <cellStyle name="Normal 3 4 2 5 3" xfId="8108" xr:uid="{FF936689-EF09-4729-A3BA-CE7B567692D2}"/>
    <cellStyle name="Normal 3 4 2 6" xfId="2788" xr:uid="{00000000-0005-0000-0000-0000700A0000}"/>
    <cellStyle name="Normal 3 4 2 6 2" xfId="2789" xr:uid="{00000000-0005-0000-0000-0000710A0000}"/>
    <cellStyle name="Normal 3 4 2 6 2 2" xfId="8111" xr:uid="{6913CA1C-23F5-4ABF-B48E-A9619A90C049}"/>
    <cellStyle name="Normal 3 4 2 6 3" xfId="8110" xr:uid="{2879624B-D0C1-4D60-BFAE-4CCFF76AF4CF}"/>
    <cellStyle name="Normal 3 4 2 7" xfId="2790" xr:uid="{00000000-0005-0000-0000-0000720A0000}"/>
    <cellStyle name="Normal 3 4 2 7 2" xfId="2791" xr:uid="{00000000-0005-0000-0000-0000730A0000}"/>
    <cellStyle name="Normal 3 4 2 7 2 2" xfId="8113" xr:uid="{5368FBA8-8EDC-445F-BDEF-A76AAD928D39}"/>
    <cellStyle name="Normal 3 4 2 7 3" xfId="8112" xr:uid="{29F9C927-5DD5-4E4A-82FA-959D3F36C7B6}"/>
    <cellStyle name="Normal 3 4 2 8" xfId="2792" xr:uid="{00000000-0005-0000-0000-0000740A0000}"/>
    <cellStyle name="Normal 3 4 2 8 2" xfId="8114" xr:uid="{BDE608C4-C316-44C2-900D-24968C83DA25}"/>
    <cellStyle name="Normal 3 4 2 9" xfId="2793" xr:uid="{00000000-0005-0000-0000-0000750A0000}"/>
    <cellStyle name="Normal 3 4 2 9 2" xfId="8115" xr:uid="{DB3411BB-6C65-4CD7-A699-972418316143}"/>
    <cellStyle name="Normal 3 4 3" xfId="128" xr:uid="{00000000-0005-0000-0000-0000760A0000}"/>
    <cellStyle name="Normal 3 4 3 10" xfId="5462" xr:uid="{56A34CD9-35C0-4104-B1DF-988BF37381FC}"/>
    <cellStyle name="Normal 3 4 3 2" xfId="2794" xr:uid="{00000000-0005-0000-0000-0000770A0000}"/>
    <cellStyle name="Normal 3 4 3 2 2" xfId="2795" xr:uid="{00000000-0005-0000-0000-0000780A0000}"/>
    <cellStyle name="Normal 3 4 3 2 2 2" xfId="2796" xr:uid="{00000000-0005-0000-0000-0000790A0000}"/>
    <cellStyle name="Normal 3 4 3 2 2 2 2" xfId="2797" xr:uid="{00000000-0005-0000-0000-00007A0A0000}"/>
    <cellStyle name="Normal 3 4 3 2 2 2 2 2" xfId="8119" xr:uid="{D3C14E7F-5818-4A6E-A44B-16521925D793}"/>
    <cellStyle name="Normal 3 4 3 2 2 2 3" xfId="2798" xr:uid="{00000000-0005-0000-0000-00007B0A0000}"/>
    <cellStyle name="Normal 3 4 3 2 2 2 3 2" xfId="8120" xr:uid="{CE0896C4-FAA9-4D63-B829-789DDE2F3FEB}"/>
    <cellStyle name="Normal 3 4 3 2 2 2 4" xfId="8118" xr:uid="{1105026F-5A83-43CA-9560-A468934AFF85}"/>
    <cellStyle name="Normal 3 4 3 2 2 3" xfId="2799" xr:uid="{00000000-0005-0000-0000-00007C0A0000}"/>
    <cellStyle name="Normal 3 4 3 2 2 3 2" xfId="8121" xr:uid="{2C658D12-D007-4FDF-9B21-719BB8745793}"/>
    <cellStyle name="Normal 3 4 3 2 2 4" xfId="2800" xr:uid="{00000000-0005-0000-0000-00007D0A0000}"/>
    <cellStyle name="Normal 3 4 3 2 2 4 2" xfId="8122" xr:uid="{F23679EB-7BDC-44FA-9DAB-A7E939008A8F}"/>
    <cellStyle name="Normal 3 4 3 2 2 5" xfId="8117" xr:uid="{997DB0B7-D631-4EF0-B386-D95BB966F680}"/>
    <cellStyle name="Normal 3 4 3 2 3" xfId="2801" xr:uid="{00000000-0005-0000-0000-00007E0A0000}"/>
    <cellStyle name="Normal 3 4 3 2 3 2" xfId="2802" xr:uid="{00000000-0005-0000-0000-00007F0A0000}"/>
    <cellStyle name="Normal 3 4 3 2 3 2 2" xfId="2803" xr:uid="{00000000-0005-0000-0000-0000800A0000}"/>
    <cellStyle name="Normal 3 4 3 2 3 2 2 2" xfId="8125" xr:uid="{DB35E0D4-2A6F-4FC1-9348-AC17A83038CE}"/>
    <cellStyle name="Normal 3 4 3 2 3 2 3" xfId="8124" xr:uid="{5C82A107-011F-4E2F-8BF4-DD5C605D4BC9}"/>
    <cellStyle name="Normal 3 4 3 2 3 3" xfId="2804" xr:uid="{00000000-0005-0000-0000-0000810A0000}"/>
    <cellStyle name="Normal 3 4 3 2 3 3 2" xfId="8126" xr:uid="{D900D210-4FC9-44BA-AE59-89C2E57776F7}"/>
    <cellStyle name="Normal 3 4 3 2 3 4" xfId="2805" xr:uid="{00000000-0005-0000-0000-0000820A0000}"/>
    <cellStyle name="Normal 3 4 3 2 3 4 2" xfId="8127" xr:uid="{4FED2E15-40D6-49A8-8FEC-8B0BED116C56}"/>
    <cellStyle name="Normal 3 4 3 2 3 5" xfId="8123" xr:uid="{656054E2-9C47-4D40-95D4-ACB7A2B3D923}"/>
    <cellStyle name="Normal 3 4 3 2 4" xfId="2806" xr:uid="{00000000-0005-0000-0000-0000830A0000}"/>
    <cellStyle name="Normal 3 4 3 2 4 2" xfId="2807" xr:uid="{00000000-0005-0000-0000-0000840A0000}"/>
    <cellStyle name="Normal 3 4 3 2 4 2 2" xfId="8129" xr:uid="{4082DB1D-2991-4284-81C9-77F16FBEE114}"/>
    <cellStyle name="Normal 3 4 3 2 4 3" xfId="8128" xr:uid="{16092786-D61E-42D8-AC7D-F93A1A078BB5}"/>
    <cellStyle name="Normal 3 4 3 2 5" xfId="2808" xr:uid="{00000000-0005-0000-0000-0000850A0000}"/>
    <cellStyle name="Normal 3 4 3 2 5 2" xfId="8130" xr:uid="{949B8382-901E-4585-BF5E-E4ABE5719784}"/>
    <cellStyle name="Normal 3 4 3 2 6" xfId="2809" xr:uid="{00000000-0005-0000-0000-0000860A0000}"/>
    <cellStyle name="Normal 3 4 3 2 6 2" xfId="8131" xr:uid="{5C884E48-FA63-4DE9-9EDC-178A8B004EFC}"/>
    <cellStyle name="Normal 3 4 3 2 7" xfId="8116" xr:uid="{359DFDB1-2B58-4C82-A3A9-CF767EDB1C54}"/>
    <cellStyle name="Normal 3 4 3 3" xfId="2810" xr:uid="{00000000-0005-0000-0000-0000870A0000}"/>
    <cellStyle name="Normal 3 4 3 3 2" xfId="2811" xr:uid="{00000000-0005-0000-0000-0000880A0000}"/>
    <cellStyle name="Normal 3 4 3 3 2 2" xfId="2812" xr:uid="{00000000-0005-0000-0000-0000890A0000}"/>
    <cellStyle name="Normal 3 4 3 3 2 2 2" xfId="8134" xr:uid="{404C9636-A3BD-4B25-BFD0-DF84F49B53D6}"/>
    <cellStyle name="Normal 3 4 3 3 2 3" xfId="2813" xr:uid="{00000000-0005-0000-0000-00008A0A0000}"/>
    <cellStyle name="Normal 3 4 3 3 2 3 2" xfId="8135" xr:uid="{8ABDAEFB-D86C-4E01-B031-192B0B8F26E8}"/>
    <cellStyle name="Normal 3 4 3 3 2 4" xfId="8133" xr:uid="{D8B166F2-1AC5-4A0A-BBA7-A48A569A5E09}"/>
    <cellStyle name="Normal 3 4 3 3 3" xfId="2814" xr:uid="{00000000-0005-0000-0000-00008B0A0000}"/>
    <cellStyle name="Normal 3 4 3 3 3 2" xfId="8136" xr:uid="{E1C49A57-5DC0-4B70-A434-8AA41E90E4DF}"/>
    <cellStyle name="Normal 3 4 3 3 4" xfId="2815" xr:uid="{00000000-0005-0000-0000-00008C0A0000}"/>
    <cellStyle name="Normal 3 4 3 3 4 2" xfId="8137" xr:uid="{65224815-B2A7-480B-8133-6F6E76DC1747}"/>
    <cellStyle name="Normal 3 4 3 3 5" xfId="8132" xr:uid="{7BE60C49-0AEC-4342-A8AD-E9F4AEF7C5A3}"/>
    <cellStyle name="Normal 3 4 3 4" xfId="2816" xr:uid="{00000000-0005-0000-0000-00008D0A0000}"/>
    <cellStyle name="Normal 3 4 3 4 2" xfId="2817" xr:uid="{00000000-0005-0000-0000-00008E0A0000}"/>
    <cellStyle name="Normal 3 4 3 4 2 2" xfId="2818" xr:uid="{00000000-0005-0000-0000-00008F0A0000}"/>
    <cellStyle name="Normal 3 4 3 4 2 2 2" xfId="8140" xr:uid="{095B1229-4E5F-4514-A1C7-74EEE13712F4}"/>
    <cellStyle name="Normal 3 4 3 4 2 3" xfId="8139" xr:uid="{C21FD697-997E-4581-B1E6-39CDA811258D}"/>
    <cellStyle name="Normal 3 4 3 4 3" xfId="2819" xr:uid="{00000000-0005-0000-0000-0000900A0000}"/>
    <cellStyle name="Normal 3 4 3 4 3 2" xfId="8141" xr:uid="{B73661AC-B4C4-421B-893D-5335C636E3CF}"/>
    <cellStyle name="Normal 3 4 3 4 4" xfId="2820" xr:uid="{00000000-0005-0000-0000-0000910A0000}"/>
    <cellStyle name="Normal 3 4 3 4 4 2" xfId="8142" xr:uid="{B0E1E412-4FFF-426E-A9C6-ACE4138CE043}"/>
    <cellStyle name="Normal 3 4 3 4 5" xfId="8138" xr:uid="{C924E267-A4DA-4067-88E0-3190CB114139}"/>
    <cellStyle name="Normal 3 4 3 5" xfId="2821" xr:uid="{00000000-0005-0000-0000-0000920A0000}"/>
    <cellStyle name="Normal 3 4 3 5 2" xfId="2822" xr:uid="{00000000-0005-0000-0000-0000930A0000}"/>
    <cellStyle name="Normal 3 4 3 5 2 2" xfId="8144" xr:uid="{5CBB0E01-6A99-4ECB-9D70-F0CB37A1797C}"/>
    <cellStyle name="Normal 3 4 3 5 3" xfId="8143" xr:uid="{38F9AF2A-8DD7-4086-A444-1F3877F70448}"/>
    <cellStyle name="Normal 3 4 3 6" xfId="2823" xr:uid="{00000000-0005-0000-0000-0000940A0000}"/>
    <cellStyle name="Normal 3 4 3 6 2" xfId="2824" xr:uid="{00000000-0005-0000-0000-0000950A0000}"/>
    <cellStyle name="Normal 3 4 3 6 2 2" xfId="8146" xr:uid="{D77A7073-8550-4E53-9E77-5F230B63C3E5}"/>
    <cellStyle name="Normal 3 4 3 6 3" xfId="8145" xr:uid="{C5EE0CE9-CDE3-4BCF-B053-A29430D30E7D}"/>
    <cellStyle name="Normal 3 4 3 7" xfId="2825" xr:uid="{00000000-0005-0000-0000-0000960A0000}"/>
    <cellStyle name="Normal 3 4 3 7 2" xfId="2826" xr:uid="{00000000-0005-0000-0000-0000970A0000}"/>
    <cellStyle name="Normal 3 4 3 7 2 2" xfId="8148" xr:uid="{1A2C734D-7988-4580-976B-C76ADF4FC05C}"/>
    <cellStyle name="Normal 3 4 3 7 3" xfId="8147" xr:uid="{DD8B78FB-DFAD-48F0-82B2-817310D52E12}"/>
    <cellStyle name="Normal 3 4 3 8" xfId="2827" xr:uid="{00000000-0005-0000-0000-0000980A0000}"/>
    <cellStyle name="Normal 3 4 3 8 2" xfId="8149" xr:uid="{FB0531D9-7524-48AC-A100-E8CB481C7B5A}"/>
    <cellStyle name="Normal 3 4 3 9" xfId="2828" xr:uid="{00000000-0005-0000-0000-0000990A0000}"/>
    <cellStyle name="Normal 3 4 3 9 2" xfId="8150" xr:uid="{40E9596A-A24B-49C1-86D5-561284CCBCCF}"/>
    <cellStyle name="Normal 3 4 4" xfId="2829" xr:uid="{00000000-0005-0000-0000-00009A0A0000}"/>
    <cellStyle name="Normal 3 4 4 2" xfId="2830" xr:uid="{00000000-0005-0000-0000-00009B0A0000}"/>
    <cellStyle name="Normal 3 4 4 2 2" xfId="2831" xr:uid="{00000000-0005-0000-0000-00009C0A0000}"/>
    <cellStyle name="Normal 3 4 4 2 2 2" xfId="2832" xr:uid="{00000000-0005-0000-0000-00009D0A0000}"/>
    <cellStyle name="Normal 3 4 4 2 2 2 2" xfId="8154" xr:uid="{B976C183-4F9E-461A-9A5E-D6A53C66A91D}"/>
    <cellStyle name="Normal 3 4 4 2 2 3" xfId="2833" xr:uid="{00000000-0005-0000-0000-00009E0A0000}"/>
    <cellStyle name="Normal 3 4 4 2 2 3 2" xfId="8155" xr:uid="{CC51E95C-109D-4538-B94F-73E516D06508}"/>
    <cellStyle name="Normal 3 4 4 2 2 4" xfId="8153" xr:uid="{7B8FD6CD-107B-40E1-B95B-5A4C013DB93E}"/>
    <cellStyle name="Normal 3 4 4 2 3" xfId="2834" xr:uid="{00000000-0005-0000-0000-00009F0A0000}"/>
    <cellStyle name="Normal 3 4 4 2 3 2" xfId="8156" xr:uid="{81C6F21D-463A-41C9-A44B-6413E8A878C8}"/>
    <cellStyle name="Normal 3 4 4 2 4" xfId="2835" xr:uid="{00000000-0005-0000-0000-0000A00A0000}"/>
    <cellStyle name="Normal 3 4 4 2 4 2" xfId="8157" xr:uid="{E96D2A3A-39C3-4B3D-ACAB-8503B8D233E3}"/>
    <cellStyle name="Normal 3 4 4 2 5" xfId="8152" xr:uid="{9B4F502A-1165-4233-91B0-094164764EFA}"/>
    <cellStyle name="Normal 3 4 4 3" xfId="2836" xr:uid="{00000000-0005-0000-0000-0000A10A0000}"/>
    <cellStyle name="Normal 3 4 4 3 2" xfId="2837" xr:uid="{00000000-0005-0000-0000-0000A20A0000}"/>
    <cellStyle name="Normal 3 4 4 3 2 2" xfId="2838" xr:uid="{00000000-0005-0000-0000-0000A30A0000}"/>
    <cellStyle name="Normal 3 4 4 3 2 2 2" xfId="8160" xr:uid="{F2852CF1-0C08-4E36-9A26-7EA50B4711FF}"/>
    <cellStyle name="Normal 3 4 4 3 2 3" xfId="8159" xr:uid="{8A973067-7B1C-4326-97E8-B1699BD99309}"/>
    <cellStyle name="Normal 3 4 4 3 3" xfId="2839" xr:uid="{00000000-0005-0000-0000-0000A40A0000}"/>
    <cellStyle name="Normal 3 4 4 3 3 2" xfId="8161" xr:uid="{D013998A-6F00-48EF-8492-68D91C91F0F0}"/>
    <cellStyle name="Normal 3 4 4 3 4" xfId="2840" xr:uid="{00000000-0005-0000-0000-0000A50A0000}"/>
    <cellStyle name="Normal 3 4 4 3 4 2" xfId="8162" xr:uid="{5C1517C0-31A3-4B22-B9E6-529DD16357FF}"/>
    <cellStyle name="Normal 3 4 4 3 5" xfId="8158" xr:uid="{CEBE9C31-DFAD-48C5-A45E-1080DDB8CD41}"/>
    <cellStyle name="Normal 3 4 4 4" xfId="2841" xr:uid="{00000000-0005-0000-0000-0000A60A0000}"/>
    <cellStyle name="Normal 3 4 4 4 2" xfId="2842" xr:uid="{00000000-0005-0000-0000-0000A70A0000}"/>
    <cellStyle name="Normal 3 4 4 4 2 2" xfId="8164" xr:uid="{1BCFB60F-39AF-4BAD-B67E-55B95D4E6A28}"/>
    <cellStyle name="Normal 3 4 4 4 3" xfId="8163" xr:uid="{97D8FE2E-7A77-4A37-ADB1-E1C54FA7A209}"/>
    <cellStyle name="Normal 3 4 4 5" xfId="2843" xr:uid="{00000000-0005-0000-0000-0000A80A0000}"/>
    <cellStyle name="Normal 3 4 4 5 2" xfId="8165" xr:uid="{D8991A63-42AE-48B8-83E4-50C5B21283C7}"/>
    <cellStyle name="Normal 3 4 4 6" xfId="2844" xr:uid="{00000000-0005-0000-0000-0000A90A0000}"/>
    <cellStyle name="Normal 3 4 4 6 2" xfId="8166" xr:uid="{C65A76F5-F71C-4DD0-997E-E8611758E072}"/>
    <cellStyle name="Normal 3 4 4 7" xfId="8151" xr:uid="{F5EBCD6D-B35F-4E5D-99A4-A838A59452B6}"/>
    <cellStyle name="Normal 3 4 5" xfId="2845" xr:uid="{00000000-0005-0000-0000-0000AA0A0000}"/>
    <cellStyle name="Normal 3 4 5 2" xfId="2846" xr:uid="{00000000-0005-0000-0000-0000AB0A0000}"/>
    <cellStyle name="Normal 3 4 5 2 2" xfId="2847" xr:uid="{00000000-0005-0000-0000-0000AC0A0000}"/>
    <cellStyle name="Normal 3 4 5 2 2 2" xfId="8169" xr:uid="{29E54A80-03E2-4FD5-97B7-12D55FAA317B}"/>
    <cellStyle name="Normal 3 4 5 2 3" xfId="2848" xr:uid="{00000000-0005-0000-0000-0000AD0A0000}"/>
    <cellStyle name="Normal 3 4 5 2 3 2" xfId="8170" xr:uid="{A35405E6-A462-4C08-966A-DC9EB615F5B4}"/>
    <cellStyle name="Normal 3 4 5 2 4" xfId="8168" xr:uid="{64AA5F61-7DEF-4C44-9A65-F07D7DD3096D}"/>
    <cellStyle name="Normal 3 4 5 3" xfId="2849" xr:uid="{00000000-0005-0000-0000-0000AE0A0000}"/>
    <cellStyle name="Normal 3 4 5 3 2" xfId="2850" xr:uid="{00000000-0005-0000-0000-0000AF0A0000}"/>
    <cellStyle name="Normal 3 4 5 3 2 2" xfId="8172" xr:uid="{1CACDDE2-4BB6-445B-882E-2424364579C7}"/>
    <cellStyle name="Normal 3 4 5 3 3" xfId="8171" xr:uid="{F90A8AEA-4507-4082-A476-B6366C31A5EC}"/>
    <cellStyle name="Normal 3 4 5 4" xfId="2851" xr:uid="{00000000-0005-0000-0000-0000B00A0000}"/>
    <cellStyle name="Normal 3 4 5 4 2" xfId="8173" xr:uid="{6B8C4B16-8E1D-4B12-B639-7A44023D7912}"/>
    <cellStyle name="Normal 3 4 5 5" xfId="8167" xr:uid="{283D8328-BC09-42EE-9FC4-8ECDA8E6DE76}"/>
    <cellStyle name="Normal 3 4 6" xfId="2852" xr:uid="{00000000-0005-0000-0000-0000B10A0000}"/>
    <cellStyle name="Normal 3 4 6 2" xfId="2853" xr:uid="{00000000-0005-0000-0000-0000B20A0000}"/>
    <cellStyle name="Normal 3 4 6 2 2" xfId="2854" xr:uid="{00000000-0005-0000-0000-0000B30A0000}"/>
    <cellStyle name="Normal 3 4 6 2 2 2" xfId="8176" xr:uid="{162F6AAB-FADD-40E9-BBB7-267DBF0F4F50}"/>
    <cellStyle name="Normal 3 4 6 2 3" xfId="8175" xr:uid="{21F7FF7A-0625-4A0D-ACA4-BCFD1AB42168}"/>
    <cellStyle name="Normal 3 4 6 3" xfId="2855" xr:uid="{00000000-0005-0000-0000-0000B40A0000}"/>
    <cellStyle name="Normal 3 4 6 3 2" xfId="8177" xr:uid="{2F6916F1-07CF-420A-8E48-789E9C965BC0}"/>
    <cellStyle name="Normal 3 4 6 4" xfId="2856" xr:uid="{00000000-0005-0000-0000-0000B50A0000}"/>
    <cellStyle name="Normal 3 4 6 4 2" xfId="8178" xr:uid="{5E248AE6-0BEC-4CDB-A04A-494FB3C659E5}"/>
    <cellStyle name="Normal 3 4 6 5" xfId="8174" xr:uid="{B17A4CB3-2724-486E-B5E5-9DB758899169}"/>
    <cellStyle name="Normal 3 4 7" xfId="2857" xr:uid="{00000000-0005-0000-0000-0000B60A0000}"/>
    <cellStyle name="Normal 3 4 7 2" xfId="2858" xr:uid="{00000000-0005-0000-0000-0000B70A0000}"/>
    <cellStyle name="Normal 3 4 7 2 2" xfId="8180" xr:uid="{CBCF33F8-3263-4BEB-AF97-BC7B439CAF1B}"/>
    <cellStyle name="Normal 3 4 7 3" xfId="2859" xr:uid="{00000000-0005-0000-0000-0000B80A0000}"/>
    <cellStyle name="Normal 3 4 7 3 2" xfId="8181" xr:uid="{CEA1CAA3-D243-40F8-8E91-F4E2117E43B8}"/>
    <cellStyle name="Normal 3 4 7 4" xfId="8179" xr:uid="{F4A5EF14-C1EB-4986-9491-0D6275192716}"/>
    <cellStyle name="Normal 3 4 8" xfId="2860" xr:uid="{00000000-0005-0000-0000-0000B90A0000}"/>
    <cellStyle name="Normal 3 4 8 2" xfId="2861" xr:uid="{00000000-0005-0000-0000-0000BA0A0000}"/>
    <cellStyle name="Normal 3 4 8 2 2" xfId="8183" xr:uid="{B457D9BB-5A09-496F-8316-BFDCA5C2230C}"/>
    <cellStyle name="Normal 3 4 8 3" xfId="8182" xr:uid="{2A66205B-EB3C-4517-9E20-6933685531F2}"/>
    <cellStyle name="Normal 3 4 9" xfId="2862" xr:uid="{00000000-0005-0000-0000-0000BB0A0000}"/>
    <cellStyle name="Normal 3 4 9 2" xfId="2863" xr:uid="{00000000-0005-0000-0000-0000BC0A0000}"/>
    <cellStyle name="Normal 3 4 9 2 2" xfId="8185" xr:uid="{594121E1-2823-461C-B5DC-C9DD2237C7F6}"/>
    <cellStyle name="Normal 3 4 9 3" xfId="8184" xr:uid="{03F0D933-6867-46A3-8545-3A3C0D0D35AF}"/>
    <cellStyle name="Normal 3 5" xfId="129" xr:uid="{00000000-0005-0000-0000-0000BD0A0000}"/>
    <cellStyle name="Normal 3 5 10" xfId="2864" xr:uid="{00000000-0005-0000-0000-0000BE0A0000}"/>
    <cellStyle name="Normal 3 5 10 2" xfId="8186" xr:uid="{AE1EB771-1A93-4ED9-8F88-7116411BCEEA}"/>
    <cellStyle name="Normal 3 5 11" xfId="5463" xr:uid="{DC346CE5-7E89-4640-9A39-B30E01DA1C1D}"/>
    <cellStyle name="Normal 3 5 2" xfId="130" xr:uid="{00000000-0005-0000-0000-0000BF0A0000}"/>
    <cellStyle name="Normal 3 5 2 2" xfId="2865" xr:uid="{00000000-0005-0000-0000-0000C00A0000}"/>
    <cellStyle name="Normal 3 5 2 2 2" xfId="2866" xr:uid="{00000000-0005-0000-0000-0000C10A0000}"/>
    <cellStyle name="Normal 3 5 2 2 2 2" xfId="2867" xr:uid="{00000000-0005-0000-0000-0000C20A0000}"/>
    <cellStyle name="Normal 3 5 2 2 2 2 2" xfId="8189" xr:uid="{523FA22D-8965-4D6E-8C3A-7110EEAA966B}"/>
    <cellStyle name="Normal 3 5 2 2 2 3" xfId="2868" xr:uid="{00000000-0005-0000-0000-0000C30A0000}"/>
    <cellStyle name="Normal 3 5 2 2 2 3 2" xfId="8190" xr:uid="{3D99A0CC-AF56-437D-BC40-9DB9B28FD800}"/>
    <cellStyle name="Normal 3 5 2 2 2 4" xfId="8188" xr:uid="{C14A736F-7E7D-4BC6-B691-A5DF5683BD7C}"/>
    <cellStyle name="Normal 3 5 2 2 3" xfId="2869" xr:uid="{00000000-0005-0000-0000-0000C40A0000}"/>
    <cellStyle name="Normal 3 5 2 2 3 2" xfId="8191" xr:uid="{B401A52D-0410-4EE5-AC1B-33A0FDABA131}"/>
    <cellStyle name="Normal 3 5 2 2 4" xfId="2870" xr:uid="{00000000-0005-0000-0000-0000C50A0000}"/>
    <cellStyle name="Normal 3 5 2 2 4 2" xfId="8192" xr:uid="{DD342288-B771-44A4-A026-2743139507B7}"/>
    <cellStyle name="Normal 3 5 2 2 5" xfId="8187" xr:uid="{64814EDD-2F53-4070-BB38-F4F29B38FFC1}"/>
    <cellStyle name="Normal 3 5 2 3" xfId="2871" xr:uid="{00000000-0005-0000-0000-0000C60A0000}"/>
    <cellStyle name="Normal 3 5 2 3 2" xfId="2872" xr:uid="{00000000-0005-0000-0000-0000C70A0000}"/>
    <cellStyle name="Normal 3 5 2 3 2 2" xfId="2873" xr:uid="{00000000-0005-0000-0000-0000C80A0000}"/>
    <cellStyle name="Normal 3 5 2 3 2 2 2" xfId="8195" xr:uid="{49690B08-2200-4476-A4C3-8EED79BB9CF3}"/>
    <cellStyle name="Normal 3 5 2 3 2 3" xfId="8194" xr:uid="{9325FC77-2616-4835-AA3E-7CE623A0F310}"/>
    <cellStyle name="Normal 3 5 2 3 3" xfId="2874" xr:uid="{00000000-0005-0000-0000-0000C90A0000}"/>
    <cellStyle name="Normal 3 5 2 3 3 2" xfId="8196" xr:uid="{3344FEC6-1BF2-449E-842D-173356AC9BF4}"/>
    <cellStyle name="Normal 3 5 2 3 4" xfId="2875" xr:uid="{00000000-0005-0000-0000-0000CA0A0000}"/>
    <cellStyle name="Normal 3 5 2 3 4 2" xfId="8197" xr:uid="{45340476-2472-4772-B9E5-D044CF19193D}"/>
    <cellStyle name="Normal 3 5 2 3 5" xfId="8193" xr:uid="{6141D19F-C94B-4314-8EEF-D279A05B03BE}"/>
    <cellStyle name="Normal 3 5 2 4" xfId="2876" xr:uid="{00000000-0005-0000-0000-0000CB0A0000}"/>
    <cellStyle name="Normal 3 5 2 4 2" xfId="2877" xr:uid="{00000000-0005-0000-0000-0000CC0A0000}"/>
    <cellStyle name="Normal 3 5 2 4 2 2" xfId="8199" xr:uid="{05468B43-72DB-4E0F-B130-3BA898956B02}"/>
    <cellStyle name="Normal 3 5 2 4 3" xfId="8198" xr:uid="{7A6D7821-F023-44E3-8628-DA839962EB55}"/>
    <cellStyle name="Normal 3 5 2 5" xfId="2878" xr:uid="{00000000-0005-0000-0000-0000CD0A0000}"/>
    <cellStyle name="Normal 3 5 2 5 2" xfId="2879" xr:uid="{00000000-0005-0000-0000-0000CE0A0000}"/>
    <cellStyle name="Normal 3 5 2 5 2 2" xfId="8201" xr:uid="{1358B0D5-6F70-4757-A7F7-FA346C0EEF57}"/>
    <cellStyle name="Normal 3 5 2 5 3" xfId="8200" xr:uid="{381D8CAE-B808-434E-B8E1-0056AF4C4B22}"/>
    <cellStyle name="Normal 3 5 2 6" xfId="2880" xr:uid="{00000000-0005-0000-0000-0000CF0A0000}"/>
    <cellStyle name="Normal 3 5 2 6 2" xfId="2881" xr:uid="{00000000-0005-0000-0000-0000D00A0000}"/>
    <cellStyle name="Normal 3 5 2 6 2 2" xfId="8203" xr:uid="{28587A49-241B-4F7C-A415-89D74E1F574E}"/>
    <cellStyle name="Normal 3 5 2 6 3" xfId="8202" xr:uid="{F864F0BB-A590-4414-86A6-D0A1B792EB85}"/>
    <cellStyle name="Normal 3 5 2 7" xfId="2882" xr:uid="{00000000-0005-0000-0000-0000D10A0000}"/>
    <cellStyle name="Normal 3 5 2 7 2" xfId="8204" xr:uid="{747462D7-F829-458B-9FEC-ABFCD9DC2BB8}"/>
    <cellStyle name="Normal 3 5 2 8" xfId="2883" xr:uid="{00000000-0005-0000-0000-0000D20A0000}"/>
    <cellStyle name="Normal 3 5 2 8 2" xfId="8205" xr:uid="{923524A7-C51A-4CEC-BE00-6C792611544C}"/>
    <cellStyle name="Normal 3 5 2 9" xfId="5464" xr:uid="{976E8274-A0CA-46D1-B2C0-B5949091DE5D}"/>
    <cellStyle name="Normal 3 5 3" xfId="2884" xr:uid="{00000000-0005-0000-0000-0000D30A0000}"/>
    <cellStyle name="Normal 3 5 3 2" xfId="2885" xr:uid="{00000000-0005-0000-0000-0000D40A0000}"/>
    <cellStyle name="Normal 3 5 3 2 2" xfId="2886" xr:uid="{00000000-0005-0000-0000-0000D50A0000}"/>
    <cellStyle name="Normal 3 5 3 2 2 2" xfId="8208" xr:uid="{AD48D8DE-6AB0-4132-BC91-1B4F39C7D932}"/>
    <cellStyle name="Normal 3 5 3 2 3" xfId="2887" xr:uid="{00000000-0005-0000-0000-0000D60A0000}"/>
    <cellStyle name="Normal 3 5 3 2 3 2" xfId="8209" xr:uid="{04C8B25B-1FC7-4363-8CBD-CC819C777778}"/>
    <cellStyle name="Normal 3 5 3 2 4" xfId="8207" xr:uid="{1538D571-A97C-4BC2-B04B-6670BB9FD198}"/>
    <cellStyle name="Normal 3 5 3 3" xfId="2888" xr:uid="{00000000-0005-0000-0000-0000D70A0000}"/>
    <cellStyle name="Normal 3 5 3 3 2" xfId="8210" xr:uid="{756DCB1F-88B9-4AE1-84F4-6A898A67B2CC}"/>
    <cellStyle name="Normal 3 5 3 4" xfId="2889" xr:uid="{00000000-0005-0000-0000-0000D80A0000}"/>
    <cellStyle name="Normal 3 5 3 4 2" xfId="8211" xr:uid="{2301739F-72C2-4CB1-BC1A-2CD6998E67F4}"/>
    <cellStyle name="Normal 3 5 3 5" xfId="8206" xr:uid="{434F92BB-356B-41A2-B457-7B9117A744CC}"/>
    <cellStyle name="Normal 3 5 4" xfId="2890" xr:uid="{00000000-0005-0000-0000-0000D90A0000}"/>
    <cellStyle name="Normal 3 5 4 2" xfId="2891" xr:uid="{00000000-0005-0000-0000-0000DA0A0000}"/>
    <cellStyle name="Normal 3 5 4 2 2" xfId="2892" xr:uid="{00000000-0005-0000-0000-0000DB0A0000}"/>
    <cellStyle name="Normal 3 5 4 2 2 2" xfId="8214" xr:uid="{6488188D-91D0-418B-8976-D496A9BBE644}"/>
    <cellStyle name="Normal 3 5 4 2 3" xfId="8213" xr:uid="{5CCFA41F-74FC-47F2-9B11-F35C0941B882}"/>
    <cellStyle name="Normal 3 5 4 3" xfId="2893" xr:uid="{00000000-0005-0000-0000-0000DC0A0000}"/>
    <cellStyle name="Normal 3 5 4 3 2" xfId="8215" xr:uid="{FFF7C186-E22C-4885-AC95-2BEB326AD80D}"/>
    <cellStyle name="Normal 3 5 4 4" xfId="2894" xr:uid="{00000000-0005-0000-0000-0000DD0A0000}"/>
    <cellStyle name="Normal 3 5 4 4 2" xfId="8216" xr:uid="{4F73CD8B-695D-46E6-82D9-F965AAC97FD8}"/>
    <cellStyle name="Normal 3 5 4 5" xfId="8212" xr:uid="{94ABF6ED-E1C7-4574-8459-A06428D2948B}"/>
    <cellStyle name="Normal 3 5 5" xfId="2895" xr:uid="{00000000-0005-0000-0000-0000DE0A0000}"/>
    <cellStyle name="Normal 3 5 5 2" xfId="2896" xr:uid="{00000000-0005-0000-0000-0000DF0A0000}"/>
    <cellStyle name="Normal 3 5 5 2 2" xfId="8218" xr:uid="{C0E8A79E-FDDB-4ACE-A624-CDCCE983BB35}"/>
    <cellStyle name="Normal 3 5 5 3" xfId="2897" xr:uid="{00000000-0005-0000-0000-0000E00A0000}"/>
    <cellStyle name="Normal 3 5 5 3 2" xfId="8219" xr:uid="{1A1C2060-420D-4AB7-A71E-AD37B2659950}"/>
    <cellStyle name="Normal 3 5 5 4" xfId="8217" xr:uid="{82947426-A241-42F5-8978-6D9B57C51D30}"/>
    <cellStyle name="Normal 3 5 6" xfId="2898" xr:uid="{00000000-0005-0000-0000-0000E10A0000}"/>
    <cellStyle name="Normal 3 5 6 2" xfId="2899" xr:uid="{00000000-0005-0000-0000-0000E20A0000}"/>
    <cellStyle name="Normal 3 5 6 2 2" xfId="8221" xr:uid="{01BD3361-990C-4D5A-801F-A96FE0BE41FF}"/>
    <cellStyle name="Normal 3 5 6 3" xfId="8220" xr:uid="{D5F94F66-633B-474F-AB30-1E79CB493DC1}"/>
    <cellStyle name="Normal 3 5 7" xfId="2900" xr:uid="{00000000-0005-0000-0000-0000E30A0000}"/>
    <cellStyle name="Normal 3 5 7 2" xfId="2901" xr:uid="{00000000-0005-0000-0000-0000E40A0000}"/>
    <cellStyle name="Normal 3 5 7 2 2" xfId="8223" xr:uid="{8B1320D3-02A7-40B3-9D83-31613811FCC6}"/>
    <cellStyle name="Normal 3 5 7 3" xfId="8222" xr:uid="{E00FE200-5781-4BA1-8AB4-B7AE551C583E}"/>
    <cellStyle name="Normal 3 5 8" xfId="2902" xr:uid="{00000000-0005-0000-0000-0000E50A0000}"/>
    <cellStyle name="Normal 3 5 8 2" xfId="2903" xr:uid="{00000000-0005-0000-0000-0000E60A0000}"/>
    <cellStyle name="Normal 3 5 8 2 2" xfId="8225" xr:uid="{C2956E5E-633B-4EA6-8F8E-6E0D2E6DB6BF}"/>
    <cellStyle name="Normal 3 5 8 3" xfId="8224" xr:uid="{3A35698B-2E7F-49F5-BF5A-47BCCA84AC76}"/>
    <cellStyle name="Normal 3 5 9" xfId="2904" xr:uid="{00000000-0005-0000-0000-0000E70A0000}"/>
    <cellStyle name="Normal 3 5 9 2" xfId="8226" xr:uid="{03B36A60-6EAA-4A7A-A5F1-AF6B90808F3B}"/>
    <cellStyle name="Normal 3 6" xfId="131" xr:uid="{00000000-0005-0000-0000-0000E80A0000}"/>
    <cellStyle name="Normal 3 6 10" xfId="5465" xr:uid="{AAB1DB32-C9BB-4822-98FF-939CF13BFC1F}"/>
    <cellStyle name="Normal 3 6 2" xfId="2905" xr:uid="{00000000-0005-0000-0000-0000E90A0000}"/>
    <cellStyle name="Normal 3 6 2 2" xfId="2906" xr:uid="{00000000-0005-0000-0000-0000EA0A0000}"/>
    <cellStyle name="Normal 3 6 2 2 2" xfId="2907" xr:uid="{00000000-0005-0000-0000-0000EB0A0000}"/>
    <cellStyle name="Normal 3 6 2 2 2 2" xfId="2908" xr:uid="{00000000-0005-0000-0000-0000EC0A0000}"/>
    <cellStyle name="Normal 3 6 2 2 2 2 2" xfId="8230" xr:uid="{96A707D7-6E8A-4823-9E3F-5CB0DD9D67AA}"/>
    <cellStyle name="Normal 3 6 2 2 2 3" xfId="2909" xr:uid="{00000000-0005-0000-0000-0000ED0A0000}"/>
    <cellStyle name="Normal 3 6 2 2 2 3 2" xfId="8231" xr:uid="{62C13163-2D1A-44C9-9F14-2AFCFCA55E89}"/>
    <cellStyle name="Normal 3 6 2 2 2 4" xfId="8229" xr:uid="{7C8C9B48-2CBD-4FF2-87B6-33AD38B02669}"/>
    <cellStyle name="Normal 3 6 2 2 3" xfId="2910" xr:uid="{00000000-0005-0000-0000-0000EE0A0000}"/>
    <cellStyle name="Normal 3 6 2 2 3 2" xfId="8232" xr:uid="{4190A199-9170-4EE6-BF7B-D9EA1F7D39C2}"/>
    <cellStyle name="Normal 3 6 2 2 4" xfId="2911" xr:uid="{00000000-0005-0000-0000-0000EF0A0000}"/>
    <cellStyle name="Normal 3 6 2 2 4 2" xfId="8233" xr:uid="{BE29AAEE-5944-4CEB-A978-91F0419F5824}"/>
    <cellStyle name="Normal 3 6 2 2 5" xfId="8228" xr:uid="{BF2B49EA-BEAD-4261-B023-83A5D4150584}"/>
    <cellStyle name="Normal 3 6 2 3" xfId="2912" xr:uid="{00000000-0005-0000-0000-0000F00A0000}"/>
    <cellStyle name="Normal 3 6 2 3 2" xfId="2913" xr:uid="{00000000-0005-0000-0000-0000F10A0000}"/>
    <cellStyle name="Normal 3 6 2 3 2 2" xfId="2914" xr:uid="{00000000-0005-0000-0000-0000F20A0000}"/>
    <cellStyle name="Normal 3 6 2 3 2 2 2" xfId="8236" xr:uid="{9D9DD52E-FDCC-4B9D-89C8-A4A20BF413D1}"/>
    <cellStyle name="Normal 3 6 2 3 2 3" xfId="8235" xr:uid="{724B4AF6-D086-453F-B8C6-10EF77592539}"/>
    <cellStyle name="Normal 3 6 2 3 3" xfId="2915" xr:uid="{00000000-0005-0000-0000-0000F30A0000}"/>
    <cellStyle name="Normal 3 6 2 3 3 2" xfId="8237" xr:uid="{48220F1F-6633-42E6-952E-1DC2D417A9CB}"/>
    <cellStyle name="Normal 3 6 2 3 4" xfId="2916" xr:uid="{00000000-0005-0000-0000-0000F40A0000}"/>
    <cellStyle name="Normal 3 6 2 3 4 2" xfId="8238" xr:uid="{5D8923B5-4274-4486-BC7B-FC13A0E368E5}"/>
    <cellStyle name="Normal 3 6 2 3 5" xfId="8234" xr:uid="{D407160D-6205-43A2-A07A-BA65A5132834}"/>
    <cellStyle name="Normal 3 6 2 4" xfId="2917" xr:uid="{00000000-0005-0000-0000-0000F50A0000}"/>
    <cellStyle name="Normal 3 6 2 4 2" xfId="2918" xr:uid="{00000000-0005-0000-0000-0000F60A0000}"/>
    <cellStyle name="Normal 3 6 2 4 2 2" xfId="8240" xr:uid="{87395758-0119-4683-BA86-2C19EEA5ACAA}"/>
    <cellStyle name="Normal 3 6 2 4 3" xfId="8239" xr:uid="{2888A15A-1C10-40B6-AC65-79B9AE8BCB5E}"/>
    <cellStyle name="Normal 3 6 2 5" xfId="2919" xr:uid="{00000000-0005-0000-0000-0000F70A0000}"/>
    <cellStyle name="Normal 3 6 2 5 2" xfId="8241" xr:uid="{7E560BC0-6683-43F8-9046-03FAF8C91994}"/>
    <cellStyle name="Normal 3 6 2 6" xfId="2920" xr:uid="{00000000-0005-0000-0000-0000F80A0000}"/>
    <cellStyle name="Normal 3 6 2 6 2" xfId="8242" xr:uid="{78192226-601F-4357-9FDB-0EC1A6487F9E}"/>
    <cellStyle name="Normal 3 6 2 7" xfId="8227" xr:uid="{038B15B4-D547-4F12-84A1-E1C4A9BB4F35}"/>
    <cellStyle name="Normal 3 6 3" xfId="2921" xr:uid="{00000000-0005-0000-0000-0000F90A0000}"/>
    <cellStyle name="Normal 3 6 3 2" xfId="2922" xr:uid="{00000000-0005-0000-0000-0000FA0A0000}"/>
    <cellStyle name="Normal 3 6 3 2 2" xfId="2923" xr:uid="{00000000-0005-0000-0000-0000FB0A0000}"/>
    <cellStyle name="Normal 3 6 3 2 2 2" xfId="8245" xr:uid="{5DC480B0-8699-480B-9BD0-41A249FF15E9}"/>
    <cellStyle name="Normal 3 6 3 2 3" xfId="2924" xr:uid="{00000000-0005-0000-0000-0000FC0A0000}"/>
    <cellStyle name="Normal 3 6 3 2 3 2" xfId="8246" xr:uid="{7735EE91-F16A-4265-B958-8B2F90AE5148}"/>
    <cellStyle name="Normal 3 6 3 2 4" xfId="8244" xr:uid="{8B0E96F8-71DC-4C0C-99A4-99BFBC668B94}"/>
    <cellStyle name="Normal 3 6 3 3" xfId="2925" xr:uid="{00000000-0005-0000-0000-0000FD0A0000}"/>
    <cellStyle name="Normal 3 6 3 3 2" xfId="8247" xr:uid="{3A7C84BF-1E60-427F-9028-6BFC57B4005B}"/>
    <cellStyle name="Normal 3 6 3 4" xfId="2926" xr:uid="{00000000-0005-0000-0000-0000FE0A0000}"/>
    <cellStyle name="Normal 3 6 3 4 2" xfId="8248" xr:uid="{790564F4-C4F2-4F00-ABBD-5AD9FAFB2D01}"/>
    <cellStyle name="Normal 3 6 3 5" xfId="8243" xr:uid="{7AF5D2DD-E9CC-4CB7-954B-2B32FFFDD5BE}"/>
    <cellStyle name="Normal 3 6 4" xfId="2927" xr:uid="{00000000-0005-0000-0000-0000FF0A0000}"/>
    <cellStyle name="Normal 3 6 4 2" xfId="2928" xr:uid="{00000000-0005-0000-0000-0000000B0000}"/>
    <cellStyle name="Normal 3 6 4 2 2" xfId="2929" xr:uid="{00000000-0005-0000-0000-0000010B0000}"/>
    <cellStyle name="Normal 3 6 4 2 2 2" xfId="8251" xr:uid="{F0BF9EBC-C254-479D-9B5C-778239DB3315}"/>
    <cellStyle name="Normal 3 6 4 2 3" xfId="8250" xr:uid="{323D7A1A-7FF0-4E36-9A04-769CB01309B6}"/>
    <cellStyle name="Normal 3 6 4 3" xfId="2930" xr:uid="{00000000-0005-0000-0000-0000020B0000}"/>
    <cellStyle name="Normal 3 6 4 3 2" xfId="8252" xr:uid="{C6430EB3-96A3-461E-B644-CE37F2BA8521}"/>
    <cellStyle name="Normal 3 6 4 4" xfId="2931" xr:uid="{00000000-0005-0000-0000-0000030B0000}"/>
    <cellStyle name="Normal 3 6 4 4 2" xfId="8253" xr:uid="{2AA0B98E-AEB7-449E-B8FB-40557730DEAF}"/>
    <cellStyle name="Normal 3 6 4 5" xfId="8249" xr:uid="{8D7A989C-6F8E-4C6D-9D27-577EA03C28FA}"/>
    <cellStyle name="Normal 3 6 5" xfId="2932" xr:uid="{00000000-0005-0000-0000-0000040B0000}"/>
    <cellStyle name="Normal 3 6 5 2" xfId="2933" xr:uid="{00000000-0005-0000-0000-0000050B0000}"/>
    <cellStyle name="Normal 3 6 5 2 2" xfId="8255" xr:uid="{54698CE2-14C1-4BEA-95AB-F7178638774A}"/>
    <cellStyle name="Normal 3 6 5 3" xfId="2934" xr:uid="{00000000-0005-0000-0000-0000060B0000}"/>
    <cellStyle name="Normal 3 6 5 3 2" xfId="8256" xr:uid="{64909CE2-9D70-41B0-8C05-EB453CCC9CE3}"/>
    <cellStyle name="Normal 3 6 5 4" xfId="8254" xr:uid="{C26484A7-C20A-4D73-8F25-1D12BA12A1E1}"/>
    <cellStyle name="Normal 3 6 6" xfId="2935" xr:uid="{00000000-0005-0000-0000-0000070B0000}"/>
    <cellStyle name="Normal 3 6 6 2" xfId="2936" xr:uid="{00000000-0005-0000-0000-0000080B0000}"/>
    <cellStyle name="Normal 3 6 6 2 2" xfId="8258" xr:uid="{5E557D8D-24C3-44D7-A00F-B6EBB6253BF7}"/>
    <cellStyle name="Normal 3 6 6 3" xfId="8257" xr:uid="{F5D8E8E5-B632-4A1C-988A-C30EA1A8B81E}"/>
    <cellStyle name="Normal 3 6 7" xfId="2937" xr:uid="{00000000-0005-0000-0000-0000090B0000}"/>
    <cellStyle name="Normal 3 6 7 2" xfId="2938" xr:uid="{00000000-0005-0000-0000-00000A0B0000}"/>
    <cellStyle name="Normal 3 6 7 2 2" xfId="8260" xr:uid="{A3121A65-1512-4B09-A897-879474CE7DE9}"/>
    <cellStyle name="Normal 3 6 7 3" xfId="8259" xr:uid="{9149AE69-D716-4510-9ABE-FC0FA1C2F656}"/>
    <cellStyle name="Normal 3 6 8" xfId="2939" xr:uid="{00000000-0005-0000-0000-00000B0B0000}"/>
    <cellStyle name="Normal 3 6 8 2" xfId="8261" xr:uid="{0EAA190F-DD34-4A4E-A5D9-B8AFF62DB5E0}"/>
    <cellStyle name="Normal 3 6 9" xfId="2940" xr:uid="{00000000-0005-0000-0000-00000C0B0000}"/>
    <cellStyle name="Normal 3 6 9 2" xfId="8262" xr:uid="{F47581EB-D225-4F68-B39F-6B502A9B544E}"/>
    <cellStyle name="Normal 3 7" xfId="2941" xr:uid="{00000000-0005-0000-0000-00000D0B0000}"/>
    <cellStyle name="Normal 3 7 2" xfId="2942" xr:uid="{00000000-0005-0000-0000-00000E0B0000}"/>
    <cellStyle name="Normal 3 7 2 2" xfId="2943" xr:uid="{00000000-0005-0000-0000-00000F0B0000}"/>
    <cellStyle name="Normal 3 7 2 2 2" xfId="2944" xr:uid="{00000000-0005-0000-0000-0000100B0000}"/>
    <cellStyle name="Normal 3 7 2 2 2 2" xfId="8266" xr:uid="{9C65FFFE-3378-4C20-ABA9-9A26C67E1699}"/>
    <cellStyle name="Normal 3 7 2 2 3" xfId="2945" xr:uid="{00000000-0005-0000-0000-0000110B0000}"/>
    <cellStyle name="Normal 3 7 2 2 3 2" xfId="8267" xr:uid="{E208A2D3-1492-4F7A-BADD-768F9D03436E}"/>
    <cellStyle name="Normal 3 7 2 2 4" xfId="8265" xr:uid="{BC1B4104-065B-424E-9774-C61911925FB3}"/>
    <cellStyle name="Normal 3 7 2 3" xfId="2946" xr:uid="{00000000-0005-0000-0000-0000120B0000}"/>
    <cellStyle name="Normal 3 7 2 3 2" xfId="8268" xr:uid="{184B50EA-D291-4881-8925-CE7D57D19208}"/>
    <cellStyle name="Normal 3 7 2 4" xfId="2947" xr:uid="{00000000-0005-0000-0000-0000130B0000}"/>
    <cellStyle name="Normal 3 7 2 4 2" xfId="8269" xr:uid="{D65B143E-E763-4E3F-97B6-5E67C6F75351}"/>
    <cellStyle name="Normal 3 7 2 5" xfId="8264" xr:uid="{560F5706-35DF-4E32-926A-14CF268FCBBB}"/>
    <cellStyle name="Normal 3 7 3" xfId="2948" xr:uid="{00000000-0005-0000-0000-0000140B0000}"/>
    <cellStyle name="Normal 3 7 3 2" xfId="2949" xr:uid="{00000000-0005-0000-0000-0000150B0000}"/>
    <cellStyle name="Normal 3 7 3 2 2" xfId="2950" xr:uid="{00000000-0005-0000-0000-0000160B0000}"/>
    <cellStyle name="Normal 3 7 3 2 2 2" xfId="8272" xr:uid="{CBEC72F5-902A-4AA4-A385-CA854875FDCD}"/>
    <cellStyle name="Normal 3 7 3 2 3" xfId="8271" xr:uid="{1914D312-241A-457E-8D5A-73984379CF5C}"/>
    <cellStyle name="Normal 3 7 3 3" xfId="2951" xr:uid="{00000000-0005-0000-0000-0000170B0000}"/>
    <cellStyle name="Normal 3 7 3 3 2" xfId="8273" xr:uid="{05BBDDAD-3BFF-40A9-9AD3-C2BEF34C0F79}"/>
    <cellStyle name="Normal 3 7 3 4" xfId="2952" xr:uid="{00000000-0005-0000-0000-0000180B0000}"/>
    <cellStyle name="Normal 3 7 3 4 2" xfId="8274" xr:uid="{551009A0-EA23-4F51-A9CD-077795071474}"/>
    <cellStyle name="Normal 3 7 3 5" xfId="8270" xr:uid="{6183B833-748A-4DE4-9DF6-3AD79BA46F23}"/>
    <cellStyle name="Normal 3 7 4" xfId="2953" xr:uid="{00000000-0005-0000-0000-0000190B0000}"/>
    <cellStyle name="Normal 3 7 4 2" xfId="2954" xr:uid="{00000000-0005-0000-0000-00001A0B0000}"/>
    <cellStyle name="Normal 3 7 4 2 2" xfId="8276" xr:uid="{7E91DF37-F86C-4355-9707-075D5C438AD7}"/>
    <cellStyle name="Normal 3 7 4 3" xfId="2955" xr:uid="{00000000-0005-0000-0000-00001B0B0000}"/>
    <cellStyle name="Normal 3 7 4 3 2" xfId="8277" xr:uid="{AF9C741A-88DB-4A33-A81B-4DFB2B28F289}"/>
    <cellStyle name="Normal 3 7 4 4" xfId="8275" xr:uid="{85ED4C54-8083-4471-BF2C-FD3A2FB34A5B}"/>
    <cellStyle name="Normal 3 7 5" xfId="2956" xr:uid="{00000000-0005-0000-0000-00001C0B0000}"/>
    <cellStyle name="Normal 3 7 5 2" xfId="8278" xr:uid="{402DB1DE-C30F-45D3-AC83-FD418200F98A}"/>
    <cellStyle name="Normal 3 7 6" xfId="2957" xr:uid="{00000000-0005-0000-0000-00001D0B0000}"/>
    <cellStyle name="Normal 3 7 6 2" xfId="8279" xr:uid="{889EC690-14F1-4727-A48A-199420128D78}"/>
    <cellStyle name="Normal 3 7 7" xfId="8263" xr:uid="{C894F2F8-D4E1-40D1-AE6A-3031FDAA4F0E}"/>
    <cellStyle name="Normal 3 8" xfId="2958" xr:uid="{00000000-0005-0000-0000-00001E0B0000}"/>
    <cellStyle name="Normal 3 8 2" xfId="2959" xr:uid="{00000000-0005-0000-0000-00001F0B0000}"/>
    <cellStyle name="Normal 3 8 2 2" xfId="2960" xr:uid="{00000000-0005-0000-0000-0000200B0000}"/>
    <cellStyle name="Normal 3 8 2 2 2" xfId="8282" xr:uid="{0A29A9DB-E413-48D7-B26C-FBCB762C358A}"/>
    <cellStyle name="Normal 3 8 2 3" xfId="2961" xr:uid="{00000000-0005-0000-0000-0000210B0000}"/>
    <cellStyle name="Normal 3 8 2 3 2" xfId="8283" xr:uid="{31DFB213-B697-436F-A39A-72AFA78C8F6E}"/>
    <cellStyle name="Normal 3 8 2 4" xfId="8281" xr:uid="{E355E5A7-7B4D-4982-9A2C-76452F7F81CC}"/>
    <cellStyle name="Normal 3 8 3" xfId="2962" xr:uid="{00000000-0005-0000-0000-0000220B0000}"/>
    <cellStyle name="Normal 3 8 3 2" xfId="2963" xr:uid="{00000000-0005-0000-0000-0000230B0000}"/>
    <cellStyle name="Normal 3 8 3 2 2" xfId="8285" xr:uid="{2F3D15D6-B294-4DC1-B26D-169C53C6697D}"/>
    <cellStyle name="Normal 3 8 3 3" xfId="8284" xr:uid="{250A55AD-3256-4197-B16E-5DF2A9B56E6E}"/>
    <cellStyle name="Normal 3 8 4" xfId="2964" xr:uid="{00000000-0005-0000-0000-0000240B0000}"/>
    <cellStyle name="Normal 3 8 4 2" xfId="8286" xr:uid="{B9EC9220-C376-44CF-9085-7BC26A8D74CE}"/>
    <cellStyle name="Normal 3 8 5" xfId="8280" xr:uid="{F5633267-5653-4DCE-992E-27BB3A626A65}"/>
    <cellStyle name="Normal 3 9" xfId="2965" xr:uid="{00000000-0005-0000-0000-0000250B0000}"/>
    <cellStyle name="Normal 3 9 2" xfId="2966" xr:uid="{00000000-0005-0000-0000-0000260B0000}"/>
    <cellStyle name="Normal 3 9 2 2" xfId="2967" xr:uid="{00000000-0005-0000-0000-0000270B0000}"/>
    <cellStyle name="Normal 3 9 2 2 2" xfId="8289" xr:uid="{A6625449-B3A1-4C28-9B49-14C84D27D72B}"/>
    <cellStyle name="Normal 3 9 2 3" xfId="8288" xr:uid="{11DE149D-A1C8-459B-8E8E-D548B764CD7E}"/>
    <cellStyle name="Normal 3 9 3" xfId="2968" xr:uid="{00000000-0005-0000-0000-0000280B0000}"/>
    <cellStyle name="Normal 3 9 3 2" xfId="8290" xr:uid="{C0330020-3AFE-4EC2-B04B-195B1BBC4E93}"/>
    <cellStyle name="Normal 3 9 4" xfId="2969" xr:uid="{00000000-0005-0000-0000-0000290B0000}"/>
    <cellStyle name="Normal 3 9 4 2" xfId="8291" xr:uid="{4B7E299E-5945-42F3-BDDA-2828A688698F}"/>
    <cellStyle name="Normal 3 9 5" xfId="8287" xr:uid="{77306139-26E5-462E-AB3E-B5C41F15ED47}"/>
    <cellStyle name="Normal 4" xfId="16" xr:uid="{00000000-0005-0000-0000-00002A0B0000}"/>
    <cellStyle name="Normal 4 10" xfId="2970" xr:uid="{00000000-0005-0000-0000-00002B0B0000}"/>
    <cellStyle name="Normal 4 10 2" xfId="2971" xr:uid="{00000000-0005-0000-0000-00002C0B0000}"/>
    <cellStyle name="Normal 4 10 2 2" xfId="8293" xr:uid="{13A6474C-65AA-40EE-B948-B09BFDF4F170}"/>
    <cellStyle name="Normal 4 10 3" xfId="2972" xr:uid="{00000000-0005-0000-0000-00002D0B0000}"/>
    <cellStyle name="Normal 4 10 3 2" xfId="8294" xr:uid="{F97CE770-DECA-4B59-8DDA-18B4CF9BEBAC}"/>
    <cellStyle name="Normal 4 10 4" xfId="8292" xr:uid="{472EA7BE-B033-4D1E-86CF-6A68A9A95019}"/>
    <cellStyle name="Normal 4 11" xfId="2973" xr:uid="{00000000-0005-0000-0000-00002E0B0000}"/>
    <cellStyle name="Normal 4 11 2" xfId="2974" xr:uid="{00000000-0005-0000-0000-00002F0B0000}"/>
    <cellStyle name="Normal 4 11 2 2" xfId="8296" xr:uid="{ED8B95E1-5747-4A59-97EA-5CFD2E9971A5}"/>
    <cellStyle name="Normal 4 11 3" xfId="2975" xr:uid="{00000000-0005-0000-0000-0000300B0000}"/>
    <cellStyle name="Normal 4 11 3 2" xfId="8297" xr:uid="{F6F4E9DB-0E84-4B39-B7E8-E70AF962C67E}"/>
    <cellStyle name="Normal 4 11 4" xfId="8295" xr:uid="{66EBA90C-9621-4998-A35E-640736D74C9A}"/>
    <cellStyle name="Normal 4 12" xfId="2976" xr:uid="{00000000-0005-0000-0000-0000310B0000}"/>
    <cellStyle name="Normal 4 12 2" xfId="2977" xr:uid="{00000000-0005-0000-0000-0000320B0000}"/>
    <cellStyle name="Normal 4 12 2 2" xfId="8299" xr:uid="{3CC31E55-93F7-420B-9380-691B29E03596}"/>
    <cellStyle name="Normal 4 12 3" xfId="8298" xr:uid="{EE9D89CC-A176-47D6-99D4-2AA6914E329B}"/>
    <cellStyle name="Normal 4 13" xfId="2978" xr:uid="{00000000-0005-0000-0000-0000330B0000}"/>
    <cellStyle name="Normal 4 13 2" xfId="2979" xr:uid="{00000000-0005-0000-0000-0000340B0000}"/>
    <cellStyle name="Normal 4 13 2 2" xfId="8301" xr:uid="{E6971660-F61D-47DD-9E78-45A628FC52D5}"/>
    <cellStyle name="Normal 4 13 3" xfId="8300" xr:uid="{4A75B0E0-0035-40C0-88CA-CA03A3381F1E}"/>
    <cellStyle name="Normal 4 14" xfId="2980" xr:uid="{00000000-0005-0000-0000-0000350B0000}"/>
    <cellStyle name="Normal 4 14 2" xfId="8302" xr:uid="{F1423E1F-E9B6-4BA1-837F-8A94827C0B5B}"/>
    <cellStyle name="Normal 4 15" xfId="2981" xr:uid="{00000000-0005-0000-0000-0000360B0000}"/>
    <cellStyle name="Normal 4 15 2" xfId="8303" xr:uid="{56D911FB-636B-4D37-849E-B54C1FA38382}"/>
    <cellStyle name="Normal 4 16" xfId="5341" xr:uid="{55513488-9411-4846-9174-196C7930C50E}"/>
    <cellStyle name="Normal 4 16 2" xfId="10660" xr:uid="{1B517E1A-1861-49A6-9EDB-59925C1FD649}"/>
    <cellStyle name="Normal 4 17" xfId="5352" xr:uid="{651899B7-09F6-480A-A962-AC1744EB37EA}"/>
    <cellStyle name="Normal 4 2" xfId="132" xr:uid="{00000000-0005-0000-0000-0000370B0000}"/>
    <cellStyle name="Normal 4 2 10" xfId="2982" xr:uid="{00000000-0005-0000-0000-0000380B0000}"/>
    <cellStyle name="Normal 4 2 10 2" xfId="2983" xr:uid="{00000000-0005-0000-0000-0000390B0000}"/>
    <cellStyle name="Normal 4 2 10 2 2" xfId="8305" xr:uid="{6E6AA45C-2F34-42CA-8525-EE01127AC1D3}"/>
    <cellStyle name="Normal 4 2 10 3" xfId="8304" xr:uid="{D2A5EC91-AFB5-4FC3-A59D-6142E3522A95}"/>
    <cellStyle name="Normal 4 2 11" xfId="2984" xr:uid="{00000000-0005-0000-0000-00003A0B0000}"/>
    <cellStyle name="Normal 4 2 11 2" xfId="2985" xr:uid="{00000000-0005-0000-0000-00003B0B0000}"/>
    <cellStyle name="Normal 4 2 11 2 2" xfId="8307" xr:uid="{A9C4A5D1-9025-4C49-B255-D6AA9DC854FC}"/>
    <cellStyle name="Normal 4 2 11 3" xfId="8306" xr:uid="{0EFEC76B-F4C8-474A-8F78-F2E08A4C5577}"/>
    <cellStyle name="Normal 4 2 12" xfId="2986" xr:uid="{00000000-0005-0000-0000-00003C0B0000}"/>
    <cellStyle name="Normal 4 2 12 2" xfId="2987" xr:uid="{00000000-0005-0000-0000-00003D0B0000}"/>
    <cellStyle name="Normal 4 2 12 2 2" xfId="8309" xr:uid="{7129261F-C608-4489-AF7A-A3CCAFF5591A}"/>
    <cellStyle name="Normal 4 2 12 3" xfId="8308" xr:uid="{A29BA666-841B-4170-941D-E05348F0D40D}"/>
    <cellStyle name="Normal 4 2 13" xfId="2988" xr:uid="{00000000-0005-0000-0000-00003E0B0000}"/>
    <cellStyle name="Normal 4 2 13 2" xfId="8310" xr:uid="{D0D4D591-10ED-42D8-9F39-0A3EA66BCF57}"/>
    <cellStyle name="Normal 4 2 14" xfId="2989" xr:uid="{00000000-0005-0000-0000-00003F0B0000}"/>
    <cellStyle name="Normal 4 2 14 2" xfId="8311" xr:uid="{13BC25EF-39B0-4C99-85B0-E3299F49BBC8}"/>
    <cellStyle name="Normal 4 2 15" xfId="5346" xr:uid="{5DF5223F-189C-4129-AF43-83CC7595EDCF}"/>
    <cellStyle name="Normal 4 2 15 2" xfId="10665" xr:uid="{F78A06A3-B741-4093-8A07-BEB99F4632E0}"/>
    <cellStyle name="Normal 4 2 16" xfId="5466" xr:uid="{2F02F218-02DE-4C82-9F96-7768D13D641E}"/>
    <cellStyle name="Normal 4 2 2" xfId="133" xr:uid="{00000000-0005-0000-0000-0000400B0000}"/>
    <cellStyle name="Normal 4 2 2 10" xfId="2990" xr:uid="{00000000-0005-0000-0000-0000410B0000}"/>
    <cellStyle name="Normal 4 2 2 10 2" xfId="8312" xr:uid="{DAA93BC1-8CBF-4CF3-9F68-0BC1E15D759E}"/>
    <cellStyle name="Normal 4 2 2 11" xfId="2991" xr:uid="{00000000-0005-0000-0000-0000420B0000}"/>
    <cellStyle name="Normal 4 2 2 11 2" xfId="8313" xr:uid="{76F0A225-6EC0-4C71-9C38-9894242BC850}"/>
    <cellStyle name="Normal 4 2 2 12" xfId="5467" xr:uid="{8BA293AB-5F15-41F6-B216-326C6F0F6BC6}"/>
    <cellStyle name="Normal 4 2 2 2" xfId="134" xr:uid="{00000000-0005-0000-0000-0000430B0000}"/>
    <cellStyle name="Normal 4 2 2 2 10" xfId="2992" xr:uid="{00000000-0005-0000-0000-0000440B0000}"/>
    <cellStyle name="Normal 4 2 2 2 10 2" xfId="8314" xr:uid="{5B138F1E-A648-4640-8823-8C139C91FC30}"/>
    <cellStyle name="Normal 4 2 2 2 11" xfId="5468" xr:uid="{62805ADD-6FE8-479A-B5F3-AF1A5CEB85A1}"/>
    <cellStyle name="Normal 4 2 2 2 2" xfId="135" xr:uid="{00000000-0005-0000-0000-0000450B0000}"/>
    <cellStyle name="Normal 4 2 2 2 2 10" xfId="5469" xr:uid="{EB3251F4-D1E7-4426-BEED-CB781D54699F}"/>
    <cellStyle name="Normal 4 2 2 2 2 2" xfId="136" xr:uid="{00000000-0005-0000-0000-0000460B0000}"/>
    <cellStyle name="Normal 4 2 2 2 2 2 2" xfId="2993" xr:uid="{00000000-0005-0000-0000-0000470B0000}"/>
    <cellStyle name="Normal 4 2 2 2 2 2 2 2" xfId="2994" xr:uid="{00000000-0005-0000-0000-0000480B0000}"/>
    <cellStyle name="Normal 4 2 2 2 2 2 2 2 2" xfId="2995" xr:uid="{00000000-0005-0000-0000-0000490B0000}"/>
    <cellStyle name="Normal 4 2 2 2 2 2 2 2 2 2" xfId="8317" xr:uid="{C8500146-A1D0-45D6-9B3B-2E602240F086}"/>
    <cellStyle name="Normal 4 2 2 2 2 2 2 2 3" xfId="2996" xr:uid="{00000000-0005-0000-0000-00004A0B0000}"/>
    <cellStyle name="Normal 4 2 2 2 2 2 2 2 3 2" xfId="8318" xr:uid="{ECAA3EE8-382C-4629-BB25-C6BF35B4C1E8}"/>
    <cellStyle name="Normal 4 2 2 2 2 2 2 2 4" xfId="8316" xr:uid="{A83BB47E-743A-4027-9269-76050905EEEA}"/>
    <cellStyle name="Normal 4 2 2 2 2 2 2 3" xfId="2997" xr:uid="{00000000-0005-0000-0000-00004B0B0000}"/>
    <cellStyle name="Normal 4 2 2 2 2 2 2 3 2" xfId="8319" xr:uid="{D6D9EDB3-BA49-4A10-9A2B-82F9D28A9DC5}"/>
    <cellStyle name="Normal 4 2 2 2 2 2 2 4" xfId="2998" xr:uid="{00000000-0005-0000-0000-00004C0B0000}"/>
    <cellStyle name="Normal 4 2 2 2 2 2 2 4 2" xfId="8320" xr:uid="{1EB13FD3-C39E-4CED-9193-4DAEA7DFC016}"/>
    <cellStyle name="Normal 4 2 2 2 2 2 2 5" xfId="8315" xr:uid="{77971B14-BBFA-4A4F-A7F4-DA0003DFFD47}"/>
    <cellStyle name="Normal 4 2 2 2 2 2 3" xfId="2999" xr:uid="{00000000-0005-0000-0000-00004D0B0000}"/>
    <cellStyle name="Normal 4 2 2 2 2 2 3 2" xfId="3000" xr:uid="{00000000-0005-0000-0000-00004E0B0000}"/>
    <cellStyle name="Normal 4 2 2 2 2 2 3 2 2" xfId="3001" xr:uid="{00000000-0005-0000-0000-00004F0B0000}"/>
    <cellStyle name="Normal 4 2 2 2 2 2 3 2 2 2" xfId="8323" xr:uid="{533C4A4E-FC11-4C2F-8213-78BA111952AB}"/>
    <cellStyle name="Normal 4 2 2 2 2 2 3 2 3" xfId="8322" xr:uid="{4924ABF8-F0F5-4F5B-84FC-B68066D2A3AC}"/>
    <cellStyle name="Normal 4 2 2 2 2 2 3 3" xfId="3002" xr:uid="{00000000-0005-0000-0000-0000500B0000}"/>
    <cellStyle name="Normal 4 2 2 2 2 2 3 3 2" xfId="8324" xr:uid="{DCF891E6-AEEC-4929-9AF4-13000FBF9840}"/>
    <cellStyle name="Normal 4 2 2 2 2 2 3 4" xfId="3003" xr:uid="{00000000-0005-0000-0000-0000510B0000}"/>
    <cellStyle name="Normal 4 2 2 2 2 2 3 4 2" xfId="8325" xr:uid="{60F98C2D-697E-4560-92E6-BAA0F03B1E04}"/>
    <cellStyle name="Normal 4 2 2 2 2 2 3 5" xfId="8321" xr:uid="{591CD296-15DF-47BE-A68C-6C66FBCA0A9A}"/>
    <cellStyle name="Normal 4 2 2 2 2 2 4" xfId="3004" xr:uid="{00000000-0005-0000-0000-0000520B0000}"/>
    <cellStyle name="Normal 4 2 2 2 2 2 4 2" xfId="3005" xr:uid="{00000000-0005-0000-0000-0000530B0000}"/>
    <cellStyle name="Normal 4 2 2 2 2 2 4 2 2" xfId="8327" xr:uid="{75D5CA32-C507-4133-9752-B1BF92E3225D}"/>
    <cellStyle name="Normal 4 2 2 2 2 2 4 3" xfId="8326" xr:uid="{BAE4033E-59A0-4FC0-96DD-26CC3BDCE2D5}"/>
    <cellStyle name="Normal 4 2 2 2 2 2 5" xfId="3006" xr:uid="{00000000-0005-0000-0000-0000540B0000}"/>
    <cellStyle name="Normal 4 2 2 2 2 2 5 2" xfId="3007" xr:uid="{00000000-0005-0000-0000-0000550B0000}"/>
    <cellStyle name="Normal 4 2 2 2 2 2 5 2 2" xfId="8329" xr:uid="{35496E34-4FDF-4545-AAC1-8095E46BB1CC}"/>
    <cellStyle name="Normal 4 2 2 2 2 2 5 3" xfId="8328" xr:uid="{32A37DD6-004B-4718-8FC5-B2D0A18D9327}"/>
    <cellStyle name="Normal 4 2 2 2 2 2 6" xfId="3008" xr:uid="{00000000-0005-0000-0000-0000560B0000}"/>
    <cellStyle name="Normal 4 2 2 2 2 2 6 2" xfId="3009" xr:uid="{00000000-0005-0000-0000-0000570B0000}"/>
    <cellStyle name="Normal 4 2 2 2 2 2 6 2 2" xfId="8331" xr:uid="{90187DF7-939E-4A57-8593-321472245604}"/>
    <cellStyle name="Normal 4 2 2 2 2 2 6 3" xfId="8330" xr:uid="{817DE69A-4177-4A9E-8088-D06815A414A6}"/>
    <cellStyle name="Normal 4 2 2 2 2 2 7" xfId="3010" xr:uid="{00000000-0005-0000-0000-0000580B0000}"/>
    <cellStyle name="Normal 4 2 2 2 2 2 7 2" xfId="8332" xr:uid="{29C1C839-40D4-4CD8-9E99-1ACBE88E9CC1}"/>
    <cellStyle name="Normal 4 2 2 2 2 2 8" xfId="3011" xr:uid="{00000000-0005-0000-0000-0000590B0000}"/>
    <cellStyle name="Normal 4 2 2 2 2 2 8 2" xfId="8333" xr:uid="{2B053BD6-8CB0-42A2-9702-4FB2AFE8C4CD}"/>
    <cellStyle name="Normal 4 2 2 2 2 2 9" xfId="5470" xr:uid="{FF90D71D-0A71-4748-8A05-55816166932B}"/>
    <cellStyle name="Normal 4 2 2 2 2 3" xfId="3012" xr:uid="{00000000-0005-0000-0000-00005A0B0000}"/>
    <cellStyle name="Normal 4 2 2 2 2 3 2" xfId="3013" xr:uid="{00000000-0005-0000-0000-00005B0B0000}"/>
    <cellStyle name="Normal 4 2 2 2 2 3 2 2" xfId="3014" xr:uid="{00000000-0005-0000-0000-00005C0B0000}"/>
    <cellStyle name="Normal 4 2 2 2 2 3 2 2 2" xfId="8336" xr:uid="{1D21D522-5D14-44B0-90F7-F2C8C60273DD}"/>
    <cellStyle name="Normal 4 2 2 2 2 3 2 3" xfId="3015" xr:uid="{00000000-0005-0000-0000-00005D0B0000}"/>
    <cellStyle name="Normal 4 2 2 2 2 3 2 3 2" xfId="8337" xr:uid="{9D0E2842-45DA-436A-ADE9-EF8122511DFA}"/>
    <cellStyle name="Normal 4 2 2 2 2 3 2 4" xfId="8335" xr:uid="{B05E8673-1A04-4C77-819E-EB6D6E01107E}"/>
    <cellStyle name="Normal 4 2 2 2 2 3 3" xfId="3016" xr:uid="{00000000-0005-0000-0000-00005E0B0000}"/>
    <cellStyle name="Normal 4 2 2 2 2 3 3 2" xfId="8338" xr:uid="{1299908D-4730-4F7F-B4DB-353525F8842B}"/>
    <cellStyle name="Normal 4 2 2 2 2 3 4" xfId="3017" xr:uid="{00000000-0005-0000-0000-00005F0B0000}"/>
    <cellStyle name="Normal 4 2 2 2 2 3 4 2" xfId="8339" xr:uid="{F17F0C4D-0B0A-43BE-A6F5-D54B9543B019}"/>
    <cellStyle name="Normal 4 2 2 2 2 3 5" xfId="8334" xr:uid="{5ACC9584-BE26-42F5-B3CF-333BB6D04E7F}"/>
    <cellStyle name="Normal 4 2 2 2 2 4" xfId="3018" xr:uid="{00000000-0005-0000-0000-0000600B0000}"/>
    <cellStyle name="Normal 4 2 2 2 2 4 2" xfId="3019" xr:uid="{00000000-0005-0000-0000-0000610B0000}"/>
    <cellStyle name="Normal 4 2 2 2 2 4 2 2" xfId="3020" xr:uid="{00000000-0005-0000-0000-0000620B0000}"/>
    <cellStyle name="Normal 4 2 2 2 2 4 2 2 2" xfId="8342" xr:uid="{E9AE5635-C5C6-4B1D-948A-77D530CB80F5}"/>
    <cellStyle name="Normal 4 2 2 2 2 4 2 3" xfId="8341" xr:uid="{2648FCF0-79BB-4951-ACE4-7548D4A2D7CE}"/>
    <cellStyle name="Normal 4 2 2 2 2 4 3" xfId="3021" xr:uid="{00000000-0005-0000-0000-0000630B0000}"/>
    <cellStyle name="Normal 4 2 2 2 2 4 3 2" xfId="8343" xr:uid="{99A57025-E764-4062-B1C2-81662DB94628}"/>
    <cellStyle name="Normal 4 2 2 2 2 4 4" xfId="3022" xr:uid="{00000000-0005-0000-0000-0000640B0000}"/>
    <cellStyle name="Normal 4 2 2 2 2 4 4 2" xfId="8344" xr:uid="{814305E6-61C2-447D-87EE-C6F7EA1C41BA}"/>
    <cellStyle name="Normal 4 2 2 2 2 4 5" xfId="8340" xr:uid="{AA8085F8-B166-4D0D-9507-7ED994F0C3CE}"/>
    <cellStyle name="Normal 4 2 2 2 2 5" xfId="3023" xr:uid="{00000000-0005-0000-0000-0000650B0000}"/>
    <cellStyle name="Normal 4 2 2 2 2 5 2" xfId="3024" xr:uid="{00000000-0005-0000-0000-0000660B0000}"/>
    <cellStyle name="Normal 4 2 2 2 2 5 2 2" xfId="8346" xr:uid="{05F8030A-0691-4125-809C-D35ECE02D729}"/>
    <cellStyle name="Normal 4 2 2 2 2 5 3" xfId="8345" xr:uid="{80D0F752-1BCF-4E0E-B038-E44705DC5BE7}"/>
    <cellStyle name="Normal 4 2 2 2 2 6" xfId="3025" xr:uid="{00000000-0005-0000-0000-0000670B0000}"/>
    <cellStyle name="Normal 4 2 2 2 2 6 2" xfId="3026" xr:uid="{00000000-0005-0000-0000-0000680B0000}"/>
    <cellStyle name="Normal 4 2 2 2 2 6 2 2" xfId="8348" xr:uid="{0D77D44A-0225-4AAE-A6EC-3B5D3B1237A2}"/>
    <cellStyle name="Normal 4 2 2 2 2 6 3" xfId="8347" xr:uid="{5FF13E42-D6E3-4B80-A7F2-6CAB9D244EDF}"/>
    <cellStyle name="Normal 4 2 2 2 2 7" xfId="3027" xr:uid="{00000000-0005-0000-0000-0000690B0000}"/>
    <cellStyle name="Normal 4 2 2 2 2 7 2" xfId="3028" xr:uid="{00000000-0005-0000-0000-00006A0B0000}"/>
    <cellStyle name="Normal 4 2 2 2 2 7 2 2" xfId="8350" xr:uid="{703B94EF-CDFE-43F2-AE0E-6C57896E6804}"/>
    <cellStyle name="Normal 4 2 2 2 2 7 3" xfId="8349" xr:uid="{8D429005-4A9A-4476-A345-E17FE433C196}"/>
    <cellStyle name="Normal 4 2 2 2 2 8" xfId="3029" xr:uid="{00000000-0005-0000-0000-00006B0B0000}"/>
    <cellStyle name="Normal 4 2 2 2 2 8 2" xfId="8351" xr:uid="{2D542974-E3D2-40AD-A5F7-8482B8A1A4A4}"/>
    <cellStyle name="Normal 4 2 2 2 2 9" xfId="3030" xr:uid="{00000000-0005-0000-0000-00006C0B0000}"/>
    <cellStyle name="Normal 4 2 2 2 2 9 2" xfId="8352" xr:uid="{4B254439-3712-456D-BC0A-C5A7E6739364}"/>
    <cellStyle name="Normal 4 2 2 2 3" xfId="137" xr:uid="{00000000-0005-0000-0000-00006D0B0000}"/>
    <cellStyle name="Normal 4 2 2 2 3 2" xfId="3031" xr:uid="{00000000-0005-0000-0000-00006E0B0000}"/>
    <cellStyle name="Normal 4 2 2 2 3 2 2" xfId="3032" xr:uid="{00000000-0005-0000-0000-00006F0B0000}"/>
    <cellStyle name="Normal 4 2 2 2 3 2 2 2" xfId="3033" xr:uid="{00000000-0005-0000-0000-0000700B0000}"/>
    <cellStyle name="Normal 4 2 2 2 3 2 2 2 2" xfId="8355" xr:uid="{F55BBDE9-9283-4A7E-A499-45AFA9D6F404}"/>
    <cellStyle name="Normal 4 2 2 2 3 2 2 3" xfId="3034" xr:uid="{00000000-0005-0000-0000-0000710B0000}"/>
    <cellStyle name="Normal 4 2 2 2 3 2 2 3 2" xfId="8356" xr:uid="{5F5283F3-2FC6-4C81-8C6E-ABF15E0BF9D6}"/>
    <cellStyle name="Normal 4 2 2 2 3 2 2 4" xfId="8354" xr:uid="{150756CB-B927-4033-B7AD-A70893F72B7A}"/>
    <cellStyle name="Normal 4 2 2 2 3 2 3" xfId="3035" xr:uid="{00000000-0005-0000-0000-0000720B0000}"/>
    <cellStyle name="Normal 4 2 2 2 3 2 3 2" xfId="8357" xr:uid="{B75FE108-6077-411A-B0F4-7EBA00F9650F}"/>
    <cellStyle name="Normal 4 2 2 2 3 2 4" xfId="3036" xr:uid="{00000000-0005-0000-0000-0000730B0000}"/>
    <cellStyle name="Normal 4 2 2 2 3 2 4 2" xfId="8358" xr:uid="{98FC8276-94CE-4FB0-A350-965FFB794223}"/>
    <cellStyle name="Normal 4 2 2 2 3 2 5" xfId="8353" xr:uid="{8659FB0A-5E09-4807-99FE-482642F5733F}"/>
    <cellStyle name="Normal 4 2 2 2 3 3" xfId="3037" xr:uid="{00000000-0005-0000-0000-0000740B0000}"/>
    <cellStyle name="Normal 4 2 2 2 3 3 2" xfId="3038" xr:uid="{00000000-0005-0000-0000-0000750B0000}"/>
    <cellStyle name="Normal 4 2 2 2 3 3 2 2" xfId="3039" xr:uid="{00000000-0005-0000-0000-0000760B0000}"/>
    <cellStyle name="Normal 4 2 2 2 3 3 2 2 2" xfId="8361" xr:uid="{BB72922E-2CE6-452E-881D-A81CEB3A296F}"/>
    <cellStyle name="Normal 4 2 2 2 3 3 2 3" xfId="8360" xr:uid="{483971CE-E47E-4B4E-9EE1-663789CFC91D}"/>
    <cellStyle name="Normal 4 2 2 2 3 3 3" xfId="3040" xr:uid="{00000000-0005-0000-0000-0000770B0000}"/>
    <cellStyle name="Normal 4 2 2 2 3 3 3 2" xfId="8362" xr:uid="{69C22AFE-710D-492B-A8E6-FFE0F78D3D5D}"/>
    <cellStyle name="Normal 4 2 2 2 3 3 4" xfId="3041" xr:uid="{00000000-0005-0000-0000-0000780B0000}"/>
    <cellStyle name="Normal 4 2 2 2 3 3 4 2" xfId="8363" xr:uid="{432A4FE1-C866-4B2D-8BB7-5DCD571BADD4}"/>
    <cellStyle name="Normal 4 2 2 2 3 3 5" xfId="8359" xr:uid="{76794809-F0D5-4AEC-ADA5-4E03A41722EA}"/>
    <cellStyle name="Normal 4 2 2 2 3 4" xfId="3042" xr:uid="{00000000-0005-0000-0000-0000790B0000}"/>
    <cellStyle name="Normal 4 2 2 2 3 4 2" xfId="3043" xr:uid="{00000000-0005-0000-0000-00007A0B0000}"/>
    <cellStyle name="Normal 4 2 2 2 3 4 2 2" xfId="8365" xr:uid="{42323A12-0719-4DA0-9646-A8B008F5D1A9}"/>
    <cellStyle name="Normal 4 2 2 2 3 4 3" xfId="8364" xr:uid="{656526A9-C46F-4BA2-BB6B-F3FCB1C70F73}"/>
    <cellStyle name="Normal 4 2 2 2 3 5" xfId="3044" xr:uid="{00000000-0005-0000-0000-00007B0B0000}"/>
    <cellStyle name="Normal 4 2 2 2 3 5 2" xfId="3045" xr:uid="{00000000-0005-0000-0000-00007C0B0000}"/>
    <cellStyle name="Normal 4 2 2 2 3 5 2 2" xfId="8367" xr:uid="{89215CDF-854A-46FE-BBA5-7FB79C66519E}"/>
    <cellStyle name="Normal 4 2 2 2 3 5 3" xfId="8366" xr:uid="{4C32AEC1-9AE8-40A1-8006-5B1D471BF536}"/>
    <cellStyle name="Normal 4 2 2 2 3 6" xfId="3046" xr:uid="{00000000-0005-0000-0000-00007D0B0000}"/>
    <cellStyle name="Normal 4 2 2 2 3 6 2" xfId="3047" xr:uid="{00000000-0005-0000-0000-00007E0B0000}"/>
    <cellStyle name="Normal 4 2 2 2 3 6 2 2" xfId="8369" xr:uid="{DABAD475-720F-436D-AA88-77CEC20EC7CC}"/>
    <cellStyle name="Normal 4 2 2 2 3 6 3" xfId="8368" xr:uid="{663537D1-2530-4819-A680-6B7DA9593306}"/>
    <cellStyle name="Normal 4 2 2 2 3 7" xfId="3048" xr:uid="{00000000-0005-0000-0000-00007F0B0000}"/>
    <cellStyle name="Normal 4 2 2 2 3 7 2" xfId="8370" xr:uid="{9910B4AB-B656-48FE-B82C-4712A2140F96}"/>
    <cellStyle name="Normal 4 2 2 2 3 8" xfId="3049" xr:uid="{00000000-0005-0000-0000-0000800B0000}"/>
    <cellStyle name="Normal 4 2 2 2 3 8 2" xfId="8371" xr:uid="{790FEFF8-A601-4EF4-A952-8AB07B9F74F5}"/>
    <cellStyle name="Normal 4 2 2 2 3 9" xfId="5471" xr:uid="{0DCB7EAC-75D3-464D-B60B-F407719CE019}"/>
    <cellStyle name="Normal 4 2 2 2 4" xfId="3050" xr:uid="{00000000-0005-0000-0000-0000810B0000}"/>
    <cellStyle name="Normal 4 2 2 2 4 2" xfId="3051" xr:uid="{00000000-0005-0000-0000-0000820B0000}"/>
    <cellStyle name="Normal 4 2 2 2 4 2 2" xfId="3052" xr:uid="{00000000-0005-0000-0000-0000830B0000}"/>
    <cellStyle name="Normal 4 2 2 2 4 2 2 2" xfId="8374" xr:uid="{E2F1DCE8-7678-4450-B3E6-CA64CEB01772}"/>
    <cellStyle name="Normal 4 2 2 2 4 2 3" xfId="3053" xr:uid="{00000000-0005-0000-0000-0000840B0000}"/>
    <cellStyle name="Normal 4 2 2 2 4 2 3 2" xfId="8375" xr:uid="{A479C7F6-9D9A-4ECB-BD78-55E641867A0E}"/>
    <cellStyle name="Normal 4 2 2 2 4 2 4" xfId="8373" xr:uid="{FE5DFD62-CDF9-4579-AD16-064314866F5C}"/>
    <cellStyle name="Normal 4 2 2 2 4 3" xfId="3054" xr:uid="{00000000-0005-0000-0000-0000850B0000}"/>
    <cellStyle name="Normal 4 2 2 2 4 3 2" xfId="8376" xr:uid="{4706BAE1-D09D-49CE-AA90-A14F398E3490}"/>
    <cellStyle name="Normal 4 2 2 2 4 4" xfId="3055" xr:uid="{00000000-0005-0000-0000-0000860B0000}"/>
    <cellStyle name="Normal 4 2 2 2 4 4 2" xfId="8377" xr:uid="{F5B802A8-1EE8-42E8-9463-F77F29DA4340}"/>
    <cellStyle name="Normal 4 2 2 2 4 5" xfId="8372" xr:uid="{2FE119CB-86BA-4CDD-99BE-19ADCCFAD09A}"/>
    <cellStyle name="Normal 4 2 2 2 5" xfId="3056" xr:uid="{00000000-0005-0000-0000-0000870B0000}"/>
    <cellStyle name="Normal 4 2 2 2 5 2" xfId="3057" xr:uid="{00000000-0005-0000-0000-0000880B0000}"/>
    <cellStyle name="Normal 4 2 2 2 5 2 2" xfId="3058" xr:uid="{00000000-0005-0000-0000-0000890B0000}"/>
    <cellStyle name="Normal 4 2 2 2 5 2 2 2" xfId="8380" xr:uid="{CE9F1982-368A-4F01-A17D-0C05D56EF29B}"/>
    <cellStyle name="Normal 4 2 2 2 5 2 3" xfId="8379" xr:uid="{52EAA7DE-6EB2-4922-BE3E-177111004338}"/>
    <cellStyle name="Normal 4 2 2 2 5 3" xfId="3059" xr:uid="{00000000-0005-0000-0000-00008A0B0000}"/>
    <cellStyle name="Normal 4 2 2 2 5 3 2" xfId="8381" xr:uid="{C03FF4DD-09D6-495D-985F-879E6465385E}"/>
    <cellStyle name="Normal 4 2 2 2 5 4" xfId="3060" xr:uid="{00000000-0005-0000-0000-00008B0B0000}"/>
    <cellStyle name="Normal 4 2 2 2 5 4 2" xfId="8382" xr:uid="{867345FA-BD86-4498-BBBF-4327C50DD9BE}"/>
    <cellStyle name="Normal 4 2 2 2 5 5" xfId="8378" xr:uid="{0353476A-6611-4BC9-B28D-5B977675F4E2}"/>
    <cellStyle name="Normal 4 2 2 2 6" xfId="3061" xr:uid="{00000000-0005-0000-0000-00008C0B0000}"/>
    <cellStyle name="Normal 4 2 2 2 6 2" xfId="3062" xr:uid="{00000000-0005-0000-0000-00008D0B0000}"/>
    <cellStyle name="Normal 4 2 2 2 6 2 2" xfId="8384" xr:uid="{1B0ADF04-5D76-439D-AC0C-71F239CEFD30}"/>
    <cellStyle name="Normal 4 2 2 2 6 3" xfId="8383" xr:uid="{AF1D8BCA-53F7-44FA-930C-A4AE5096DE7F}"/>
    <cellStyle name="Normal 4 2 2 2 7" xfId="3063" xr:uid="{00000000-0005-0000-0000-00008E0B0000}"/>
    <cellStyle name="Normal 4 2 2 2 7 2" xfId="3064" xr:uid="{00000000-0005-0000-0000-00008F0B0000}"/>
    <cellStyle name="Normal 4 2 2 2 7 2 2" xfId="8386" xr:uid="{BECD1B92-34BD-4CD9-B14D-805AAE1E3763}"/>
    <cellStyle name="Normal 4 2 2 2 7 3" xfId="8385" xr:uid="{5A329DE7-787F-4DDE-A34F-FB94AF7680BB}"/>
    <cellStyle name="Normal 4 2 2 2 8" xfId="3065" xr:uid="{00000000-0005-0000-0000-0000900B0000}"/>
    <cellStyle name="Normal 4 2 2 2 8 2" xfId="3066" xr:uid="{00000000-0005-0000-0000-0000910B0000}"/>
    <cellStyle name="Normal 4 2 2 2 8 2 2" xfId="8388" xr:uid="{47A196A1-FD45-4091-9627-FEA2DC77FDDB}"/>
    <cellStyle name="Normal 4 2 2 2 8 3" xfId="8387" xr:uid="{4861BB20-6935-4C72-BCC6-914A34C45396}"/>
    <cellStyle name="Normal 4 2 2 2 9" xfId="3067" xr:uid="{00000000-0005-0000-0000-0000920B0000}"/>
    <cellStyle name="Normal 4 2 2 2 9 2" xfId="8389" xr:uid="{E751819C-FF04-4F68-9B95-864122A534F7}"/>
    <cellStyle name="Normal 4 2 2 3" xfId="138" xr:uid="{00000000-0005-0000-0000-0000930B0000}"/>
    <cellStyle name="Normal 4 2 2 3 10" xfId="5472" xr:uid="{6319B7B2-A53D-4DB3-86D9-80139BF23C28}"/>
    <cellStyle name="Normal 4 2 2 3 2" xfId="139" xr:uid="{00000000-0005-0000-0000-0000940B0000}"/>
    <cellStyle name="Normal 4 2 2 3 2 2" xfId="3068" xr:uid="{00000000-0005-0000-0000-0000950B0000}"/>
    <cellStyle name="Normal 4 2 2 3 2 2 2" xfId="3069" xr:uid="{00000000-0005-0000-0000-0000960B0000}"/>
    <cellStyle name="Normal 4 2 2 3 2 2 2 2" xfId="3070" xr:uid="{00000000-0005-0000-0000-0000970B0000}"/>
    <cellStyle name="Normal 4 2 2 3 2 2 2 2 2" xfId="8392" xr:uid="{1752724A-ABC4-4BC0-8CF7-2BADD3CEB507}"/>
    <cellStyle name="Normal 4 2 2 3 2 2 2 3" xfId="3071" xr:uid="{00000000-0005-0000-0000-0000980B0000}"/>
    <cellStyle name="Normal 4 2 2 3 2 2 2 3 2" xfId="8393" xr:uid="{CC664333-0C5A-431C-8ADC-0C5525FD90DD}"/>
    <cellStyle name="Normal 4 2 2 3 2 2 2 4" xfId="8391" xr:uid="{633890DE-0482-4964-9A11-35893E317E99}"/>
    <cellStyle name="Normal 4 2 2 3 2 2 3" xfId="3072" xr:uid="{00000000-0005-0000-0000-0000990B0000}"/>
    <cellStyle name="Normal 4 2 2 3 2 2 3 2" xfId="8394" xr:uid="{5CD9517C-FDCB-4C82-8C9A-AD8467A61DDA}"/>
    <cellStyle name="Normal 4 2 2 3 2 2 4" xfId="3073" xr:uid="{00000000-0005-0000-0000-00009A0B0000}"/>
    <cellStyle name="Normal 4 2 2 3 2 2 4 2" xfId="8395" xr:uid="{DCC56D7C-58D7-4E13-9776-EB1BC54D9ED3}"/>
    <cellStyle name="Normal 4 2 2 3 2 2 5" xfId="8390" xr:uid="{961B0A81-6B10-4B76-ABC6-EBE165F6EB8C}"/>
    <cellStyle name="Normal 4 2 2 3 2 3" xfId="3074" xr:uid="{00000000-0005-0000-0000-00009B0B0000}"/>
    <cellStyle name="Normal 4 2 2 3 2 3 2" xfId="3075" xr:uid="{00000000-0005-0000-0000-00009C0B0000}"/>
    <cellStyle name="Normal 4 2 2 3 2 3 2 2" xfId="3076" xr:uid="{00000000-0005-0000-0000-00009D0B0000}"/>
    <cellStyle name="Normal 4 2 2 3 2 3 2 2 2" xfId="8398" xr:uid="{9ECD8C0F-4131-4FE0-9B46-45CBADBCC8C5}"/>
    <cellStyle name="Normal 4 2 2 3 2 3 2 3" xfId="8397" xr:uid="{35B82CAC-3303-4BAE-A30F-BF25BA76620E}"/>
    <cellStyle name="Normal 4 2 2 3 2 3 3" xfId="3077" xr:uid="{00000000-0005-0000-0000-00009E0B0000}"/>
    <cellStyle name="Normal 4 2 2 3 2 3 3 2" xfId="8399" xr:uid="{4783C599-A1BC-44B0-A52C-509C2CD6D9C0}"/>
    <cellStyle name="Normal 4 2 2 3 2 3 4" xfId="3078" xr:uid="{00000000-0005-0000-0000-00009F0B0000}"/>
    <cellStyle name="Normal 4 2 2 3 2 3 4 2" xfId="8400" xr:uid="{C108384A-80B4-4648-B732-4BF690DDDB88}"/>
    <cellStyle name="Normal 4 2 2 3 2 3 5" xfId="8396" xr:uid="{26508026-7053-4230-9D89-65E6A48C0B03}"/>
    <cellStyle name="Normal 4 2 2 3 2 4" xfId="3079" xr:uid="{00000000-0005-0000-0000-0000A00B0000}"/>
    <cellStyle name="Normal 4 2 2 3 2 4 2" xfId="3080" xr:uid="{00000000-0005-0000-0000-0000A10B0000}"/>
    <cellStyle name="Normal 4 2 2 3 2 4 2 2" xfId="8402" xr:uid="{152B7FB2-5864-4DDB-BAE8-43330F61791D}"/>
    <cellStyle name="Normal 4 2 2 3 2 4 3" xfId="8401" xr:uid="{61DEA85B-5B73-4A31-8212-F3B6E1978BD2}"/>
    <cellStyle name="Normal 4 2 2 3 2 5" xfId="3081" xr:uid="{00000000-0005-0000-0000-0000A20B0000}"/>
    <cellStyle name="Normal 4 2 2 3 2 5 2" xfId="3082" xr:uid="{00000000-0005-0000-0000-0000A30B0000}"/>
    <cellStyle name="Normal 4 2 2 3 2 5 2 2" xfId="8404" xr:uid="{496DEC32-CBDA-4B57-A846-D1888CB60F09}"/>
    <cellStyle name="Normal 4 2 2 3 2 5 3" xfId="8403" xr:uid="{CDB87A3B-AF9D-44B8-ADD9-87754B526076}"/>
    <cellStyle name="Normal 4 2 2 3 2 6" xfId="3083" xr:uid="{00000000-0005-0000-0000-0000A40B0000}"/>
    <cellStyle name="Normal 4 2 2 3 2 6 2" xfId="3084" xr:uid="{00000000-0005-0000-0000-0000A50B0000}"/>
    <cellStyle name="Normal 4 2 2 3 2 6 2 2" xfId="8406" xr:uid="{DAD98A7F-8123-470A-AA39-DEA6299A8ED5}"/>
    <cellStyle name="Normal 4 2 2 3 2 6 3" xfId="8405" xr:uid="{88206E10-38D3-4613-9DD3-E6E2DA3F8845}"/>
    <cellStyle name="Normal 4 2 2 3 2 7" xfId="3085" xr:uid="{00000000-0005-0000-0000-0000A60B0000}"/>
    <cellStyle name="Normal 4 2 2 3 2 7 2" xfId="8407" xr:uid="{9C6781C0-492D-4423-B42F-6B2AAA0C57AF}"/>
    <cellStyle name="Normal 4 2 2 3 2 8" xfId="3086" xr:uid="{00000000-0005-0000-0000-0000A70B0000}"/>
    <cellStyle name="Normal 4 2 2 3 2 8 2" xfId="8408" xr:uid="{B909A5C3-E9A2-47CA-8729-4B3CB5C6BCAE}"/>
    <cellStyle name="Normal 4 2 2 3 2 9" xfId="5473" xr:uid="{27D468FE-F5B3-4EE8-A180-966554CDF33E}"/>
    <cellStyle name="Normal 4 2 2 3 3" xfId="3087" xr:uid="{00000000-0005-0000-0000-0000A80B0000}"/>
    <cellStyle name="Normal 4 2 2 3 3 2" xfId="3088" xr:uid="{00000000-0005-0000-0000-0000A90B0000}"/>
    <cellStyle name="Normal 4 2 2 3 3 2 2" xfId="3089" xr:uid="{00000000-0005-0000-0000-0000AA0B0000}"/>
    <cellStyle name="Normal 4 2 2 3 3 2 2 2" xfId="8411" xr:uid="{D9431301-A40C-4FAB-8709-47FE86431B21}"/>
    <cellStyle name="Normal 4 2 2 3 3 2 3" xfId="3090" xr:uid="{00000000-0005-0000-0000-0000AB0B0000}"/>
    <cellStyle name="Normal 4 2 2 3 3 2 3 2" xfId="8412" xr:uid="{92E1F266-1A4A-429F-8995-86628308D69C}"/>
    <cellStyle name="Normal 4 2 2 3 3 2 4" xfId="8410" xr:uid="{1EDA03FB-D407-48CA-A4C7-0FAFF8AD0841}"/>
    <cellStyle name="Normal 4 2 2 3 3 3" xfId="3091" xr:uid="{00000000-0005-0000-0000-0000AC0B0000}"/>
    <cellStyle name="Normal 4 2 2 3 3 3 2" xfId="8413" xr:uid="{128506D1-421B-4998-B38D-91970254EEA3}"/>
    <cellStyle name="Normal 4 2 2 3 3 4" xfId="3092" xr:uid="{00000000-0005-0000-0000-0000AD0B0000}"/>
    <cellStyle name="Normal 4 2 2 3 3 4 2" xfId="8414" xr:uid="{537413D0-7C82-4E21-A46B-D8EEC1B86E3B}"/>
    <cellStyle name="Normal 4 2 2 3 3 5" xfId="8409" xr:uid="{E2A0E4EE-41D1-4649-A50C-8BF8269CF3D4}"/>
    <cellStyle name="Normal 4 2 2 3 4" xfId="3093" xr:uid="{00000000-0005-0000-0000-0000AE0B0000}"/>
    <cellStyle name="Normal 4 2 2 3 4 2" xfId="3094" xr:uid="{00000000-0005-0000-0000-0000AF0B0000}"/>
    <cellStyle name="Normal 4 2 2 3 4 2 2" xfId="3095" xr:uid="{00000000-0005-0000-0000-0000B00B0000}"/>
    <cellStyle name="Normal 4 2 2 3 4 2 2 2" xfId="8417" xr:uid="{C495071B-1304-4241-8EBC-F9D362D5F136}"/>
    <cellStyle name="Normal 4 2 2 3 4 2 3" xfId="8416" xr:uid="{5F509F6B-9DB2-4C99-8E56-0AA3E0CBE187}"/>
    <cellStyle name="Normal 4 2 2 3 4 3" xfId="3096" xr:uid="{00000000-0005-0000-0000-0000B10B0000}"/>
    <cellStyle name="Normal 4 2 2 3 4 3 2" xfId="8418" xr:uid="{34940653-1514-450A-9E42-990A1CB41C44}"/>
    <cellStyle name="Normal 4 2 2 3 4 4" xfId="3097" xr:uid="{00000000-0005-0000-0000-0000B20B0000}"/>
    <cellStyle name="Normal 4 2 2 3 4 4 2" xfId="8419" xr:uid="{79A73AD1-F450-4CDB-8B64-479DD8F83CED}"/>
    <cellStyle name="Normal 4 2 2 3 4 5" xfId="8415" xr:uid="{995B9EFA-5A90-4BFB-BB9E-5086056B70EA}"/>
    <cellStyle name="Normal 4 2 2 3 5" xfId="3098" xr:uid="{00000000-0005-0000-0000-0000B30B0000}"/>
    <cellStyle name="Normal 4 2 2 3 5 2" xfId="3099" xr:uid="{00000000-0005-0000-0000-0000B40B0000}"/>
    <cellStyle name="Normal 4 2 2 3 5 2 2" xfId="8421" xr:uid="{7D72A663-E1FE-44DA-8721-F2D5AA2EB4FD}"/>
    <cellStyle name="Normal 4 2 2 3 5 3" xfId="8420" xr:uid="{05892479-47B5-4237-B4E8-6A5DFC62ABA9}"/>
    <cellStyle name="Normal 4 2 2 3 6" xfId="3100" xr:uid="{00000000-0005-0000-0000-0000B50B0000}"/>
    <cellStyle name="Normal 4 2 2 3 6 2" xfId="3101" xr:uid="{00000000-0005-0000-0000-0000B60B0000}"/>
    <cellStyle name="Normal 4 2 2 3 6 2 2" xfId="8423" xr:uid="{5FACFC80-D7A6-46CF-8208-F2A62CDB7A7A}"/>
    <cellStyle name="Normal 4 2 2 3 6 3" xfId="8422" xr:uid="{81C844C2-0D73-4DD5-A5B6-C1E752ED7895}"/>
    <cellStyle name="Normal 4 2 2 3 7" xfId="3102" xr:uid="{00000000-0005-0000-0000-0000B70B0000}"/>
    <cellStyle name="Normal 4 2 2 3 7 2" xfId="3103" xr:uid="{00000000-0005-0000-0000-0000B80B0000}"/>
    <cellStyle name="Normal 4 2 2 3 7 2 2" xfId="8425" xr:uid="{580E53B4-BCDB-4472-A02E-A304C1A56D0B}"/>
    <cellStyle name="Normal 4 2 2 3 7 3" xfId="8424" xr:uid="{12D82A7C-B5ED-4B33-928A-799A6452E4E8}"/>
    <cellStyle name="Normal 4 2 2 3 8" xfId="3104" xr:uid="{00000000-0005-0000-0000-0000B90B0000}"/>
    <cellStyle name="Normal 4 2 2 3 8 2" xfId="8426" xr:uid="{91F6FFAD-0E22-40DA-9BDA-CD7C90F5DDED}"/>
    <cellStyle name="Normal 4 2 2 3 9" xfId="3105" xr:uid="{00000000-0005-0000-0000-0000BA0B0000}"/>
    <cellStyle name="Normal 4 2 2 3 9 2" xfId="8427" xr:uid="{490C17D1-C7E1-4A68-B4D1-F8622480B786}"/>
    <cellStyle name="Normal 4 2 2 4" xfId="140" xr:uid="{00000000-0005-0000-0000-0000BB0B0000}"/>
    <cellStyle name="Normal 4 2 2 4 2" xfId="3106" xr:uid="{00000000-0005-0000-0000-0000BC0B0000}"/>
    <cellStyle name="Normal 4 2 2 4 2 2" xfId="3107" xr:uid="{00000000-0005-0000-0000-0000BD0B0000}"/>
    <cellStyle name="Normal 4 2 2 4 2 2 2" xfId="3108" xr:uid="{00000000-0005-0000-0000-0000BE0B0000}"/>
    <cellStyle name="Normal 4 2 2 4 2 2 2 2" xfId="8430" xr:uid="{DE9BAEDA-7ABF-42E0-B7B6-8346643410C6}"/>
    <cellStyle name="Normal 4 2 2 4 2 2 3" xfId="3109" xr:uid="{00000000-0005-0000-0000-0000BF0B0000}"/>
    <cellStyle name="Normal 4 2 2 4 2 2 3 2" xfId="8431" xr:uid="{E58EA644-1F9C-44AB-A49F-BDD2C4D62CC4}"/>
    <cellStyle name="Normal 4 2 2 4 2 2 4" xfId="8429" xr:uid="{9201AA71-3910-4DC7-982D-BCD673E38C8D}"/>
    <cellStyle name="Normal 4 2 2 4 2 3" xfId="3110" xr:uid="{00000000-0005-0000-0000-0000C00B0000}"/>
    <cellStyle name="Normal 4 2 2 4 2 3 2" xfId="8432" xr:uid="{C6D829EF-B1A6-4771-8D25-5C9A31D86726}"/>
    <cellStyle name="Normal 4 2 2 4 2 4" xfId="3111" xr:uid="{00000000-0005-0000-0000-0000C10B0000}"/>
    <cellStyle name="Normal 4 2 2 4 2 4 2" xfId="8433" xr:uid="{F0D1B010-01CD-4BA8-B5A6-D9FE2D2F965F}"/>
    <cellStyle name="Normal 4 2 2 4 2 5" xfId="8428" xr:uid="{F172C2F6-CFA9-4C3B-B9B7-3B68DE7506AF}"/>
    <cellStyle name="Normal 4 2 2 4 3" xfId="3112" xr:uid="{00000000-0005-0000-0000-0000C20B0000}"/>
    <cellStyle name="Normal 4 2 2 4 3 2" xfId="3113" xr:uid="{00000000-0005-0000-0000-0000C30B0000}"/>
    <cellStyle name="Normal 4 2 2 4 3 2 2" xfId="3114" xr:uid="{00000000-0005-0000-0000-0000C40B0000}"/>
    <cellStyle name="Normal 4 2 2 4 3 2 2 2" xfId="8436" xr:uid="{2FB23F35-7743-4B55-8797-DBD3DE4D4EF5}"/>
    <cellStyle name="Normal 4 2 2 4 3 2 3" xfId="8435" xr:uid="{235810DE-DB08-4002-9F59-4499F23F61CE}"/>
    <cellStyle name="Normal 4 2 2 4 3 3" xfId="3115" xr:uid="{00000000-0005-0000-0000-0000C50B0000}"/>
    <cellStyle name="Normal 4 2 2 4 3 3 2" xfId="8437" xr:uid="{4997BC36-4691-494A-8A14-E6192D180701}"/>
    <cellStyle name="Normal 4 2 2 4 3 4" xfId="3116" xr:uid="{00000000-0005-0000-0000-0000C60B0000}"/>
    <cellStyle name="Normal 4 2 2 4 3 4 2" xfId="8438" xr:uid="{271F3FD1-27E3-4DCD-A1A6-7CCDB6223671}"/>
    <cellStyle name="Normal 4 2 2 4 3 5" xfId="8434" xr:uid="{EDC88B20-E8C7-46FD-9CAD-4A01AB887B24}"/>
    <cellStyle name="Normal 4 2 2 4 4" xfId="3117" xr:uid="{00000000-0005-0000-0000-0000C70B0000}"/>
    <cellStyle name="Normal 4 2 2 4 4 2" xfId="3118" xr:uid="{00000000-0005-0000-0000-0000C80B0000}"/>
    <cellStyle name="Normal 4 2 2 4 4 2 2" xfId="8440" xr:uid="{DA36E720-8006-40D8-A9C0-508A10596A4D}"/>
    <cellStyle name="Normal 4 2 2 4 4 3" xfId="8439" xr:uid="{51831738-537C-4BA0-9A2A-35A37C031D48}"/>
    <cellStyle name="Normal 4 2 2 4 5" xfId="3119" xr:uid="{00000000-0005-0000-0000-0000C90B0000}"/>
    <cellStyle name="Normal 4 2 2 4 5 2" xfId="3120" xr:uid="{00000000-0005-0000-0000-0000CA0B0000}"/>
    <cellStyle name="Normal 4 2 2 4 5 2 2" xfId="8442" xr:uid="{7CB29907-82E8-4137-ADD5-5BEDEC87B774}"/>
    <cellStyle name="Normal 4 2 2 4 5 3" xfId="8441" xr:uid="{14C65296-9CC5-49F1-9C7C-765F774CCB8D}"/>
    <cellStyle name="Normal 4 2 2 4 6" xfId="3121" xr:uid="{00000000-0005-0000-0000-0000CB0B0000}"/>
    <cellStyle name="Normal 4 2 2 4 6 2" xfId="3122" xr:uid="{00000000-0005-0000-0000-0000CC0B0000}"/>
    <cellStyle name="Normal 4 2 2 4 6 2 2" xfId="8444" xr:uid="{68A81666-81A9-4BD5-A7D2-F7D5DA1C687C}"/>
    <cellStyle name="Normal 4 2 2 4 6 3" xfId="8443" xr:uid="{6E99E158-E5F9-4E7F-86DF-93F1958B2187}"/>
    <cellStyle name="Normal 4 2 2 4 7" xfId="3123" xr:uid="{00000000-0005-0000-0000-0000CD0B0000}"/>
    <cellStyle name="Normal 4 2 2 4 7 2" xfId="8445" xr:uid="{AD44BEFA-B9D3-4AD7-BB24-9583326736EF}"/>
    <cellStyle name="Normal 4 2 2 4 8" xfId="3124" xr:uid="{00000000-0005-0000-0000-0000CE0B0000}"/>
    <cellStyle name="Normal 4 2 2 4 8 2" xfId="8446" xr:uid="{5E92E120-81F4-4C00-B6E0-6C67A031992A}"/>
    <cellStyle name="Normal 4 2 2 4 9" xfId="5474" xr:uid="{DB34D68C-787B-4B14-B9EE-F832421D2319}"/>
    <cellStyle name="Normal 4 2 2 5" xfId="3125" xr:uid="{00000000-0005-0000-0000-0000CF0B0000}"/>
    <cellStyle name="Normal 4 2 2 5 2" xfId="3126" xr:uid="{00000000-0005-0000-0000-0000D00B0000}"/>
    <cellStyle name="Normal 4 2 2 5 2 2" xfId="3127" xr:uid="{00000000-0005-0000-0000-0000D10B0000}"/>
    <cellStyle name="Normal 4 2 2 5 2 2 2" xfId="8449" xr:uid="{775F11A2-A23A-43C7-84ED-3DF6FE2A0438}"/>
    <cellStyle name="Normal 4 2 2 5 2 3" xfId="3128" xr:uid="{00000000-0005-0000-0000-0000D20B0000}"/>
    <cellStyle name="Normal 4 2 2 5 2 3 2" xfId="8450" xr:uid="{27957B60-B602-46CC-9822-A0297BE8D70C}"/>
    <cellStyle name="Normal 4 2 2 5 2 4" xfId="8448" xr:uid="{FED33DAB-0CF2-4906-BD6E-CC7750E5F60A}"/>
    <cellStyle name="Normal 4 2 2 5 3" xfId="3129" xr:uid="{00000000-0005-0000-0000-0000D30B0000}"/>
    <cellStyle name="Normal 4 2 2 5 3 2" xfId="3130" xr:uid="{00000000-0005-0000-0000-0000D40B0000}"/>
    <cellStyle name="Normal 4 2 2 5 3 2 2" xfId="8452" xr:uid="{50855BCB-2450-48D4-A817-088DAFC5E309}"/>
    <cellStyle name="Normal 4 2 2 5 3 3" xfId="8451" xr:uid="{8FFD2536-A027-4435-AFBD-0A7B5296367F}"/>
    <cellStyle name="Normal 4 2 2 5 4" xfId="3131" xr:uid="{00000000-0005-0000-0000-0000D50B0000}"/>
    <cellStyle name="Normal 4 2 2 5 4 2" xfId="8453" xr:uid="{8F3FF543-639D-41E9-AD08-2CE437201ADF}"/>
    <cellStyle name="Normal 4 2 2 5 5" xfId="8447" xr:uid="{EED4B2B8-FC7E-4004-AF5B-E11CCCFBF64B}"/>
    <cellStyle name="Normal 4 2 2 6" xfId="3132" xr:uid="{00000000-0005-0000-0000-0000D60B0000}"/>
    <cellStyle name="Normal 4 2 2 6 2" xfId="3133" xr:uid="{00000000-0005-0000-0000-0000D70B0000}"/>
    <cellStyle name="Normal 4 2 2 6 2 2" xfId="3134" xr:uid="{00000000-0005-0000-0000-0000D80B0000}"/>
    <cellStyle name="Normal 4 2 2 6 2 2 2" xfId="8456" xr:uid="{A372E067-BA20-4690-8668-AC5D221E1E9E}"/>
    <cellStyle name="Normal 4 2 2 6 2 3" xfId="8455" xr:uid="{FF8C3F43-5B42-4546-8B19-54326C56984C}"/>
    <cellStyle name="Normal 4 2 2 6 3" xfId="3135" xr:uid="{00000000-0005-0000-0000-0000D90B0000}"/>
    <cellStyle name="Normal 4 2 2 6 3 2" xfId="8457" xr:uid="{3C1ADFCB-51B0-4771-907A-D92025115B42}"/>
    <cellStyle name="Normal 4 2 2 6 4" xfId="3136" xr:uid="{00000000-0005-0000-0000-0000DA0B0000}"/>
    <cellStyle name="Normal 4 2 2 6 4 2" xfId="8458" xr:uid="{B2F63E14-88A0-48C5-8FFC-1A3D323E1D56}"/>
    <cellStyle name="Normal 4 2 2 6 5" xfId="8454" xr:uid="{D7A02EDD-3CAE-4395-830F-F572176646EE}"/>
    <cellStyle name="Normal 4 2 2 7" xfId="3137" xr:uid="{00000000-0005-0000-0000-0000DB0B0000}"/>
    <cellStyle name="Normal 4 2 2 7 2" xfId="3138" xr:uid="{00000000-0005-0000-0000-0000DC0B0000}"/>
    <cellStyle name="Normal 4 2 2 7 2 2" xfId="8460" xr:uid="{DE2157BE-F9CD-47B5-BDF9-224379087998}"/>
    <cellStyle name="Normal 4 2 2 7 3" xfId="3139" xr:uid="{00000000-0005-0000-0000-0000DD0B0000}"/>
    <cellStyle name="Normal 4 2 2 7 3 2" xfId="8461" xr:uid="{527E3EF3-4A85-4ADA-B947-5BCCA19E8D77}"/>
    <cellStyle name="Normal 4 2 2 7 4" xfId="8459" xr:uid="{94DC0301-726A-4FA6-AC49-418E6CD58E7C}"/>
    <cellStyle name="Normal 4 2 2 8" xfId="3140" xr:uid="{00000000-0005-0000-0000-0000DE0B0000}"/>
    <cellStyle name="Normal 4 2 2 8 2" xfId="3141" xr:uid="{00000000-0005-0000-0000-0000DF0B0000}"/>
    <cellStyle name="Normal 4 2 2 8 2 2" xfId="8463" xr:uid="{188F075A-2D9E-4B7E-930D-2277FB88882E}"/>
    <cellStyle name="Normal 4 2 2 8 3" xfId="8462" xr:uid="{63654FDC-E5BC-4139-9084-02C3DA598AF6}"/>
    <cellStyle name="Normal 4 2 2 9" xfId="3142" xr:uid="{00000000-0005-0000-0000-0000E00B0000}"/>
    <cellStyle name="Normal 4 2 2 9 2" xfId="3143" xr:uid="{00000000-0005-0000-0000-0000E10B0000}"/>
    <cellStyle name="Normal 4 2 2 9 2 2" xfId="8465" xr:uid="{19A2B8D4-9C2C-4C09-B37A-FF5723FE0179}"/>
    <cellStyle name="Normal 4 2 2 9 3" xfId="8464" xr:uid="{8E808493-6333-4324-8E34-D22CA5F7AA9A}"/>
    <cellStyle name="Normal 4 2 3" xfId="141" xr:uid="{00000000-0005-0000-0000-0000E20B0000}"/>
    <cellStyle name="Normal 4 2 3 10" xfId="3144" xr:uid="{00000000-0005-0000-0000-0000E30B0000}"/>
    <cellStyle name="Normal 4 2 3 10 2" xfId="8466" xr:uid="{56A9C8B2-F0AF-43E3-9807-3BB714A4876A}"/>
    <cellStyle name="Normal 4 2 3 11" xfId="5475" xr:uid="{5A325617-7A4A-434A-A379-230F8028C871}"/>
    <cellStyle name="Normal 4 2 3 2" xfId="142" xr:uid="{00000000-0005-0000-0000-0000E40B0000}"/>
    <cellStyle name="Normal 4 2 3 2 10" xfId="5476" xr:uid="{D1A2999B-5A24-40BF-9CE9-B64344A42CF9}"/>
    <cellStyle name="Normal 4 2 3 2 2" xfId="143" xr:uid="{00000000-0005-0000-0000-0000E50B0000}"/>
    <cellStyle name="Normal 4 2 3 2 2 2" xfId="3145" xr:uid="{00000000-0005-0000-0000-0000E60B0000}"/>
    <cellStyle name="Normal 4 2 3 2 2 2 2" xfId="3146" xr:uid="{00000000-0005-0000-0000-0000E70B0000}"/>
    <cellStyle name="Normal 4 2 3 2 2 2 2 2" xfId="3147" xr:uid="{00000000-0005-0000-0000-0000E80B0000}"/>
    <cellStyle name="Normal 4 2 3 2 2 2 2 2 2" xfId="8469" xr:uid="{D2353820-29EE-47A8-AE6F-C69EAE284E77}"/>
    <cellStyle name="Normal 4 2 3 2 2 2 2 3" xfId="3148" xr:uid="{00000000-0005-0000-0000-0000E90B0000}"/>
    <cellStyle name="Normal 4 2 3 2 2 2 2 3 2" xfId="8470" xr:uid="{BCA1240A-BAC5-40A3-B8A7-E6E97D88D711}"/>
    <cellStyle name="Normal 4 2 3 2 2 2 2 4" xfId="8468" xr:uid="{992DCC5B-39BD-424E-9E59-16B4C5DF8BA8}"/>
    <cellStyle name="Normal 4 2 3 2 2 2 3" xfId="3149" xr:uid="{00000000-0005-0000-0000-0000EA0B0000}"/>
    <cellStyle name="Normal 4 2 3 2 2 2 3 2" xfId="8471" xr:uid="{83B66247-FF9B-44CE-9A90-CF99AE3CE24E}"/>
    <cellStyle name="Normal 4 2 3 2 2 2 4" xfId="3150" xr:uid="{00000000-0005-0000-0000-0000EB0B0000}"/>
    <cellStyle name="Normal 4 2 3 2 2 2 4 2" xfId="8472" xr:uid="{5E1D1C1B-8641-4145-B5E1-4CAD73DB1888}"/>
    <cellStyle name="Normal 4 2 3 2 2 2 5" xfId="8467" xr:uid="{B1450226-564A-4AD7-B266-24DDDA7295F2}"/>
    <cellStyle name="Normal 4 2 3 2 2 3" xfId="3151" xr:uid="{00000000-0005-0000-0000-0000EC0B0000}"/>
    <cellStyle name="Normal 4 2 3 2 2 3 2" xfId="3152" xr:uid="{00000000-0005-0000-0000-0000ED0B0000}"/>
    <cellStyle name="Normal 4 2 3 2 2 3 2 2" xfId="3153" xr:uid="{00000000-0005-0000-0000-0000EE0B0000}"/>
    <cellStyle name="Normal 4 2 3 2 2 3 2 2 2" xfId="8475" xr:uid="{5819053E-2D76-45B5-832F-587265AEB4AD}"/>
    <cellStyle name="Normal 4 2 3 2 2 3 2 3" xfId="8474" xr:uid="{9461FF38-D6B4-4CA8-B0D5-1C20DAFEAC30}"/>
    <cellStyle name="Normal 4 2 3 2 2 3 3" xfId="3154" xr:uid="{00000000-0005-0000-0000-0000EF0B0000}"/>
    <cellStyle name="Normal 4 2 3 2 2 3 3 2" xfId="8476" xr:uid="{0BB49CD8-7047-43F8-8818-33BB416CB772}"/>
    <cellStyle name="Normal 4 2 3 2 2 3 4" xfId="3155" xr:uid="{00000000-0005-0000-0000-0000F00B0000}"/>
    <cellStyle name="Normal 4 2 3 2 2 3 4 2" xfId="8477" xr:uid="{4B0C50BD-DFCE-4F41-9932-E689C923DCCC}"/>
    <cellStyle name="Normal 4 2 3 2 2 3 5" xfId="8473" xr:uid="{18ECAC40-4CD5-4E56-9ABB-06F6DBBDD3E2}"/>
    <cellStyle name="Normal 4 2 3 2 2 4" xfId="3156" xr:uid="{00000000-0005-0000-0000-0000F10B0000}"/>
    <cellStyle name="Normal 4 2 3 2 2 4 2" xfId="3157" xr:uid="{00000000-0005-0000-0000-0000F20B0000}"/>
    <cellStyle name="Normal 4 2 3 2 2 4 2 2" xfId="8479" xr:uid="{5477C5DC-A016-49A7-9AF6-F0E66FD7F8AE}"/>
    <cellStyle name="Normal 4 2 3 2 2 4 3" xfId="8478" xr:uid="{367B417D-6D7E-49EC-9D80-9BBF868305CD}"/>
    <cellStyle name="Normal 4 2 3 2 2 5" xfId="3158" xr:uid="{00000000-0005-0000-0000-0000F30B0000}"/>
    <cellStyle name="Normal 4 2 3 2 2 5 2" xfId="3159" xr:uid="{00000000-0005-0000-0000-0000F40B0000}"/>
    <cellStyle name="Normal 4 2 3 2 2 5 2 2" xfId="8481" xr:uid="{23F24A00-2E89-4733-AAB2-957E3C1F3F03}"/>
    <cellStyle name="Normal 4 2 3 2 2 5 3" xfId="8480" xr:uid="{FDCA3B3B-C607-47F6-B1ED-ACEB0C560C33}"/>
    <cellStyle name="Normal 4 2 3 2 2 6" xfId="3160" xr:uid="{00000000-0005-0000-0000-0000F50B0000}"/>
    <cellStyle name="Normal 4 2 3 2 2 6 2" xfId="3161" xr:uid="{00000000-0005-0000-0000-0000F60B0000}"/>
    <cellStyle name="Normal 4 2 3 2 2 6 2 2" xfId="8483" xr:uid="{C875558B-E742-4702-A2C5-8B5AE99FD82A}"/>
    <cellStyle name="Normal 4 2 3 2 2 6 3" xfId="8482" xr:uid="{1F957EC7-0EE5-417D-ACC0-79CAAEE08781}"/>
    <cellStyle name="Normal 4 2 3 2 2 7" xfId="3162" xr:uid="{00000000-0005-0000-0000-0000F70B0000}"/>
    <cellStyle name="Normal 4 2 3 2 2 7 2" xfId="8484" xr:uid="{04AAFCEB-230C-4735-8AE1-C1DAD777B175}"/>
    <cellStyle name="Normal 4 2 3 2 2 8" xfId="3163" xr:uid="{00000000-0005-0000-0000-0000F80B0000}"/>
    <cellStyle name="Normal 4 2 3 2 2 8 2" xfId="8485" xr:uid="{40FADF0D-9EAA-43BC-8AE2-C0682CA6A6B5}"/>
    <cellStyle name="Normal 4 2 3 2 2 9" xfId="5477" xr:uid="{41910968-59E1-467D-AE92-79E448EB83A1}"/>
    <cellStyle name="Normal 4 2 3 2 3" xfId="3164" xr:uid="{00000000-0005-0000-0000-0000F90B0000}"/>
    <cellStyle name="Normal 4 2 3 2 3 2" xfId="3165" xr:uid="{00000000-0005-0000-0000-0000FA0B0000}"/>
    <cellStyle name="Normal 4 2 3 2 3 2 2" xfId="3166" xr:uid="{00000000-0005-0000-0000-0000FB0B0000}"/>
    <cellStyle name="Normal 4 2 3 2 3 2 2 2" xfId="8488" xr:uid="{5A0078C2-661A-427C-8789-718933328B71}"/>
    <cellStyle name="Normal 4 2 3 2 3 2 3" xfId="3167" xr:uid="{00000000-0005-0000-0000-0000FC0B0000}"/>
    <cellStyle name="Normal 4 2 3 2 3 2 3 2" xfId="8489" xr:uid="{25334A51-EAD2-4764-BD26-144285813554}"/>
    <cellStyle name="Normal 4 2 3 2 3 2 4" xfId="8487" xr:uid="{DE3C6DCD-82DB-4884-8B70-16FFAA8EEDFC}"/>
    <cellStyle name="Normal 4 2 3 2 3 3" xfId="3168" xr:uid="{00000000-0005-0000-0000-0000FD0B0000}"/>
    <cellStyle name="Normal 4 2 3 2 3 3 2" xfId="8490" xr:uid="{D1DFE03A-6FAF-4A66-9AB2-F4ED57828B8A}"/>
    <cellStyle name="Normal 4 2 3 2 3 4" xfId="3169" xr:uid="{00000000-0005-0000-0000-0000FE0B0000}"/>
    <cellStyle name="Normal 4 2 3 2 3 4 2" xfId="8491" xr:uid="{2F7BCE83-E40A-4C7F-8D02-3AFC65B3C8DD}"/>
    <cellStyle name="Normal 4 2 3 2 3 5" xfId="8486" xr:uid="{EE590196-5964-409A-A482-DE20C00633E1}"/>
    <cellStyle name="Normal 4 2 3 2 4" xfId="3170" xr:uid="{00000000-0005-0000-0000-0000FF0B0000}"/>
    <cellStyle name="Normal 4 2 3 2 4 2" xfId="3171" xr:uid="{00000000-0005-0000-0000-0000000C0000}"/>
    <cellStyle name="Normal 4 2 3 2 4 2 2" xfId="3172" xr:uid="{00000000-0005-0000-0000-0000010C0000}"/>
    <cellStyle name="Normal 4 2 3 2 4 2 2 2" xfId="8494" xr:uid="{57D7E150-D9E9-415A-BE1A-9698F298E766}"/>
    <cellStyle name="Normal 4 2 3 2 4 2 3" xfId="8493" xr:uid="{3DB39C1D-0C1E-4488-A4B2-0FD98FE3CF59}"/>
    <cellStyle name="Normal 4 2 3 2 4 3" xfId="3173" xr:uid="{00000000-0005-0000-0000-0000020C0000}"/>
    <cellStyle name="Normal 4 2 3 2 4 3 2" xfId="8495" xr:uid="{93D7F080-18E6-4F99-B4F5-2B6472E57976}"/>
    <cellStyle name="Normal 4 2 3 2 4 4" xfId="3174" xr:uid="{00000000-0005-0000-0000-0000030C0000}"/>
    <cellStyle name="Normal 4 2 3 2 4 4 2" xfId="8496" xr:uid="{DD5D13E6-5207-464E-B478-0FCA11B845A8}"/>
    <cellStyle name="Normal 4 2 3 2 4 5" xfId="8492" xr:uid="{2FCE894C-87B3-48CA-B3B9-FECF31F11F5D}"/>
    <cellStyle name="Normal 4 2 3 2 5" xfId="3175" xr:uid="{00000000-0005-0000-0000-0000040C0000}"/>
    <cellStyle name="Normal 4 2 3 2 5 2" xfId="3176" xr:uid="{00000000-0005-0000-0000-0000050C0000}"/>
    <cellStyle name="Normal 4 2 3 2 5 2 2" xfId="8498" xr:uid="{2D2ACD4A-F835-404E-B2B7-BB6EE2560621}"/>
    <cellStyle name="Normal 4 2 3 2 5 3" xfId="8497" xr:uid="{29F386F2-063B-4747-9FEF-3096625DF47B}"/>
    <cellStyle name="Normal 4 2 3 2 6" xfId="3177" xr:uid="{00000000-0005-0000-0000-0000060C0000}"/>
    <cellStyle name="Normal 4 2 3 2 6 2" xfId="3178" xr:uid="{00000000-0005-0000-0000-0000070C0000}"/>
    <cellStyle name="Normal 4 2 3 2 6 2 2" xfId="8500" xr:uid="{EE6B1BEB-7E1B-48D1-AA10-C0DFDBD4E486}"/>
    <cellStyle name="Normal 4 2 3 2 6 3" xfId="8499" xr:uid="{07B04CB5-1475-4F7F-90D3-EBEF8DFAC1FF}"/>
    <cellStyle name="Normal 4 2 3 2 7" xfId="3179" xr:uid="{00000000-0005-0000-0000-0000080C0000}"/>
    <cellStyle name="Normal 4 2 3 2 7 2" xfId="3180" xr:uid="{00000000-0005-0000-0000-0000090C0000}"/>
    <cellStyle name="Normal 4 2 3 2 7 2 2" xfId="8502" xr:uid="{5CC78B5E-051F-4D0D-A5B6-5D0837C63F65}"/>
    <cellStyle name="Normal 4 2 3 2 7 3" xfId="8501" xr:uid="{EA11896C-49A5-49EB-81DC-1E934AB3A182}"/>
    <cellStyle name="Normal 4 2 3 2 8" xfId="3181" xr:uid="{00000000-0005-0000-0000-00000A0C0000}"/>
    <cellStyle name="Normal 4 2 3 2 8 2" xfId="8503" xr:uid="{2851ED87-E39B-4487-A7CE-188034E8E66C}"/>
    <cellStyle name="Normal 4 2 3 2 9" xfId="3182" xr:uid="{00000000-0005-0000-0000-00000B0C0000}"/>
    <cellStyle name="Normal 4 2 3 2 9 2" xfId="8504" xr:uid="{7736801B-AFFE-4BAC-9090-4F66C3F1D7E4}"/>
    <cellStyle name="Normal 4 2 3 3" xfId="144" xr:uid="{00000000-0005-0000-0000-00000C0C0000}"/>
    <cellStyle name="Normal 4 2 3 3 2" xfId="3183" xr:uid="{00000000-0005-0000-0000-00000D0C0000}"/>
    <cellStyle name="Normal 4 2 3 3 2 2" xfId="3184" xr:uid="{00000000-0005-0000-0000-00000E0C0000}"/>
    <cellStyle name="Normal 4 2 3 3 2 2 2" xfId="3185" xr:uid="{00000000-0005-0000-0000-00000F0C0000}"/>
    <cellStyle name="Normal 4 2 3 3 2 2 2 2" xfId="8507" xr:uid="{695B976D-435C-449E-AAF2-3F7F89956936}"/>
    <cellStyle name="Normal 4 2 3 3 2 2 3" xfId="3186" xr:uid="{00000000-0005-0000-0000-0000100C0000}"/>
    <cellStyle name="Normal 4 2 3 3 2 2 3 2" xfId="8508" xr:uid="{AA16ECAD-C564-4C89-8C96-B0ED106F1F42}"/>
    <cellStyle name="Normal 4 2 3 3 2 2 4" xfId="8506" xr:uid="{856AEAC1-C398-4994-B4DA-E86AB3999229}"/>
    <cellStyle name="Normal 4 2 3 3 2 3" xfId="3187" xr:uid="{00000000-0005-0000-0000-0000110C0000}"/>
    <cellStyle name="Normal 4 2 3 3 2 3 2" xfId="8509" xr:uid="{47F286C9-AC06-4766-B148-EC23215C6C92}"/>
    <cellStyle name="Normal 4 2 3 3 2 4" xfId="3188" xr:uid="{00000000-0005-0000-0000-0000120C0000}"/>
    <cellStyle name="Normal 4 2 3 3 2 4 2" xfId="8510" xr:uid="{C97DF2A4-7D0E-4FF1-AA92-488DC156026C}"/>
    <cellStyle name="Normal 4 2 3 3 2 5" xfId="8505" xr:uid="{CBE6069E-8D35-42F0-B2FC-42CACB156AD4}"/>
    <cellStyle name="Normal 4 2 3 3 3" xfId="3189" xr:uid="{00000000-0005-0000-0000-0000130C0000}"/>
    <cellStyle name="Normal 4 2 3 3 3 2" xfId="3190" xr:uid="{00000000-0005-0000-0000-0000140C0000}"/>
    <cellStyle name="Normal 4 2 3 3 3 2 2" xfId="3191" xr:uid="{00000000-0005-0000-0000-0000150C0000}"/>
    <cellStyle name="Normal 4 2 3 3 3 2 2 2" xfId="8513" xr:uid="{4042A6C0-ACB8-45CE-B081-72293FCB8B0E}"/>
    <cellStyle name="Normal 4 2 3 3 3 2 3" xfId="8512" xr:uid="{45A1EE2A-29BB-48BC-9EDB-5597BE994510}"/>
    <cellStyle name="Normal 4 2 3 3 3 3" xfId="3192" xr:uid="{00000000-0005-0000-0000-0000160C0000}"/>
    <cellStyle name="Normal 4 2 3 3 3 3 2" xfId="8514" xr:uid="{1F5D98CD-91F5-49E2-9E37-8BC86627CFA1}"/>
    <cellStyle name="Normal 4 2 3 3 3 4" xfId="3193" xr:uid="{00000000-0005-0000-0000-0000170C0000}"/>
    <cellStyle name="Normal 4 2 3 3 3 4 2" xfId="8515" xr:uid="{A03AE202-980D-4A3F-92EE-8A59F8009ECE}"/>
    <cellStyle name="Normal 4 2 3 3 3 5" xfId="8511" xr:uid="{D55CAFD2-1F45-44C3-9893-A9BC57813D81}"/>
    <cellStyle name="Normal 4 2 3 3 4" xfId="3194" xr:uid="{00000000-0005-0000-0000-0000180C0000}"/>
    <cellStyle name="Normal 4 2 3 3 4 2" xfId="3195" xr:uid="{00000000-0005-0000-0000-0000190C0000}"/>
    <cellStyle name="Normal 4 2 3 3 4 2 2" xfId="8517" xr:uid="{CD31233E-6C7F-4801-B417-40D1AFA229CA}"/>
    <cellStyle name="Normal 4 2 3 3 4 3" xfId="8516" xr:uid="{C3A013EF-CE39-4A8F-91CE-6C9A1FEF3609}"/>
    <cellStyle name="Normal 4 2 3 3 5" xfId="3196" xr:uid="{00000000-0005-0000-0000-00001A0C0000}"/>
    <cellStyle name="Normal 4 2 3 3 5 2" xfId="3197" xr:uid="{00000000-0005-0000-0000-00001B0C0000}"/>
    <cellStyle name="Normal 4 2 3 3 5 2 2" xfId="8519" xr:uid="{EFCFD531-4282-4FDB-827D-69A18630C8F6}"/>
    <cellStyle name="Normal 4 2 3 3 5 3" xfId="8518" xr:uid="{22397FC6-4C2A-4B13-AEDC-58866284DD3D}"/>
    <cellStyle name="Normal 4 2 3 3 6" xfId="3198" xr:uid="{00000000-0005-0000-0000-00001C0C0000}"/>
    <cellStyle name="Normal 4 2 3 3 6 2" xfId="3199" xr:uid="{00000000-0005-0000-0000-00001D0C0000}"/>
    <cellStyle name="Normal 4 2 3 3 6 2 2" xfId="8521" xr:uid="{D4382EF3-4C49-404C-961D-55C12C631C3C}"/>
    <cellStyle name="Normal 4 2 3 3 6 3" xfId="8520" xr:uid="{01021A11-D758-4E97-B787-D0884D4FAD97}"/>
    <cellStyle name="Normal 4 2 3 3 7" xfId="3200" xr:uid="{00000000-0005-0000-0000-00001E0C0000}"/>
    <cellStyle name="Normal 4 2 3 3 7 2" xfId="8522" xr:uid="{519C2E4B-B4CE-4329-84F8-2EE434522D23}"/>
    <cellStyle name="Normal 4 2 3 3 8" xfId="3201" xr:uid="{00000000-0005-0000-0000-00001F0C0000}"/>
    <cellStyle name="Normal 4 2 3 3 8 2" xfId="8523" xr:uid="{8A2F9B07-10E3-4B41-B6A7-014ACC6FCC26}"/>
    <cellStyle name="Normal 4 2 3 3 9" xfId="5478" xr:uid="{3CF969D5-D7E9-44A9-AB14-33287CBDF831}"/>
    <cellStyle name="Normal 4 2 3 4" xfId="3202" xr:uid="{00000000-0005-0000-0000-0000200C0000}"/>
    <cellStyle name="Normal 4 2 3 4 2" xfId="3203" xr:uid="{00000000-0005-0000-0000-0000210C0000}"/>
    <cellStyle name="Normal 4 2 3 4 2 2" xfId="3204" xr:uid="{00000000-0005-0000-0000-0000220C0000}"/>
    <cellStyle name="Normal 4 2 3 4 2 2 2" xfId="8526" xr:uid="{6CF6522A-4812-43CD-8883-BE5E0AAAE8B5}"/>
    <cellStyle name="Normal 4 2 3 4 2 3" xfId="3205" xr:uid="{00000000-0005-0000-0000-0000230C0000}"/>
    <cellStyle name="Normal 4 2 3 4 2 3 2" xfId="8527" xr:uid="{772C9E6B-1672-4DBC-996A-F2B0EF9DAA05}"/>
    <cellStyle name="Normal 4 2 3 4 2 4" xfId="8525" xr:uid="{23587BAD-C01C-4287-97E3-07360D0797FB}"/>
    <cellStyle name="Normal 4 2 3 4 3" xfId="3206" xr:uid="{00000000-0005-0000-0000-0000240C0000}"/>
    <cellStyle name="Normal 4 2 3 4 3 2" xfId="8528" xr:uid="{0E7BD426-4AFD-4C9D-8CF2-BB8948FC09DD}"/>
    <cellStyle name="Normal 4 2 3 4 4" xfId="3207" xr:uid="{00000000-0005-0000-0000-0000250C0000}"/>
    <cellStyle name="Normal 4 2 3 4 4 2" xfId="8529" xr:uid="{0ED97236-652B-409D-924B-43AF27F5948D}"/>
    <cellStyle name="Normal 4 2 3 4 5" xfId="8524" xr:uid="{65B653B3-A42B-4F00-8A9D-17F629EDE888}"/>
    <cellStyle name="Normal 4 2 3 5" xfId="3208" xr:uid="{00000000-0005-0000-0000-0000260C0000}"/>
    <cellStyle name="Normal 4 2 3 5 2" xfId="3209" xr:uid="{00000000-0005-0000-0000-0000270C0000}"/>
    <cellStyle name="Normal 4 2 3 5 2 2" xfId="3210" xr:uid="{00000000-0005-0000-0000-0000280C0000}"/>
    <cellStyle name="Normal 4 2 3 5 2 2 2" xfId="8532" xr:uid="{838A68CB-91C4-48A2-823E-4C2B4B270254}"/>
    <cellStyle name="Normal 4 2 3 5 2 3" xfId="8531" xr:uid="{C8D1301A-C1C5-4829-BDD5-C3E0BBDF6C09}"/>
    <cellStyle name="Normal 4 2 3 5 3" xfId="3211" xr:uid="{00000000-0005-0000-0000-0000290C0000}"/>
    <cellStyle name="Normal 4 2 3 5 3 2" xfId="8533" xr:uid="{DBA886C4-9A4F-4C61-95D3-10622826C032}"/>
    <cellStyle name="Normal 4 2 3 5 4" xfId="3212" xr:uid="{00000000-0005-0000-0000-00002A0C0000}"/>
    <cellStyle name="Normal 4 2 3 5 4 2" xfId="8534" xr:uid="{4D7F05C4-928E-42CD-A17B-96692AD4D7AB}"/>
    <cellStyle name="Normal 4 2 3 5 5" xfId="8530" xr:uid="{C1A73CED-F287-4196-BD02-0112DEF84EAB}"/>
    <cellStyle name="Normal 4 2 3 6" xfId="3213" xr:uid="{00000000-0005-0000-0000-00002B0C0000}"/>
    <cellStyle name="Normal 4 2 3 6 2" xfId="3214" xr:uid="{00000000-0005-0000-0000-00002C0C0000}"/>
    <cellStyle name="Normal 4 2 3 6 2 2" xfId="8536" xr:uid="{49FB3BB2-58CD-4D76-A8EE-6628E55A73AF}"/>
    <cellStyle name="Normal 4 2 3 6 3" xfId="8535" xr:uid="{B2EBA7ED-6855-43FE-96F8-575381F5D762}"/>
    <cellStyle name="Normal 4 2 3 7" xfId="3215" xr:uid="{00000000-0005-0000-0000-00002D0C0000}"/>
    <cellStyle name="Normal 4 2 3 7 2" xfId="3216" xr:uid="{00000000-0005-0000-0000-00002E0C0000}"/>
    <cellStyle name="Normal 4 2 3 7 2 2" xfId="8538" xr:uid="{56CDE436-1FDB-43D3-B58A-38EE017DEE15}"/>
    <cellStyle name="Normal 4 2 3 7 3" xfId="8537" xr:uid="{5048FF70-546A-4624-A397-293B7F0114D5}"/>
    <cellStyle name="Normal 4 2 3 8" xfId="3217" xr:uid="{00000000-0005-0000-0000-00002F0C0000}"/>
    <cellStyle name="Normal 4 2 3 8 2" xfId="3218" xr:uid="{00000000-0005-0000-0000-0000300C0000}"/>
    <cellStyle name="Normal 4 2 3 8 2 2" xfId="8540" xr:uid="{6518DA54-55B6-4DD4-AF87-CFE0F94A96A9}"/>
    <cellStyle name="Normal 4 2 3 8 3" xfId="8539" xr:uid="{6A933AC2-36A5-4B0D-B683-C2BD54AC53AF}"/>
    <cellStyle name="Normal 4 2 3 9" xfId="3219" xr:uid="{00000000-0005-0000-0000-0000310C0000}"/>
    <cellStyle name="Normal 4 2 3 9 2" xfId="8541" xr:uid="{50A9B610-547A-4DBE-8E3E-1845C27C748B}"/>
    <cellStyle name="Normal 4 2 4" xfId="145" xr:uid="{00000000-0005-0000-0000-0000320C0000}"/>
    <cellStyle name="Normal 4 2 4 10" xfId="5479" xr:uid="{CAA343D5-A307-4EC1-8EA8-4B85CCDFA265}"/>
    <cellStyle name="Normal 4 2 4 2" xfId="146" xr:uid="{00000000-0005-0000-0000-0000330C0000}"/>
    <cellStyle name="Normal 4 2 4 2 2" xfId="3220" xr:uid="{00000000-0005-0000-0000-0000340C0000}"/>
    <cellStyle name="Normal 4 2 4 2 2 2" xfId="3221" xr:uid="{00000000-0005-0000-0000-0000350C0000}"/>
    <cellStyle name="Normal 4 2 4 2 2 2 2" xfId="3222" xr:uid="{00000000-0005-0000-0000-0000360C0000}"/>
    <cellStyle name="Normal 4 2 4 2 2 2 2 2" xfId="8544" xr:uid="{47B44A4C-2D60-482D-B2C8-F2A147724EEA}"/>
    <cellStyle name="Normal 4 2 4 2 2 2 3" xfId="3223" xr:uid="{00000000-0005-0000-0000-0000370C0000}"/>
    <cellStyle name="Normal 4 2 4 2 2 2 3 2" xfId="8545" xr:uid="{E0ECB771-8D4A-42E9-ABA8-DA2B817EF827}"/>
    <cellStyle name="Normal 4 2 4 2 2 2 4" xfId="8543" xr:uid="{0549CC3F-B28D-4D13-8276-21309B498E9A}"/>
    <cellStyle name="Normal 4 2 4 2 2 3" xfId="3224" xr:uid="{00000000-0005-0000-0000-0000380C0000}"/>
    <cellStyle name="Normal 4 2 4 2 2 3 2" xfId="8546" xr:uid="{98E65AE4-36CF-48B9-9F3A-4240C90AECA5}"/>
    <cellStyle name="Normal 4 2 4 2 2 4" xfId="3225" xr:uid="{00000000-0005-0000-0000-0000390C0000}"/>
    <cellStyle name="Normal 4 2 4 2 2 4 2" xfId="8547" xr:uid="{5FD0AED6-7FD4-4005-A4D4-CE2B5E33FB1A}"/>
    <cellStyle name="Normal 4 2 4 2 2 5" xfId="8542" xr:uid="{E1AEE508-B0AA-4A96-8A01-4EC28225234A}"/>
    <cellStyle name="Normal 4 2 4 2 3" xfId="3226" xr:uid="{00000000-0005-0000-0000-00003A0C0000}"/>
    <cellStyle name="Normal 4 2 4 2 3 2" xfId="3227" xr:uid="{00000000-0005-0000-0000-00003B0C0000}"/>
    <cellStyle name="Normal 4 2 4 2 3 2 2" xfId="3228" xr:uid="{00000000-0005-0000-0000-00003C0C0000}"/>
    <cellStyle name="Normal 4 2 4 2 3 2 2 2" xfId="8550" xr:uid="{754E2B47-7A2F-4099-9018-F8CC1E33535C}"/>
    <cellStyle name="Normal 4 2 4 2 3 2 3" xfId="8549" xr:uid="{FDAD0675-DE6E-485F-B4E0-5F2463C98862}"/>
    <cellStyle name="Normal 4 2 4 2 3 3" xfId="3229" xr:uid="{00000000-0005-0000-0000-00003D0C0000}"/>
    <cellStyle name="Normal 4 2 4 2 3 3 2" xfId="8551" xr:uid="{7E7EF5B8-E002-4D52-88F3-FE465ABC9776}"/>
    <cellStyle name="Normal 4 2 4 2 3 4" xfId="3230" xr:uid="{00000000-0005-0000-0000-00003E0C0000}"/>
    <cellStyle name="Normal 4 2 4 2 3 4 2" xfId="8552" xr:uid="{5664E89C-6D11-4D5D-9144-EE4F744210F9}"/>
    <cellStyle name="Normal 4 2 4 2 3 5" xfId="8548" xr:uid="{9BFBCE98-1FC4-492F-8E31-A27DD61693A2}"/>
    <cellStyle name="Normal 4 2 4 2 4" xfId="3231" xr:uid="{00000000-0005-0000-0000-00003F0C0000}"/>
    <cellStyle name="Normal 4 2 4 2 4 2" xfId="3232" xr:uid="{00000000-0005-0000-0000-0000400C0000}"/>
    <cellStyle name="Normal 4 2 4 2 4 2 2" xfId="8554" xr:uid="{8472AB78-0EC3-4361-8C84-B3088DB2CEBE}"/>
    <cellStyle name="Normal 4 2 4 2 4 3" xfId="8553" xr:uid="{F1E8DB27-ACA6-4182-95FD-9A877BF65E00}"/>
    <cellStyle name="Normal 4 2 4 2 5" xfId="3233" xr:uid="{00000000-0005-0000-0000-0000410C0000}"/>
    <cellStyle name="Normal 4 2 4 2 5 2" xfId="3234" xr:uid="{00000000-0005-0000-0000-0000420C0000}"/>
    <cellStyle name="Normal 4 2 4 2 5 2 2" xfId="8556" xr:uid="{68992008-C239-4FC7-B9AB-D472E4F40D6C}"/>
    <cellStyle name="Normal 4 2 4 2 5 3" xfId="8555" xr:uid="{A327D456-D493-470A-B7F9-E30328D0DECE}"/>
    <cellStyle name="Normal 4 2 4 2 6" xfId="3235" xr:uid="{00000000-0005-0000-0000-0000430C0000}"/>
    <cellStyle name="Normal 4 2 4 2 6 2" xfId="3236" xr:uid="{00000000-0005-0000-0000-0000440C0000}"/>
    <cellStyle name="Normal 4 2 4 2 6 2 2" xfId="8558" xr:uid="{D2C062AA-56C0-4D97-8154-A8F3DBF5F38B}"/>
    <cellStyle name="Normal 4 2 4 2 6 3" xfId="8557" xr:uid="{3C1D299D-30AC-49CC-9288-FB454F8C8BAF}"/>
    <cellStyle name="Normal 4 2 4 2 7" xfId="3237" xr:uid="{00000000-0005-0000-0000-0000450C0000}"/>
    <cellStyle name="Normal 4 2 4 2 7 2" xfId="8559" xr:uid="{6EF986E7-5764-4C43-B280-ED48030A5DDF}"/>
    <cellStyle name="Normal 4 2 4 2 8" xfId="3238" xr:uid="{00000000-0005-0000-0000-0000460C0000}"/>
    <cellStyle name="Normal 4 2 4 2 8 2" xfId="8560" xr:uid="{65D6D0F9-8A6D-446D-B6DD-6B343601E2B8}"/>
    <cellStyle name="Normal 4 2 4 2 9" xfId="5480" xr:uid="{6CAC7E88-899D-4B62-BFB0-E16EFE27FA92}"/>
    <cellStyle name="Normal 4 2 4 3" xfId="3239" xr:uid="{00000000-0005-0000-0000-0000470C0000}"/>
    <cellStyle name="Normal 4 2 4 3 2" xfId="3240" xr:uid="{00000000-0005-0000-0000-0000480C0000}"/>
    <cellStyle name="Normal 4 2 4 3 2 2" xfId="3241" xr:uid="{00000000-0005-0000-0000-0000490C0000}"/>
    <cellStyle name="Normal 4 2 4 3 2 2 2" xfId="8563" xr:uid="{7A948C39-1374-45EA-81A5-7079E937AD30}"/>
    <cellStyle name="Normal 4 2 4 3 2 3" xfId="3242" xr:uid="{00000000-0005-0000-0000-00004A0C0000}"/>
    <cellStyle name="Normal 4 2 4 3 2 3 2" xfId="8564" xr:uid="{500FF228-6CDC-495E-8D0B-F1EB2A143224}"/>
    <cellStyle name="Normal 4 2 4 3 2 4" xfId="8562" xr:uid="{655AC4FC-69C8-40CE-999A-DF41166791B6}"/>
    <cellStyle name="Normal 4 2 4 3 3" xfId="3243" xr:uid="{00000000-0005-0000-0000-00004B0C0000}"/>
    <cellStyle name="Normal 4 2 4 3 3 2" xfId="8565" xr:uid="{A3776603-1813-48FE-A06A-66A88F88B49A}"/>
    <cellStyle name="Normal 4 2 4 3 4" xfId="3244" xr:uid="{00000000-0005-0000-0000-00004C0C0000}"/>
    <cellStyle name="Normal 4 2 4 3 4 2" xfId="8566" xr:uid="{58AFD3DA-1B66-4450-AF8F-50E77497B4D2}"/>
    <cellStyle name="Normal 4 2 4 3 5" xfId="8561" xr:uid="{11DAE9A6-6C54-43B7-A2E2-5BC9CC8A4591}"/>
    <cellStyle name="Normal 4 2 4 4" xfId="3245" xr:uid="{00000000-0005-0000-0000-00004D0C0000}"/>
    <cellStyle name="Normal 4 2 4 4 2" xfId="3246" xr:uid="{00000000-0005-0000-0000-00004E0C0000}"/>
    <cellStyle name="Normal 4 2 4 4 2 2" xfId="3247" xr:uid="{00000000-0005-0000-0000-00004F0C0000}"/>
    <cellStyle name="Normal 4 2 4 4 2 2 2" xfId="8569" xr:uid="{CA853D84-86EF-4DBF-8404-CFE30A835A91}"/>
    <cellStyle name="Normal 4 2 4 4 2 3" xfId="8568" xr:uid="{A127FACA-BDF5-4BF8-A474-1113C2426CF3}"/>
    <cellStyle name="Normal 4 2 4 4 3" xfId="3248" xr:uid="{00000000-0005-0000-0000-0000500C0000}"/>
    <cellStyle name="Normal 4 2 4 4 3 2" xfId="8570" xr:uid="{634A602C-DB63-4E9F-AE2E-1E770FD2CD08}"/>
    <cellStyle name="Normal 4 2 4 4 4" xfId="3249" xr:uid="{00000000-0005-0000-0000-0000510C0000}"/>
    <cellStyle name="Normal 4 2 4 4 4 2" xfId="8571" xr:uid="{09E0B845-843D-4501-9D9E-A6AC8B81BF9D}"/>
    <cellStyle name="Normal 4 2 4 4 5" xfId="8567" xr:uid="{13B9C89F-E940-4FD9-824C-ACD8A15EF735}"/>
    <cellStyle name="Normal 4 2 4 5" xfId="3250" xr:uid="{00000000-0005-0000-0000-0000520C0000}"/>
    <cellStyle name="Normal 4 2 4 5 2" xfId="3251" xr:uid="{00000000-0005-0000-0000-0000530C0000}"/>
    <cellStyle name="Normal 4 2 4 5 2 2" xfId="8573" xr:uid="{58CE77BE-D69A-4C9B-9A45-17245F685D48}"/>
    <cellStyle name="Normal 4 2 4 5 3" xfId="8572" xr:uid="{37C03A97-7F6F-4086-B01A-1E8FFAFF073E}"/>
    <cellStyle name="Normal 4 2 4 6" xfId="3252" xr:uid="{00000000-0005-0000-0000-0000540C0000}"/>
    <cellStyle name="Normal 4 2 4 6 2" xfId="3253" xr:uid="{00000000-0005-0000-0000-0000550C0000}"/>
    <cellStyle name="Normal 4 2 4 6 2 2" xfId="8575" xr:uid="{84D8DE1D-61C8-4336-986F-9622A1830062}"/>
    <cellStyle name="Normal 4 2 4 6 3" xfId="8574" xr:uid="{E577AD1C-F3D1-44EA-AB12-EE0A900630AC}"/>
    <cellStyle name="Normal 4 2 4 7" xfId="3254" xr:uid="{00000000-0005-0000-0000-0000560C0000}"/>
    <cellStyle name="Normal 4 2 4 7 2" xfId="3255" xr:uid="{00000000-0005-0000-0000-0000570C0000}"/>
    <cellStyle name="Normal 4 2 4 7 2 2" xfId="8577" xr:uid="{CF5B673F-B967-462F-9245-40CC5130F9F7}"/>
    <cellStyle name="Normal 4 2 4 7 3" xfId="8576" xr:uid="{EF5D6B81-F51C-4775-92C0-34F24C25F9AD}"/>
    <cellStyle name="Normal 4 2 4 8" xfId="3256" xr:uid="{00000000-0005-0000-0000-0000580C0000}"/>
    <cellStyle name="Normal 4 2 4 8 2" xfId="8578" xr:uid="{67DFA73B-54E9-4D0C-A5D2-40DE6F667138}"/>
    <cellStyle name="Normal 4 2 4 9" xfId="3257" xr:uid="{00000000-0005-0000-0000-0000590C0000}"/>
    <cellStyle name="Normal 4 2 4 9 2" xfId="8579" xr:uid="{30A69806-72A9-49FA-A291-5CAAA32E6979}"/>
    <cellStyle name="Normal 4 2 5" xfId="147" xr:uid="{00000000-0005-0000-0000-00005A0C0000}"/>
    <cellStyle name="Normal 4 2 5 10" xfId="5481" xr:uid="{A2102C02-090E-4B5D-9958-9CB1F5032ED8}"/>
    <cellStyle name="Normal 4 2 5 2" xfId="3258" xr:uid="{00000000-0005-0000-0000-00005B0C0000}"/>
    <cellStyle name="Normal 4 2 5 2 2" xfId="3259" xr:uid="{00000000-0005-0000-0000-00005C0C0000}"/>
    <cellStyle name="Normal 4 2 5 2 2 2" xfId="3260" xr:uid="{00000000-0005-0000-0000-00005D0C0000}"/>
    <cellStyle name="Normal 4 2 5 2 2 2 2" xfId="3261" xr:uid="{00000000-0005-0000-0000-00005E0C0000}"/>
    <cellStyle name="Normal 4 2 5 2 2 2 2 2" xfId="8583" xr:uid="{1F0440F2-3736-426F-90AF-FA60FEDF135C}"/>
    <cellStyle name="Normal 4 2 5 2 2 2 3" xfId="3262" xr:uid="{00000000-0005-0000-0000-00005F0C0000}"/>
    <cellStyle name="Normal 4 2 5 2 2 2 3 2" xfId="8584" xr:uid="{27D69CE3-6FA1-4B7E-8A8D-A47528132C86}"/>
    <cellStyle name="Normal 4 2 5 2 2 2 4" xfId="8582" xr:uid="{DDDE3443-C3C1-47D9-A401-C25E518C88E9}"/>
    <cellStyle name="Normal 4 2 5 2 2 3" xfId="3263" xr:uid="{00000000-0005-0000-0000-0000600C0000}"/>
    <cellStyle name="Normal 4 2 5 2 2 3 2" xfId="8585" xr:uid="{AF816561-F975-4C9F-859D-BAB65DCBAFB3}"/>
    <cellStyle name="Normal 4 2 5 2 2 4" xfId="3264" xr:uid="{00000000-0005-0000-0000-0000610C0000}"/>
    <cellStyle name="Normal 4 2 5 2 2 4 2" xfId="8586" xr:uid="{24AB325F-3256-40E5-9192-28E7137D58F3}"/>
    <cellStyle name="Normal 4 2 5 2 2 5" xfId="8581" xr:uid="{06E577F2-C6DD-42BD-A884-A57DDAF18AC4}"/>
    <cellStyle name="Normal 4 2 5 2 3" xfId="3265" xr:uid="{00000000-0005-0000-0000-0000620C0000}"/>
    <cellStyle name="Normal 4 2 5 2 3 2" xfId="3266" xr:uid="{00000000-0005-0000-0000-0000630C0000}"/>
    <cellStyle name="Normal 4 2 5 2 3 2 2" xfId="3267" xr:uid="{00000000-0005-0000-0000-0000640C0000}"/>
    <cellStyle name="Normal 4 2 5 2 3 2 2 2" xfId="8589" xr:uid="{A3860897-DF14-4B46-803F-3D18EC7ED466}"/>
    <cellStyle name="Normal 4 2 5 2 3 2 3" xfId="8588" xr:uid="{8E79717F-3743-4660-8E08-82177004FB31}"/>
    <cellStyle name="Normal 4 2 5 2 3 3" xfId="3268" xr:uid="{00000000-0005-0000-0000-0000650C0000}"/>
    <cellStyle name="Normal 4 2 5 2 3 3 2" xfId="8590" xr:uid="{5D3DAD2F-79B6-4FEA-882D-9F3218F85DAB}"/>
    <cellStyle name="Normal 4 2 5 2 3 4" xfId="3269" xr:uid="{00000000-0005-0000-0000-0000660C0000}"/>
    <cellStyle name="Normal 4 2 5 2 3 4 2" xfId="8591" xr:uid="{7F8D213D-2292-4AF6-8DAA-C1BE25D23EC3}"/>
    <cellStyle name="Normal 4 2 5 2 3 5" xfId="8587" xr:uid="{E4470739-239C-4428-BC27-2990837EE382}"/>
    <cellStyle name="Normal 4 2 5 2 4" xfId="3270" xr:uid="{00000000-0005-0000-0000-0000670C0000}"/>
    <cellStyle name="Normal 4 2 5 2 4 2" xfId="3271" xr:uid="{00000000-0005-0000-0000-0000680C0000}"/>
    <cellStyle name="Normal 4 2 5 2 4 2 2" xfId="8593" xr:uid="{F0F2ABA2-BF2D-43AD-9698-8E32BE7DCE0D}"/>
    <cellStyle name="Normal 4 2 5 2 4 3" xfId="8592" xr:uid="{7379F612-B67D-4F26-8947-D3158007F9F2}"/>
    <cellStyle name="Normal 4 2 5 2 5" xfId="3272" xr:uid="{00000000-0005-0000-0000-0000690C0000}"/>
    <cellStyle name="Normal 4 2 5 2 5 2" xfId="8594" xr:uid="{C15A0C48-0F12-4032-95B0-AC658A1AFAB5}"/>
    <cellStyle name="Normal 4 2 5 2 6" xfId="3273" xr:uid="{00000000-0005-0000-0000-00006A0C0000}"/>
    <cellStyle name="Normal 4 2 5 2 6 2" xfId="8595" xr:uid="{6E49D5AD-5FD9-4CC3-9C32-937F16052016}"/>
    <cellStyle name="Normal 4 2 5 2 7" xfId="8580" xr:uid="{C5C1E445-DA17-4222-B1DD-3B16E65E8D2C}"/>
    <cellStyle name="Normal 4 2 5 3" xfId="3274" xr:uid="{00000000-0005-0000-0000-00006B0C0000}"/>
    <cellStyle name="Normal 4 2 5 3 2" xfId="3275" xr:uid="{00000000-0005-0000-0000-00006C0C0000}"/>
    <cellStyle name="Normal 4 2 5 3 2 2" xfId="3276" xr:uid="{00000000-0005-0000-0000-00006D0C0000}"/>
    <cellStyle name="Normal 4 2 5 3 2 2 2" xfId="8598" xr:uid="{4FE77680-572B-42A0-A904-2D7C371DB0F9}"/>
    <cellStyle name="Normal 4 2 5 3 2 3" xfId="3277" xr:uid="{00000000-0005-0000-0000-00006E0C0000}"/>
    <cellStyle name="Normal 4 2 5 3 2 3 2" xfId="8599" xr:uid="{5CD63B00-74D7-4FE1-850E-5959FF698FAE}"/>
    <cellStyle name="Normal 4 2 5 3 2 4" xfId="8597" xr:uid="{CD1662D5-048F-4DAC-85B5-D65534DCB15F}"/>
    <cellStyle name="Normal 4 2 5 3 3" xfId="3278" xr:uid="{00000000-0005-0000-0000-00006F0C0000}"/>
    <cellStyle name="Normal 4 2 5 3 3 2" xfId="8600" xr:uid="{679FA8C1-6113-4881-B76B-428D1C868215}"/>
    <cellStyle name="Normal 4 2 5 3 4" xfId="3279" xr:uid="{00000000-0005-0000-0000-0000700C0000}"/>
    <cellStyle name="Normal 4 2 5 3 4 2" xfId="8601" xr:uid="{270AA2DA-6180-4644-8314-31F05D754D7D}"/>
    <cellStyle name="Normal 4 2 5 3 5" xfId="8596" xr:uid="{9E412C57-3792-434B-AF15-8BC75C3AA8EE}"/>
    <cellStyle name="Normal 4 2 5 4" xfId="3280" xr:uid="{00000000-0005-0000-0000-0000710C0000}"/>
    <cellStyle name="Normal 4 2 5 4 2" xfId="3281" xr:uid="{00000000-0005-0000-0000-0000720C0000}"/>
    <cellStyle name="Normal 4 2 5 4 2 2" xfId="3282" xr:uid="{00000000-0005-0000-0000-0000730C0000}"/>
    <cellStyle name="Normal 4 2 5 4 2 2 2" xfId="8604" xr:uid="{903CB1CE-95F4-46E2-AC31-308F601FC753}"/>
    <cellStyle name="Normal 4 2 5 4 2 3" xfId="8603" xr:uid="{89BAA664-1248-4DCC-8442-4B733421604C}"/>
    <cellStyle name="Normal 4 2 5 4 3" xfId="3283" xr:uid="{00000000-0005-0000-0000-0000740C0000}"/>
    <cellStyle name="Normal 4 2 5 4 3 2" xfId="8605" xr:uid="{E485B41D-9C05-4FD8-8790-5DEFAF8E7164}"/>
    <cellStyle name="Normal 4 2 5 4 4" xfId="3284" xr:uid="{00000000-0005-0000-0000-0000750C0000}"/>
    <cellStyle name="Normal 4 2 5 4 4 2" xfId="8606" xr:uid="{5B4B43FD-8D0B-42F2-9FDC-6EF7CBAD2D5F}"/>
    <cellStyle name="Normal 4 2 5 4 5" xfId="8602" xr:uid="{1BF80446-EAD8-4A7E-B39B-D5D98F91F046}"/>
    <cellStyle name="Normal 4 2 5 5" xfId="3285" xr:uid="{00000000-0005-0000-0000-0000760C0000}"/>
    <cellStyle name="Normal 4 2 5 5 2" xfId="3286" xr:uid="{00000000-0005-0000-0000-0000770C0000}"/>
    <cellStyle name="Normal 4 2 5 5 2 2" xfId="8608" xr:uid="{BB0C2E6F-D8C3-445D-80FD-55C2FE3AE6F0}"/>
    <cellStyle name="Normal 4 2 5 5 3" xfId="8607" xr:uid="{A864FF66-9BDA-499B-98B6-44A503A540FE}"/>
    <cellStyle name="Normal 4 2 5 6" xfId="3287" xr:uid="{00000000-0005-0000-0000-0000780C0000}"/>
    <cellStyle name="Normal 4 2 5 6 2" xfId="3288" xr:uid="{00000000-0005-0000-0000-0000790C0000}"/>
    <cellStyle name="Normal 4 2 5 6 2 2" xfId="8610" xr:uid="{816B0117-3EAA-4D11-8E1C-4B2D957F997E}"/>
    <cellStyle name="Normal 4 2 5 6 3" xfId="8609" xr:uid="{D80E86F4-983C-44A8-8A59-ED1C5FDB17DC}"/>
    <cellStyle name="Normal 4 2 5 7" xfId="3289" xr:uid="{00000000-0005-0000-0000-00007A0C0000}"/>
    <cellStyle name="Normal 4 2 5 7 2" xfId="3290" xr:uid="{00000000-0005-0000-0000-00007B0C0000}"/>
    <cellStyle name="Normal 4 2 5 7 2 2" xfId="8612" xr:uid="{AE38D215-5FAF-425E-9070-6E2C6D58240B}"/>
    <cellStyle name="Normal 4 2 5 7 3" xfId="8611" xr:uid="{63966D9B-B428-4B24-8D82-B05B9DFA7761}"/>
    <cellStyle name="Normal 4 2 5 8" xfId="3291" xr:uid="{00000000-0005-0000-0000-00007C0C0000}"/>
    <cellStyle name="Normal 4 2 5 8 2" xfId="8613" xr:uid="{632C38B4-81E4-45F8-A78E-C717D36179B6}"/>
    <cellStyle name="Normal 4 2 5 9" xfId="3292" xr:uid="{00000000-0005-0000-0000-00007D0C0000}"/>
    <cellStyle name="Normal 4 2 5 9 2" xfId="8614" xr:uid="{1C65A73C-78C7-4104-9CE6-577255A278BE}"/>
    <cellStyle name="Normal 4 2 6" xfId="3293" xr:uid="{00000000-0005-0000-0000-00007E0C0000}"/>
    <cellStyle name="Normal 4 2 6 2" xfId="3294" xr:uid="{00000000-0005-0000-0000-00007F0C0000}"/>
    <cellStyle name="Normal 4 2 6 2 2" xfId="3295" xr:uid="{00000000-0005-0000-0000-0000800C0000}"/>
    <cellStyle name="Normal 4 2 6 2 2 2" xfId="3296" xr:uid="{00000000-0005-0000-0000-0000810C0000}"/>
    <cellStyle name="Normal 4 2 6 2 2 2 2" xfId="8618" xr:uid="{2E64E1E6-F60C-40C1-BC70-E6E56983FF63}"/>
    <cellStyle name="Normal 4 2 6 2 2 3" xfId="3297" xr:uid="{00000000-0005-0000-0000-0000820C0000}"/>
    <cellStyle name="Normal 4 2 6 2 2 3 2" xfId="8619" xr:uid="{7693B4AC-9994-41BF-A338-ABD1764D0CD5}"/>
    <cellStyle name="Normal 4 2 6 2 2 4" xfId="8617" xr:uid="{BF409FB6-1F3B-4F8C-B05C-003FB5793301}"/>
    <cellStyle name="Normal 4 2 6 2 3" xfId="3298" xr:uid="{00000000-0005-0000-0000-0000830C0000}"/>
    <cellStyle name="Normal 4 2 6 2 3 2" xfId="8620" xr:uid="{09246641-81E2-453B-A1D3-B6487E287CBD}"/>
    <cellStyle name="Normal 4 2 6 2 4" xfId="3299" xr:uid="{00000000-0005-0000-0000-0000840C0000}"/>
    <cellStyle name="Normal 4 2 6 2 4 2" xfId="8621" xr:uid="{421446E8-0AC1-48C0-9D9A-E6E36C1EAEFC}"/>
    <cellStyle name="Normal 4 2 6 2 5" xfId="8616" xr:uid="{B5778F9A-B33C-4CDB-9D46-7C9F1BB777A9}"/>
    <cellStyle name="Normal 4 2 6 3" xfId="3300" xr:uid="{00000000-0005-0000-0000-0000850C0000}"/>
    <cellStyle name="Normal 4 2 6 3 2" xfId="3301" xr:uid="{00000000-0005-0000-0000-0000860C0000}"/>
    <cellStyle name="Normal 4 2 6 3 2 2" xfId="3302" xr:uid="{00000000-0005-0000-0000-0000870C0000}"/>
    <cellStyle name="Normal 4 2 6 3 2 2 2" xfId="8624" xr:uid="{A0CCC6CE-972F-4724-8687-A2657FCFC181}"/>
    <cellStyle name="Normal 4 2 6 3 2 3" xfId="8623" xr:uid="{834741BC-185F-410F-9993-FC55002BC440}"/>
    <cellStyle name="Normal 4 2 6 3 3" xfId="3303" xr:uid="{00000000-0005-0000-0000-0000880C0000}"/>
    <cellStyle name="Normal 4 2 6 3 3 2" xfId="8625" xr:uid="{CFCD9618-DAED-45EA-8532-FBF84AFF47F2}"/>
    <cellStyle name="Normal 4 2 6 3 4" xfId="3304" xr:uid="{00000000-0005-0000-0000-0000890C0000}"/>
    <cellStyle name="Normal 4 2 6 3 4 2" xfId="8626" xr:uid="{850E6E35-2E09-46EA-AD05-0541EFDD341B}"/>
    <cellStyle name="Normal 4 2 6 3 5" xfId="8622" xr:uid="{C7F5F5C9-59FC-4ABE-AB63-11277621D034}"/>
    <cellStyle name="Normal 4 2 6 4" xfId="3305" xr:uid="{00000000-0005-0000-0000-00008A0C0000}"/>
    <cellStyle name="Normal 4 2 6 4 2" xfId="3306" xr:uid="{00000000-0005-0000-0000-00008B0C0000}"/>
    <cellStyle name="Normal 4 2 6 4 2 2" xfId="8628" xr:uid="{52F090CD-78AC-4BB9-BCF3-7CBE88C1FB1E}"/>
    <cellStyle name="Normal 4 2 6 4 3" xfId="8627" xr:uid="{ACBFC716-4F1E-45D5-80FB-71DEB30A6791}"/>
    <cellStyle name="Normal 4 2 6 5" xfId="3307" xr:uid="{00000000-0005-0000-0000-00008C0C0000}"/>
    <cellStyle name="Normal 4 2 6 5 2" xfId="8629" xr:uid="{E6877B1C-5BB2-4E03-8CCD-CBF04F82DB6A}"/>
    <cellStyle name="Normal 4 2 6 6" xfId="3308" xr:uid="{00000000-0005-0000-0000-00008D0C0000}"/>
    <cellStyle name="Normal 4 2 6 6 2" xfId="8630" xr:uid="{19FD1FBD-5BA7-4BB7-98C5-42F514C5B435}"/>
    <cellStyle name="Normal 4 2 6 7" xfId="8615" xr:uid="{3E290466-9E3F-4561-A844-6B767C1AC8AC}"/>
    <cellStyle name="Normal 4 2 7" xfId="3309" xr:uid="{00000000-0005-0000-0000-00008E0C0000}"/>
    <cellStyle name="Normal 4 2 7 2" xfId="3310" xr:uid="{00000000-0005-0000-0000-00008F0C0000}"/>
    <cellStyle name="Normal 4 2 7 2 2" xfId="3311" xr:uid="{00000000-0005-0000-0000-0000900C0000}"/>
    <cellStyle name="Normal 4 2 7 2 2 2" xfId="8633" xr:uid="{F5E24907-0EA9-4347-A138-870824BB4080}"/>
    <cellStyle name="Normal 4 2 7 2 3" xfId="3312" xr:uid="{00000000-0005-0000-0000-0000910C0000}"/>
    <cellStyle name="Normal 4 2 7 2 3 2" xfId="8634" xr:uid="{4D4DD81C-1F14-476D-8AB5-FB798D0EABA0}"/>
    <cellStyle name="Normal 4 2 7 2 4" xfId="8632" xr:uid="{83D7FA5D-DBC8-4FDC-A395-DD7B8F6EA1C4}"/>
    <cellStyle name="Normal 4 2 7 3" xfId="3313" xr:uid="{00000000-0005-0000-0000-0000920C0000}"/>
    <cellStyle name="Normal 4 2 7 3 2" xfId="3314" xr:uid="{00000000-0005-0000-0000-0000930C0000}"/>
    <cellStyle name="Normal 4 2 7 3 2 2" xfId="8636" xr:uid="{152391EE-B2AF-47FC-993F-48DFE48B071D}"/>
    <cellStyle name="Normal 4 2 7 3 3" xfId="8635" xr:uid="{7EEFE954-EA9E-422D-8BFE-5382C84B7F11}"/>
    <cellStyle name="Normal 4 2 7 4" xfId="3315" xr:uid="{00000000-0005-0000-0000-0000940C0000}"/>
    <cellStyle name="Normal 4 2 7 4 2" xfId="8637" xr:uid="{92C216DC-9861-4648-92EF-AB099727FB08}"/>
    <cellStyle name="Normal 4 2 7 5" xfId="8631" xr:uid="{1FC8AF84-DBF8-4B4B-A314-160F2C462470}"/>
    <cellStyle name="Normal 4 2 8" xfId="3316" xr:uid="{00000000-0005-0000-0000-0000950C0000}"/>
    <cellStyle name="Normal 4 2 8 2" xfId="3317" xr:uid="{00000000-0005-0000-0000-0000960C0000}"/>
    <cellStyle name="Normal 4 2 8 2 2" xfId="3318" xr:uid="{00000000-0005-0000-0000-0000970C0000}"/>
    <cellStyle name="Normal 4 2 8 2 2 2" xfId="8640" xr:uid="{8E525B75-84EC-45B8-AB9A-8701D2E4F25A}"/>
    <cellStyle name="Normal 4 2 8 2 3" xfId="8639" xr:uid="{AA488956-FE99-419A-A151-1E38F91D0683}"/>
    <cellStyle name="Normal 4 2 8 3" xfId="3319" xr:uid="{00000000-0005-0000-0000-0000980C0000}"/>
    <cellStyle name="Normal 4 2 8 3 2" xfId="8641" xr:uid="{A1F1A0F6-F817-441E-8FC9-1846AD06D57E}"/>
    <cellStyle name="Normal 4 2 8 4" xfId="3320" xr:uid="{00000000-0005-0000-0000-0000990C0000}"/>
    <cellStyle name="Normal 4 2 8 4 2" xfId="8642" xr:uid="{6EABEF7B-B49B-422A-8D15-D07C4C69601B}"/>
    <cellStyle name="Normal 4 2 8 5" xfId="8638" xr:uid="{CFB83D04-BE88-4451-AEAE-D67736EE4BEE}"/>
    <cellStyle name="Normal 4 2 9" xfId="3321" xr:uid="{00000000-0005-0000-0000-00009A0C0000}"/>
    <cellStyle name="Normal 4 2 9 2" xfId="3322" xr:uid="{00000000-0005-0000-0000-00009B0C0000}"/>
    <cellStyle name="Normal 4 2 9 2 2" xfId="8644" xr:uid="{27FB6679-6006-456B-822D-53B3013C550B}"/>
    <cellStyle name="Normal 4 2 9 3" xfId="3323" xr:uid="{00000000-0005-0000-0000-00009C0C0000}"/>
    <cellStyle name="Normal 4 2 9 3 2" xfId="8645" xr:uid="{9760E48A-203A-43A6-99EE-A576AF28F5CE}"/>
    <cellStyle name="Normal 4 2 9 4" xfId="8643" xr:uid="{00DDD47A-46BB-4F76-B3FE-D7D6A099E94B}"/>
    <cellStyle name="Normal 4 3" xfId="148" xr:uid="{00000000-0005-0000-0000-00009D0C0000}"/>
    <cellStyle name="Normal 4 3 10" xfId="3324" xr:uid="{00000000-0005-0000-0000-00009E0C0000}"/>
    <cellStyle name="Normal 4 3 10 2" xfId="3325" xr:uid="{00000000-0005-0000-0000-00009F0C0000}"/>
    <cellStyle name="Normal 4 3 10 2 2" xfId="8647" xr:uid="{7D6DE395-EB90-4580-95E4-3CFCC1A541FE}"/>
    <cellStyle name="Normal 4 3 10 3" xfId="8646" xr:uid="{6D61808F-274A-4699-B56E-7178ABAFB17C}"/>
    <cellStyle name="Normal 4 3 11" xfId="3326" xr:uid="{00000000-0005-0000-0000-0000A00C0000}"/>
    <cellStyle name="Normal 4 3 11 2" xfId="3327" xr:uid="{00000000-0005-0000-0000-0000A10C0000}"/>
    <cellStyle name="Normal 4 3 11 2 2" xfId="8649" xr:uid="{3824432C-70A1-4653-980A-8093184E7AD1}"/>
    <cellStyle name="Normal 4 3 11 3" xfId="8648" xr:uid="{AFB28D3B-2546-48BA-895E-A9F8C45A9679}"/>
    <cellStyle name="Normal 4 3 12" xfId="3328" xr:uid="{00000000-0005-0000-0000-0000A20C0000}"/>
    <cellStyle name="Normal 4 3 12 2" xfId="8650" xr:uid="{0C8602CE-F264-471F-922C-832BB3950397}"/>
    <cellStyle name="Normal 4 3 13" xfId="3329" xr:uid="{00000000-0005-0000-0000-0000A30C0000}"/>
    <cellStyle name="Normal 4 3 13 2" xfId="8651" xr:uid="{BF68E470-EC26-460C-9BA8-937ACE879459}"/>
    <cellStyle name="Normal 4 3 14" xfId="5349" xr:uid="{E0A8A00D-3016-457F-BDF4-1C2E281721D4}"/>
    <cellStyle name="Normal 4 3 14 2" xfId="10668" xr:uid="{53DC1E43-9E85-41AB-B77B-D208D8AA225E}"/>
    <cellStyle name="Normal 4 3 15" xfId="5482" xr:uid="{81C05E22-26EF-4E5A-B557-34F40176916A}"/>
    <cellStyle name="Normal 4 3 2" xfId="149" xr:uid="{00000000-0005-0000-0000-0000A40C0000}"/>
    <cellStyle name="Normal 4 3 2 10" xfId="3330" xr:uid="{00000000-0005-0000-0000-0000A50C0000}"/>
    <cellStyle name="Normal 4 3 2 10 2" xfId="8652" xr:uid="{A987BC33-04AE-4A59-9B5D-0E113461CA48}"/>
    <cellStyle name="Normal 4 3 2 11" xfId="5483" xr:uid="{BD2E144B-EE4D-4FAD-94EC-8E0976E5C1EC}"/>
    <cellStyle name="Normal 4 3 2 2" xfId="150" xr:uid="{00000000-0005-0000-0000-0000A60C0000}"/>
    <cellStyle name="Normal 4 3 2 2 10" xfId="5484" xr:uid="{6714EF97-4A3D-4123-91A5-B9E9F9DC0F60}"/>
    <cellStyle name="Normal 4 3 2 2 2" xfId="151" xr:uid="{00000000-0005-0000-0000-0000A70C0000}"/>
    <cellStyle name="Normal 4 3 2 2 2 2" xfId="3331" xr:uid="{00000000-0005-0000-0000-0000A80C0000}"/>
    <cellStyle name="Normal 4 3 2 2 2 2 2" xfId="3332" xr:uid="{00000000-0005-0000-0000-0000A90C0000}"/>
    <cellStyle name="Normal 4 3 2 2 2 2 2 2" xfId="3333" xr:uid="{00000000-0005-0000-0000-0000AA0C0000}"/>
    <cellStyle name="Normal 4 3 2 2 2 2 2 2 2" xfId="8655" xr:uid="{A6EE8D74-A454-42E7-899C-0173B1075B62}"/>
    <cellStyle name="Normal 4 3 2 2 2 2 2 3" xfId="3334" xr:uid="{00000000-0005-0000-0000-0000AB0C0000}"/>
    <cellStyle name="Normal 4 3 2 2 2 2 2 3 2" xfId="8656" xr:uid="{32C76CC4-9F8B-4EA6-B474-E3E422BB31C4}"/>
    <cellStyle name="Normal 4 3 2 2 2 2 2 4" xfId="8654" xr:uid="{61880D3C-0A3B-47F6-826B-2309A85F9C25}"/>
    <cellStyle name="Normal 4 3 2 2 2 2 3" xfId="3335" xr:uid="{00000000-0005-0000-0000-0000AC0C0000}"/>
    <cellStyle name="Normal 4 3 2 2 2 2 3 2" xfId="8657" xr:uid="{D4FB3AA6-1F80-4D77-A52A-AF6AB2FCEB7C}"/>
    <cellStyle name="Normal 4 3 2 2 2 2 4" xfId="3336" xr:uid="{00000000-0005-0000-0000-0000AD0C0000}"/>
    <cellStyle name="Normal 4 3 2 2 2 2 4 2" xfId="8658" xr:uid="{8E73FD31-A196-450C-91D5-DAAE8CE0A8AA}"/>
    <cellStyle name="Normal 4 3 2 2 2 2 5" xfId="8653" xr:uid="{37E5515E-4E49-40CC-8D86-E9EDF500F92D}"/>
    <cellStyle name="Normal 4 3 2 2 2 3" xfId="3337" xr:uid="{00000000-0005-0000-0000-0000AE0C0000}"/>
    <cellStyle name="Normal 4 3 2 2 2 3 2" xfId="3338" xr:uid="{00000000-0005-0000-0000-0000AF0C0000}"/>
    <cellStyle name="Normal 4 3 2 2 2 3 2 2" xfId="3339" xr:uid="{00000000-0005-0000-0000-0000B00C0000}"/>
    <cellStyle name="Normal 4 3 2 2 2 3 2 2 2" xfId="8661" xr:uid="{5C357403-AD0C-4205-B119-D56AFF8B724C}"/>
    <cellStyle name="Normal 4 3 2 2 2 3 2 3" xfId="8660" xr:uid="{EC3BE6F9-9886-41FA-AF35-7AE81089E4B1}"/>
    <cellStyle name="Normal 4 3 2 2 2 3 3" xfId="3340" xr:uid="{00000000-0005-0000-0000-0000B10C0000}"/>
    <cellStyle name="Normal 4 3 2 2 2 3 3 2" xfId="8662" xr:uid="{6682BD9A-121F-45AC-B659-44A9790973E0}"/>
    <cellStyle name="Normal 4 3 2 2 2 3 4" xfId="3341" xr:uid="{00000000-0005-0000-0000-0000B20C0000}"/>
    <cellStyle name="Normal 4 3 2 2 2 3 4 2" xfId="8663" xr:uid="{48D4CBEC-A108-4835-A10C-11E3BE7CEC16}"/>
    <cellStyle name="Normal 4 3 2 2 2 3 5" xfId="8659" xr:uid="{A69D8444-EB47-42CA-89A1-F82DE64FD971}"/>
    <cellStyle name="Normal 4 3 2 2 2 4" xfId="3342" xr:uid="{00000000-0005-0000-0000-0000B30C0000}"/>
    <cellStyle name="Normal 4 3 2 2 2 4 2" xfId="3343" xr:uid="{00000000-0005-0000-0000-0000B40C0000}"/>
    <cellStyle name="Normal 4 3 2 2 2 4 2 2" xfId="8665" xr:uid="{0A08E66F-705C-4C75-AE9D-1FE8F1B5C4BF}"/>
    <cellStyle name="Normal 4 3 2 2 2 4 3" xfId="8664" xr:uid="{1D236B29-0AF3-433E-A241-A6621204C0FF}"/>
    <cellStyle name="Normal 4 3 2 2 2 5" xfId="3344" xr:uid="{00000000-0005-0000-0000-0000B50C0000}"/>
    <cellStyle name="Normal 4 3 2 2 2 5 2" xfId="3345" xr:uid="{00000000-0005-0000-0000-0000B60C0000}"/>
    <cellStyle name="Normal 4 3 2 2 2 5 2 2" xfId="8667" xr:uid="{346F20A3-947A-4A98-BAA3-A1EC6CFD25BE}"/>
    <cellStyle name="Normal 4 3 2 2 2 5 3" xfId="8666" xr:uid="{ED1F63C2-AD6B-44A1-BD56-97D4DB3BC7CC}"/>
    <cellStyle name="Normal 4 3 2 2 2 6" xfId="3346" xr:uid="{00000000-0005-0000-0000-0000B70C0000}"/>
    <cellStyle name="Normal 4 3 2 2 2 6 2" xfId="3347" xr:uid="{00000000-0005-0000-0000-0000B80C0000}"/>
    <cellStyle name="Normal 4 3 2 2 2 6 2 2" xfId="8669" xr:uid="{906E2B5A-284A-471F-BCFB-9AE9A69BA1CA}"/>
    <cellStyle name="Normal 4 3 2 2 2 6 3" xfId="8668" xr:uid="{4233674E-2588-424E-B48A-89C77F094FC1}"/>
    <cellStyle name="Normal 4 3 2 2 2 7" xfId="3348" xr:uid="{00000000-0005-0000-0000-0000B90C0000}"/>
    <cellStyle name="Normal 4 3 2 2 2 7 2" xfId="8670" xr:uid="{FDC47C01-A8A1-47A1-A860-9F4E4C1CDDBE}"/>
    <cellStyle name="Normal 4 3 2 2 2 8" xfId="3349" xr:uid="{00000000-0005-0000-0000-0000BA0C0000}"/>
    <cellStyle name="Normal 4 3 2 2 2 8 2" xfId="8671" xr:uid="{78B75B92-A682-4E1E-9010-2D8D8056D8DE}"/>
    <cellStyle name="Normal 4 3 2 2 2 9" xfId="5485" xr:uid="{E7524312-0556-4A5A-B1DC-653A64F70F9B}"/>
    <cellStyle name="Normal 4 3 2 2 3" xfId="3350" xr:uid="{00000000-0005-0000-0000-0000BB0C0000}"/>
    <cellStyle name="Normal 4 3 2 2 3 2" xfId="3351" xr:uid="{00000000-0005-0000-0000-0000BC0C0000}"/>
    <cellStyle name="Normal 4 3 2 2 3 2 2" xfId="3352" xr:uid="{00000000-0005-0000-0000-0000BD0C0000}"/>
    <cellStyle name="Normal 4 3 2 2 3 2 2 2" xfId="8674" xr:uid="{01288ACB-490D-4005-9FDE-C430A020CFEA}"/>
    <cellStyle name="Normal 4 3 2 2 3 2 3" xfId="3353" xr:uid="{00000000-0005-0000-0000-0000BE0C0000}"/>
    <cellStyle name="Normal 4 3 2 2 3 2 3 2" xfId="8675" xr:uid="{8FF6C948-850A-496C-B36D-361251829885}"/>
    <cellStyle name="Normal 4 3 2 2 3 2 4" xfId="8673" xr:uid="{603D3E73-0F15-43C6-9945-2E179E5C1DA1}"/>
    <cellStyle name="Normal 4 3 2 2 3 3" xfId="3354" xr:uid="{00000000-0005-0000-0000-0000BF0C0000}"/>
    <cellStyle name="Normal 4 3 2 2 3 3 2" xfId="8676" xr:uid="{E14DB093-378A-4C43-AA9C-B9B61B394461}"/>
    <cellStyle name="Normal 4 3 2 2 3 4" xfId="3355" xr:uid="{00000000-0005-0000-0000-0000C00C0000}"/>
    <cellStyle name="Normal 4 3 2 2 3 4 2" xfId="8677" xr:uid="{AF133F6F-3D48-48BB-AE65-1D5FA9754597}"/>
    <cellStyle name="Normal 4 3 2 2 3 5" xfId="8672" xr:uid="{FF7F1318-818D-4B25-A465-6C79AF374F21}"/>
    <cellStyle name="Normal 4 3 2 2 4" xfId="3356" xr:uid="{00000000-0005-0000-0000-0000C10C0000}"/>
    <cellStyle name="Normal 4 3 2 2 4 2" xfId="3357" xr:uid="{00000000-0005-0000-0000-0000C20C0000}"/>
    <cellStyle name="Normal 4 3 2 2 4 2 2" xfId="3358" xr:uid="{00000000-0005-0000-0000-0000C30C0000}"/>
    <cellStyle name="Normal 4 3 2 2 4 2 2 2" xfId="8680" xr:uid="{22C45375-B90B-41AF-9F3A-5DB940D39C54}"/>
    <cellStyle name="Normal 4 3 2 2 4 2 3" xfId="8679" xr:uid="{9EF907CE-657F-4845-9EE6-E5AADB2F648B}"/>
    <cellStyle name="Normal 4 3 2 2 4 3" xfId="3359" xr:uid="{00000000-0005-0000-0000-0000C40C0000}"/>
    <cellStyle name="Normal 4 3 2 2 4 3 2" xfId="8681" xr:uid="{71C95B45-9E9A-4E19-B0C7-3DE01D8DE152}"/>
    <cellStyle name="Normal 4 3 2 2 4 4" xfId="3360" xr:uid="{00000000-0005-0000-0000-0000C50C0000}"/>
    <cellStyle name="Normal 4 3 2 2 4 4 2" xfId="8682" xr:uid="{B3D5D970-A97E-42B6-9093-1321A1DAB095}"/>
    <cellStyle name="Normal 4 3 2 2 4 5" xfId="8678" xr:uid="{AAFDAE37-ED3A-45D7-855F-4A0D0109503E}"/>
    <cellStyle name="Normal 4 3 2 2 5" xfId="3361" xr:uid="{00000000-0005-0000-0000-0000C60C0000}"/>
    <cellStyle name="Normal 4 3 2 2 5 2" xfId="3362" xr:uid="{00000000-0005-0000-0000-0000C70C0000}"/>
    <cellStyle name="Normal 4 3 2 2 5 2 2" xfId="8684" xr:uid="{9FDAF9CF-CFD5-424A-B82E-D692B534C993}"/>
    <cellStyle name="Normal 4 3 2 2 5 3" xfId="8683" xr:uid="{58F17327-D772-42D0-AF81-DF0037C5BCD9}"/>
    <cellStyle name="Normal 4 3 2 2 6" xfId="3363" xr:uid="{00000000-0005-0000-0000-0000C80C0000}"/>
    <cellStyle name="Normal 4 3 2 2 6 2" xfId="3364" xr:uid="{00000000-0005-0000-0000-0000C90C0000}"/>
    <cellStyle name="Normal 4 3 2 2 6 2 2" xfId="8686" xr:uid="{9A1A3728-43DF-4BB9-9D2D-60ADDF38CE10}"/>
    <cellStyle name="Normal 4 3 2 2 6 3" xfId="8685" xr:uid="{769A4E08-D5C1-48C0-A0B1-1FB133F6F16F}"/>
    <cellStyle name="Normal 4 3 2 2 7" xfId="3365" xr:uid="{00000000-0005-0000-0000-0000CA0C0000}"/>
    <cellStyle name="Normal 4 3 2 2 7 2" xfId="3366" xr:uid="{00000000-0005-0000-0000-0000CB0C0000}"/>
    <cellStyle name="Normal 4 3 2 2 7 2 2" xfId="8688" xr:uid="{71B281E2-1B5B-4812-A744-481E8EC3FE3C}"/>
    <cellStyle name="Normal 4 3 2 2 7 3" xfId="8687" xr:uid="{CA222F86-80AD-4B33-A0A9-E052A305C4E3}"/>
    <cellStyle name="Normal 4 3 2 2 8" xfId="3367" xr:uid="{00000000-0005-0000-0000-0000CC0C0000}"/>
    <cellStyle name="Normal 4 3 2 2 8 2" xfId="8689" xr:uid="{76347CFA-8990-47AF-8736-71CF724FEB8A}"/>
    <cellStyle name="Normal 4 3 2 2 9" xfId="3368" xr:uid="{00000000-0005-0000-0000-0000CD0C0000}"/>
    <cellStyle name="Normal 4 3 2 2 9 2" xfId="8690" xr:uid="{A15FB1C2-B137-487B-BBB2-CC815879EC05}"/>
    <cellStyle name="Normal 4 3 2 3" xfId="152" xr:uid="{00000000-0005-0000-0000-0000CE0C0000}"/>
    <cellStyle name="Normal 4 3 2 3 2" xfId="3369" xr:uid="{00000000-0005-0000-0000-0000CF0C0000}"/>
    <cellStyle name="Normal 4 3 2 3 2 2" xfId="3370" xr:uid="{00000000-0005-0000-0000-0000D00C0000}"/>
    <cellStyle name="Normal 4 3 2 3 2 2 2" xfId="3371" xr:uid="{00000000-0005-0000-0000-0000D10C0000}"/>
    <cellStyle name="Normal 4 3 2 3 2 2 2 2" xfId="8693" xr:uid="{F1D95FD5-7A8C-4D52-BEBE-8DEB9ACFAC7D}"/>
    <cellStyle name="Normal 4 3 2 3 2 2 3" xfId="3372" xr:uid="{00000000-0005-0000-0000-0000D20C0000}"/>
    <cellStyle name="Normal 4 3 2 3 2 2 3 2" xfId="8694" xr:uid="{0C4DB7EE-9996-49A4-8A0F-B93BDEF6FB18}"/>
    <cellStyle name="Normal 4 3 2 3 2 2 4" xfId="8692" xr:uid="{69C4047B-58A9-4F00-A697-0DB70D5B2276}"/>
    <cellStyle name="Normal 4 3 2 3 2 3" xfId="3373" xr:uid="{00000000-0005-0000-0000-0000D30C0000}"/>
    <cellStyle name="Normal 4 3 2 3 2 3 2" xfId="8695" xr:uid="{D906D0B1-AF8D-44B1-9595-41E83A8AD9CA}"/>
    <cellStyle name="Normal 4 3 2 3 2 4" xfId="3374" xr:uid="{00000000-0005-0000-0000-0000D40C0000}"/>
    <cellStyle name="Normal 4 3 2 3 2 4 2" xfId="8696" xr:uid="{A36D781C-AAE3-4CB6-BE29-592CD014686D}"/>
    <cellStyle name="Normal 4 3 2 3 2 5" xfId="8691" xr:uid="{C16F5DA1-E986-4BD5-A175-82D0EFEC73AC}"/>
    <cellStyle name="Normal 4 3 2 3 3" xfId="3375" xr:uid="{00000000-0005-0000-0000-0000D50C0000}"/>
    <cellStyle name="Normal 4 3 2 3 3 2" xfId="3376" xr:uid="{00000000-0005-0000-0000-0000D60C0000}"/>
    <cellStyle name="Normal 4 3 2 3 3 2 2" xfId="3377" xr:uid="{00000000-0005-0000-0000-0000D70C0000}"/>
    <cellStyle name="Normal 4 3 2 3 3 2 2 2" xfId="8699" xr:uid="{B07E8B16-BBAE-4C5E-9193-443A9F7B4E10}"/>
    <cellStyle name="Normal 4 3 2 3 3 2 3" xfId="8698" xr:uid="{7143AA9B-7E7D-4ECF-AA0C-39E84967EBE7}"/>
    <cellStyle name="Normal 4 3 2 3 3 3" xfId="3378" xr:uid="{00000000-0005-0000-0000-0000D80C0000}"/>
    <cellStyle name="Normal 4 3 2 3 3 3 2" xfId="8700" xr:uid="{460BA50E-5D17-442C-A142-256F5A86A727}"/>
    <cellStyle name="Normal 4 3 2 3 3 4" xfId="3379" xr:uid="{00000000-0005-0000-0000-0000D90C0000}"/>
    <cellStyle name="Normal 4 3 2 3 3 4 2" xfId="8701" xr:uid="{6700FFC0-16B3-4E9B-AF0D-F13707E3B5BE}"/>
    <cellStyle name="Normal 4 3 2 3 3 5" xfId="8697" xr:uid="{E56B15E2-9459-4AC5-AA07-9EB391040704}"/>
    <cellStyle name="Normal 4 3 2 3 4" xfId="3380" xr:uid="{00000000-0005-0000-0000-0000DA0C0000}"/>
    <cellStyle name="Normal 4 3 2 3 4 2" xfId="3381" xr:uid="{00000000-0005-0000-0000-0000DB0C0000}"/>
    <cellStyle name="Normal 4 3 2 3 4 2 2" xfId="8703" xr:uid="{09FF983B-9B73-457D-8D30-FAF61FB6F133}"/>
    <cellStyle name="Normal 4 3 2 3 4 3" xfId="8702" xr:uid="{86DCFBFF-2515-420E-A228-CB9A021BEF84}"/>
    <cellStyle name="Normal 4 3 2 3 5" xfId="3382" xr:uid="{00000000-0005-0000-0000-0000DC0C0000}"/>
    <cellStyle name="Normal 4 3 2 3 5 2" xfId="3383" xr:uid="{00000000-0005-0000-0000-0000DD0C0000}"/>
    <cellStyle name="Normal 4 3 2 3 5 2 2" xfId="8705" xr:uid="{2AA3D053-1EF8-4B60-83F5-44D433B6F9E8}"/>
    <cellStyle name="Normal 4 3 2 3 5 3" xfId="8704" xr:uid="{6B31DD01-7665-4BEC-971B-F8217A802681}"/>
    <cellStyle name="Normal 4 3 2 3 6" xfId="3384" xr:uid="{00000000-0005-0000-0000-0000DE0C0000}"/>
    <cellStyle name="Normal 4 3 2 3 6 2" xfId="3385" xr:uid="{00000000-0005-0000-0000-0000DF0C0000}"/>
    <cellStyle name="Normal 4 3 2 3 6 2 2" xfId="8707" xr:uid="{2DB2DBA7-C4D0-4636-95D9-1CF10942A31F}"/>
    <cellStyle name="Normal 4 3 2 3 6 3" xfId="8706" xr:uid="{7989CDC1-81D7-454F-9585-DC6197B0E823}"/>
    <cellStyle name="Normal 4 3 2 3 7" xfId="3386" xr:uid="{00000000-0005-0000-0000-0000E00C0000}"/>
    <cellStyle name="Normal 4 3 2 3 7 2" xfId="8708" xr:uid="{7921BA14-63EF-4654-BF3C-277E0C46BE8E}"/>
    <cellStyle name="Normal 4 3 2 3 8" xfId="3387" xr:uid="{00000000-0005-0000-0000-0000E10C0000}"/>
    <cellStyle name="Normal 4 3 2 3 8 2" xfId="8709" xr:uid="{E122CFBC-64D1-489D-B234-B5AA16E5177D}"/>
    <cellStyle name="Normal 4 3 2 3 9" xfId="5486" xr:uid="{8D8074EE-4280-488C-8DA3-E6A8101D65C0}"/>
    <cellStyle name="Normal 4 3 2 4" xfId="3388" xr:uid="{00000000-0005-0000-0000-0000E20C0000}"/>
    <cellStyle name="Normal 4 3 2 4 2" xfId="3389" xr:uid="{00000000-0005-0000-0000-0000E30C0000}"/>
    <cellStyle name="Normal 4 3 2 4 2 2" xfId="3390" xr:uid="{00000000-0005-0000-0000-0000E40C0000}"/>
    <cellStyle name="Normal 4 3 2 4 2 2 2" xfId="8712" xr:uid="{8F4BCC69-32FA-4077-8C71-815134341F27}"/>
    <cellStyle name="Normal 4 3 2 4 2 3" xfId="3391" xr:uid="{00000000-0005-0000-0000-0000E50C0000}"/>
    <cellStyle name="Normal 4 3 2 4 2 3 2" xfId="8713" xr:uid="{911FDC65-E3BB-48F9-B464-7893D62DD780}"/>
    <cellStyle name="Normal 4 3 2 4 2 4" xfId="8711" xr:uid="{4A019071-79BD-4458-A9CB-02E7523E79BC}"/>
    <cellStyle name="Normal 4 3 2 4 3" xfId="3392" xr:uid="{00000000-0005-0000-0000-0000E60C0000}"/>
    <cellStyle name="Normal 4 3 2 4 3 2" xfId="8714" xr:uid="{56515CCD-E05F-4BCB-8502-17F81D75AD17}"/>
    <cellStyle name="Normal 4 3 2 4 4" xfId="3393" xr:uid="{00000000-0005-0000-0000-0000E70C0000}"/>
    <cellStyle name="Normal 4 3 2 4 4 2" xfId="8715" xr:uid="{9D8413E9-ECEB-4A1E-924F-ADE571BCAD38}"/>
    <cellStyle name="Normal 4 3 2 4 5" xfId="8710" xr:uid="{E9EB68B1-C48B-4895-9B62-B26C1E5B3A00}"/>
    <cellStyle name="Normal 4 3 2 5" xfId="3394" xr:uid="{00000000-0005-0000-0000-0000E80C0000}"/>
    <cellStyle name="Normal 4 3 2 5 2" xfId="3395" xr:uid="{00000000-0005-0000-0000-0000E90C0000}"/>
    <cellStyle name="Normal 4 3 2 5 2 2" xfId="3396" xr:uid="{00000000-0005-0000-0000-0000EA0C0000}"/>
    <cellStyle name="Normal 4 3 2 5 2 2 2" xfId="8718" xr:uid="{04902005-6C17-4956-9485-B0B2C185BB9C}"/>
    <cellStyle name="Normal 4 3 2 5 2 3" xfId="8717" xr:uid="{93CE5A45-2D5D-4B5F-AB27-5FCB4D5CB366}"/>
    <cellStyle name="Normal 4 3 2 5 3" xfId="3397" xr:uid="{00000000-0005-0000-0000-0000EB0C0000}"/>
    <cellStyle name="Normal 4 3 2 5 3 2" xfId="8719" xr:uid="{FF82E3EC-13C8-477B-A888-BB95842B885C}"/>
    <cellStyle name="Normal 4 3 2 5 4" xfId="3398" xr:uid="{00000000-0005-0000-0000-0000EC0C0000}"/>
    <cellStyle name="Normal 4 3 2 5 4 2" xfId="8720" xr:uid="{4B21ACAB-4A61-4B4D-8A4E-9D5A6D7E76BD}"/>
    <cellStyle name="Normal 4 3 2 5 5" xfId="8716" xr:uid="{1DCA4975-8324-4D93-8F63-37A95DA4CA51}"/>
    <cellStyle name="Normal 4 3 2 6" xfId="3399" xr:uid="{00000000-0005-0000-0000-0000ED0C0000}"/>
    <cellStyle name="Normal 4 3 2 6 2" xfId="3400" xr:uid="{00000000-0005-0000-0000-0000EE0C0000}"/>
    <cellStyle name="Normal 4 3 2 6 2 2" xfId="8722" xr:uid="{A66AD93D-3AA1-42C6-8CE2-3C83643220AC}"/>
    <cellStyle name="Normal 4 3 2 6 3" xfId="8721" xr:uid="{D8CDE338-207B-4F93-A1F8-EDACAB6305EA}"/>
    <cellStyle name="Normal 4 3 2 7" xfId="3401" xr:uid="{00000000-0005-0000-0000-0000EF0C0000}"/>
    <cellStyle name="Normal 4 3 2 7 2" xfId="3402" xr:uid="{00000000-0005-0000-0000-0000F00C0000}"/>
    <cellStyle name="Normal 4 3 2 7 2 2" xfId="8724" xr:uid="{20FB9F5C-F633-4F97-AD98-C9951AB87D6D}"/>
    <cellStyle name="Normal 4 3 2 7 3" xfId="8723" xr:uid="{7A49E571-60F2-49DE-A10A-E26EC4B466BB}"/>
    <cellStyle name="Normal 4 3 2 8" xfId="3403" xr:uid="{00000000-0005-0000-0000-0000F10C0000}"/>
    <cellStyle name="Normal 4 3 2 8 2" xfId="3404" xr:uid="{00000000-0005-0000-0000-0000F20C0000}"/>
    <cellStyle name="Normal 4 3 2 8 2 2" xfId="8726" xr:uid="{35CF9C0F-2597-4EC1-A74C-465EEA8129CA}"/>
    <cellStyle name="Normal 4 3 2 8 3" xfId="8725" xr:uid="{14C58819-C304-482E-BA1C-CD10FAACCED7}"/>
    <cellStyle name="Normal 4 3 2 9" xfId="3405" xr:uid="{00000000-0005-0000-0000-0000F30C0000}"/>
    <cellStyle name="Normal 4 3 2 9 2" xfId="8727" xr:uid="{72DEAF51-9254-4FE1-8CC6-976A7EC72075}"/>
    <cellStyle name="Normal 4 3 3" xfId="153" xr:uid="{00000000-0005-0000-0000-0000F40C0000}"/>
    <cellStyle name="Normal 4 3 3 10" xfId="5487" xr:uid="{B49B7A72-49E7-46AB-A0CE-5067302C43AB}"/>
    <cellStyle name="Normal 4 3 3 2" xfId="154" xr:uid="{00000000-0005-0000-0000-0000F50C0000}"/>
    <cellStyle name="Normal 4 3 3 2 2" xfId="3406" xr:uid="{00000000-0005-0000-0000-0000F60C0000}"/>
    <cellStyle name="Normal 4 3 3 2 2 2" xfId="3407" xr:uid="{00000000-0005-0000-0000-0000F70C0000}"/>
    <cellStyle name="Normal 4 3 3 2 2 2 2" xfId="3408" xr:uid="{00000000-0005-0000-0000-0000F80C0000}"/>
    <cellStyle name="Normal 4 3 3 2 2 2 2 2" xfId="8730" xr:uid="{68EA395E-57F9-4B28-BAEE-B068D00D65C3}"/>
    <cellStyle name="Normal 4 3 3 2 2 2 3" xfId="3409" xr:uid="{00000000-0005-0000-0000-0000F90C0000}"/>
    <cellStyle name="Normal 4 3 3 2 2 2 3 2" xfId="8731" xr:uid="{A268B570-B4F5-48DE-9B33-DAC6EBB1D499}"/>
    <cellStyle name="Normal 4 3 3 2 2 2 4" xfId="8729" xr:uid="{8AE77061-56D8-4E07-947C-50FBFE9088DE}"/>
    <cellStyle name="Normal 4 3 3 2 2 3" xfId="3410" xr:uid="{00000000-0005-0000-0000-0000FA0C0000}"/>
    <cellStyle name="Normal 4 3 3 2 2 3 2" xfId="8732" xr:uid="{0B138581-D161-41B4-8629-7F185906619B}"/>
    <cellStyle name="Normal 4 3 3 2 2 4" xfId="3411" xr:uid="{00000000-0005-0000-0000-0000FB0C0000}"/>
    <cellStyle name="Normal 4 3 3 2 2 4 2" xfId="8733" xr:uid="{12A9D2D4-0BE0-4059-98A6-AD5B64763270}"/>
    <cellStyle name="Normal 4 3 3 2 2 5" xfId="8728" xr:uid="{22AF0806-43DA-444C-97D6-10E5B76BF50B}"/>
    <cellStyle name="Normal 4 3 3 2 3" xfId="3412" xr:uid="{00000000-0005-0000-0000-0000FC0C0000}"/>
    <cellStyle name="Normal 4 3 3 2 3 2" xfId="3413" xr:uid="{00000000-0005-0000-0000-0000FD0C0000}"/>
    <cellStyle name="Normal 4 3 3 2 3 2 2" xfId="3414" xr:uid="{00000000-0005-0000-0000-0000FE0C0000}"/>
    <cellStyle name="Normal 4 3 3 2 3 2 2 2" xfId="8736" xr:uid="{058EB81A-D667-481E-A652-F333F1C67621}"/>
    <cellStyle name="Normal 4 3 3 2 3 2 3" xfId="8735" xr:uid="{9DE947B4-4A15-4B41-871D-FE4A7DF2EEAF}"/>
    <cellStyle name="Normal 4 3 3 2 3 3" xfId="3415" xr:uid="{00000000-0005-0000-0000-0000FF0C0000}"/>
    <cellStyle name="Normal 4 3 3 2 3 3 2" xfId="8737" xr:uid="{E52E346F-254E-43AE-B649-8964A225D8F7}"/>
    <cellStyle name="Normal 4 3 3 2 3 4" xfId="3416" xr:uid="{00000000-0005-0000-0000-0000000D0000}"/>
    <cellStyle name="Normal 4 3 3 2 3 4 2" xfId="8738" xr:uid="{85EFA5C6-391E-43FD-9FAF-A1111857A9C2}"/>
    <cellStyle name="Normal 4 3 3 2 3 5" xfId="8734" xr:uid="{C25F6E97-9543-4462-9E18-4B0390B753B4}"/>
    <cellStyle name="Normal 4 3 3 2 4" xfId="3417" xr:uid="{00000000-0005-0000-0000-0000010D0000}"/>
    <cellStyle name="Normal 4 3 3 2 4 2" xfId="3418" xr:uid="{00000000-0005-0000-0000-0000020D0000}"/>
    <cellStyle name="Normal 4 3 3 2 4 2 2" xfId="8740" xr:uid="{7019F708-38A3-44CE-8272-ED71F0E52229}"/>
    <cellStyle name="Normal 4 3 3 2 4 3" xfId="8739" xr:uid="{06435359-CF04-4693-873F-114C2EAF9FFB}"/>
    <cellStyle name="Normal 4 3 3 2 5" xfId="3419" xr:uid="{00000000-0005-0000-0000-0000030D0000}"/>
    <cellStyle name="Normal 4 3 3 2 5 2" xfId="3420" xr:uid="{00000000-0005-0000-0000-0000040D0000}"/>
    <cellStyle name="Normal 4 3 3 2 5 2 2" xfId="8742" xr:uid="{D66C20FB-64D8-4D8E-BB4D-C849319E594C}"/>
    <cellStyle name="Normal 4 3 3 2 5 3" xfId="8741" xr:uid="{75FF9AD8-76DE-4755-BDDB-F8D209E9139C}"/>
    <cellStyle name="Normal 4 3 3 2 6" xfId="3421" xr:uid="{00000000-0005-0000-0000-0000050D0000}"/>
    <cellStyle name="Normal 4 3 3 2 6 2" xfId="3422" xr:uid="{00000000-0005-0000-0000-0000060D0000}"/>
    <cellStyle name="Normal 4 3 3 2 6 2 2" xfId="8744" xr:uid="{B56B54DE-444E-4388-B277-251512671CEB}"/>
    <cellStyle name="Normal 4 3 3 2 6 3" xfId="8743" xr:uid="{517B6682-1BAA-4C1A-89E0-2303CD82D10A}"/>
    <cellStyle name="Normal 4 3 3 2 7" xfId="3423" xr:uid="{00000000-0005-0000-0000-0000070D0000}"/>
    <cellStyle name="Normal 4 3 3 2 7 2" xfId="8745" xr:uid="{B67904DD-B90F-4D50-BBCD-80CDEF19EE0C}"/>
    <cellStyle name="Normal 4 3 3 2 8" xfId="3424" xr:uid="{00000000-0005-0000-0000-0000080D0000}"/>
    <cellStyle name="Normal 4 3 3 2 8 2" xfId="8746" xr:uid="{2F01245C-858E-418A-A437-B328AC561671}"/>
    <cellStyle name="Normal 4 3 3 2 9" xfId="5488" xr:uid="{86971092-5C59-48F4-A899-F880EDB20B5F}"/>
    <cellStyle name="Normal 4 3 3 3" xfId="3425" xr:uid="{00000000-0005-0000-0000-0000090D0000}"/>
    <cellStyle name="Normal 4 3 3 3 2" xfId="3426" xr:uid="{00000000-0005-0000-0000-00000A0D0000}"/>
    <cellStyle name="Normal 4 3 3 3 2 2" xfId="3427" xr:uid="{00000000-0005-0000-0000-00000B0D0000}"/>
    <cellStyle name="Normal 4 3 3 3 2 2 2" xfId="8749" xr:uid="{A3986A34-7BDA-4902-963D-9163E8B65ACB}"/>
    <cellStyle name="Normal 4 3 3 3 2 3" xfId="3428" xr:uid="{00000000-0005-0000-0000-00000C0D0000}"/>
    <cellStyle name="Normal 4 3 3 3 2 3 2" xfId="8750" xr:uid="{15A7DB15-658F-44F8-9C1C-CEADFE20775C}"/>
    <cellStyle name="Normal 4 3 3 3 2 4" xfId="8748" xr:uid="{9D78300B-9612-40C4-A8AA-8FAB314740E4}"/>
    <cellStyle name="Normal 4 3 3 3 3" xfId="3429" xr:uid="{00000000-0005-0000-0000-00000D0D0000}"/>
    <cellStyle name="Normal 4 3 3 3 3 2" xfId="8751" xr:uid="{8D1370E0-A267-44FA-AFBB-0783B004BC89}"/>
    <cellStyle name="Normal 4 3 3 3 4" xfId="3430" xr:uid="{00000000-0005-0000-0000-00000E0D0000}"/>
    <cellStyle name="Normal 4 3 3 3 4 2" xfId="8752" xr:uid="{1D79DECE-8CC5-40A4-AF58-0BD38E5071CC}"/>
    <cellStyle name="Normal 4 3 3 3 5" xfId="8747" xr:uid="{C81A41E1-2F66-4088-BAD0-D6E65D4C1EBC}"/>
    <cellStyle name="Normal 4 3 3 4" xfId="3431" xr:uid="{00000000-0005-0000-0000-00000F0D0000}"/>
    <cellStyle name="Normal 4 3 3 4 2" xfId="3432" xr:uid="{00000000-0005-0000-0000-0000100D0000}"/>
    <cellStyle name="Normal 4 3 3 4 2 2" xfId="3433" xr:uid="{00000000-0005-0000-0000-0000110D0000}"/>
    <cellStyle name="Normal 4 3 3 4 2 2 2" xfId="8755" xr:uid="{0BBE671C-8C41-4516-8EB8-ABEEF5F034A8}"/>
    <cellStyle name="Normal 4 3 3 4 2 3" xfId="8754" xr:uid="{4CD17648-55B3-4A15-96D3-805245E57EB3}"/>
    <cellStyle name="Normal 4 3 3 4 3" xfId="3434" xr:uid="{00000000-0005-0000-0000-0000120D0000}"/>
    <cellStyle name="Normal 4 3 3 4 3 2" xfId="8756" xr:uid="{B7B7F1E2-81A8-42E2-ABE0-4AD5624E9694}"/>
    <cellStyle name="Normal 4 3 3 4 4" xfId="3435" xr:uid="{00000000-0005-0000-0000-0000130D0000}"/>
    <cellStyle name="Normal 4 3 3 4 4 2" xfId="8757" xr:uid="{2587BC83-5085-486E-AD9E-3A4C0A479178}"/>
    <cellStyle name="Normal 4 3 3 4 5" xfId="8753" xr:uid="{04B1C3AC-5D23-4562-9F00-B0B867557271}"/>
    <cellStyle name="Normal 4 3 3 5" xfId="3436" xr:uid="{00000000-0005-0000-0000-0000140D0000}"/>
    <cellStyle name="Normal 4 3 3 5 2" xfId="3437" xr:uid="{00000000-0005-0000-0000-0000150D0000}"/>
    <cellStyle name="Normal 4 3 3 5 2 2" xfId="8759" xr:uid="{7B44065F-5220-4BCF-B801-9010C8C1F9AD}"/>
    <cellStyle name="Normal 4 3 3 5 3" xfId="8758" xr:uid="{58CED9D2-EA0F-4AB1-BE8E-4D60C66857A4}"/>
    <cellStyle name="Normal 4 3 3 6" xfId="3438" xr:uid="{00000000-0005-0000-0000-0000160D0000}"/>
    <cellStyle name="Normal 4 3 3 6 2" xfId="3439" xr:uid="{00000000-0005-0000-0000-0000170D0000}"/>
    <cellStyle name="Normal 4 3 3 6 2 2" xfId="8761" xr:uid="{504C715B-7AF3-406E-AA13-DD2D784EEE1F}"/>
    <cellStyle name="Normal 4 3 3 6 3" xfId="8760" xr:uid="{785E8031-2669-4560-8065-6C571A4804DD}"/>
    <cellStyle name="Normal 4 3 3 7" xfId="3440" xr:uid="{00000000-0005-0000-0000-0000180D0000}"/>
    <cellStyle name="Normal 4 3 3 7 2" xfId="3441" xr:uid="{00000000-0005-0000-0000-0000190D0000}"/>
    <cellStyle name="Normal 4 3 3 7 2 2" xfId="8763" xr:uid="{5FB59281-FE70-42BE-AFC4-69623E95448D}"/>
    <cellStyle name="Normal 4 3 3 7 3" xfId="8762" xr:uid="{E321CD41-F965-48DC-A43B-F8E4283AD75F}"/>
    <cellStyle name="Normal 4 3 3 8" xfId="3442" xr:uid="{00000000-0005-0000-0000-00001A0D0000}"/>
    <cellStyle name="Normal 4 3 3 8 2" xfId="8764" xr:uid="{0940FA5D-ED82-4967-883C-F2DD048A94B5}"/>
    <cellStyle name="Normal 4 3 3 9" xfId="3443" xr:uid="{00000000-0005-0000-0000-00001B0D0000}"/>
    <cellStyle name="Normal 4 3 3 9 2" xfId="8765" xr:uid="{2431A61E-D4DA-4EA7-89A7-456D779D27B4}"/>
    <cellStyle name="Normal 4 3 4" xfId="155" xr:uid="{00000000-0005-0000-0000-00001C0D0000}"/>
    <cellStyle name="Normal 4 3 4 10" xfId="5489" xr:uid="{FE3BEB84-F416-42F0-B07C-AFDCBACFA4E1}"/>
    <cellStyle name="Normal 4 3 4 2" xfId="3444" xr:uid="{00000000-0005-0000-0000-00001D0D0000}"/>
    <cellStyle name="Normal 4 3 4 2 2" xfId="3445" xr:uid="{00000000-0005-0000-0000-00001E0D0000}"/>
    <cellStyle name="Normal 4 3 4 2 2 2" xfId="3446" xr:uid="{00000000-0005-0000-0000-00001F0D0000}"/>
    <cellStyle name="Normal 4 3 4 2 2 2 2" xfId="3447" xr:uid="{00000000-0005-0000-0000-0000200D0000}"/>
    <cellStyle name="Normal 4 3 4 2 2 2 2 2" xfId="8769" xr:uid="{BE05CC46-332B-475D-AC92-25FF52675F5E}"/>
    <cellStyle name="Normal 4 3 4 2 2 2 3" xfId="3448" xr:uid="{00000000-0005-0000-0000-0000210D0000}"/>
    <cellStyle name="Normal 4 3 4 2 2 2 3 2" xfId="8770" xr:uid="{CD03341A-4C69-439B-AA93-3BB3FB76E068}"/>
    <cellStyle name="Normal 4 3 4 2 2 2 4" xfId="8768" xr:uid="{B1E3FBAD-41DD-49F9-9810-3910532E61B7}"/>
    <cellStyle name="Normal 4 3 4 2 2 3" xfId="3449" xr:uid="{00000000-0005-0000-0000-0000220D0000}"/>
    <cellStyle name="Normal 4 3 4 2 2 3 2" xfId="8771" xr:uid="{91E74E56-B1EA-4D4C-A746-730AC7D2F93D}"/>
    <cellStyle name="Normal 4 3 4 2 2 4" xfId="3450" xr:uid="{00000000-0005-0000-0000-0000230D0000}"/>
    <cellStyle name="Normal 4 3 4 2 2 4 2" xfId="8772" xr:uid="{8CEF8A5E-600A-4894-A473-AF1996223D6D}"/>
    <cellStyle name="Normal 4 3 4 2 2 5" xfId="8767" xr:uid="{1AB88ABE-DE67-4F6A-98AF-B0E9169EEE5E}"/>
    <cellStyle name="Normal 4 3 4 2 3" xfId="3451" xr:uid="{00000000-0005-0000-0000-0000240D0000}"/>
    <cellStyle name="Normal 4 3 4 2 3 2" xfId="3452" xr:uid="{00000000-0005-0000-0000-0000250D0000}"/>
    <cellStyle name="Normal 4 3 4 2 3 2 2" xfId="3453" xr:uid="{00000000-0005-0000-0000-0000260D0000}"/>
    <cellStyle name="Normal 4 3 4 2 3 2 2 2" xfId="8775" xr:uid="{40DA150B-EF76-4AA7-83F9-226437EC1C50}"/>
    <cellStyle name="Normal 4 3 4 2 3 2 3" xfId="8774" xr:uid="{7DFCB86D-B249-48A7-B302-E1645A898CB2}"/>
    <cellStyle name="Normal 4 3 4 2 3 3" xfId="3454" xr:uid="{00000000-0005-0000-0000-0000270D0000}"/>
    <cellStyle name="Normal 4 3 4 2 3 3 2" xfId="8776" xr:uid="{440C593E-1C27-46FD-A835-8C690092E311}"/>
    <cellStyle name="Normal 4 3 4 2 3 4" xfId="3455" xr:uid="{00000000-0005-0000-0000-0000280D0000}"/>
    <cellStyle name="Normal 4 3 4 2 3 4 2" xfId="8777" xr:uid="{0CED32F2-DAAD-475B-B07E-6934A3BC1B30}"/>
    <cellStyle name="Normal 4 3 4 2 3 5" xfId="8773" xr:uid="{22574508-84C2-40D1-AEA4-BA4B35CD1014}"/>
    <cellStyle name="Normal 4 3 4 2 4" xfId="3456" xr:uid="{00000000-0005-0000-0000-0000290D0000}"/>
    <cellStyle name="Normal 4 3 4 2 4 2" xfId="3457" xr:uid="{00000000-0005-0000-0000-00002A0D0000}"/>
    <cellStyle name="Normal 4 3 4 2 4 2 2" xfId="8779" xr:uid="{99CCACAA-D471-42B5-9604-7233D7EA2A10}"/>
    <cellStyle name="Normal 4 3 4 2 4 3" xfId="8778" xr:uid="{6A5AA7D2-E172-47F1-87EB-70D3C6709DDF}"/>
    <cellStyle name="Normal 4 3 4 2 5" xfId="3458" xr:uid="{00000000-0005-0000-0000-00002B0D0000}"/>
    <cellStyle name="Normal 4 3 4 2 5 2" xfId="8780" xr:uid="{A0C1F9CE-59ED-4319-BA13-863744ED2A48}"/>
    <cellStyle name="Normal 4 3 4 2 6" xfId="3459" xr:uid="{00000000-0005-0000-0000-00002C0D0000}"/>
    <cellStyle name="Normal 4 3 4 2 6 2" xfId="8781" xr:uid="{5CE63335-2DD4-4747-BD7E-BD96E15A53B3}"/>
    <cellStyle name="Normal 4 3 4 2 7" xfId="8766" xr:uid="{AAF82A7D-E4C5-4743-AA94-6E8CAA7831E0}"/>
    <cellStyle name="Normal 4 3 4 3" xfId="3460" xr:uid="{00000000-0005-0000-0000-00002D0D0000}"/>
    <cellStyle name="Normal 4 3 4 3 2" xfId="3461" xr:uid="{00000000-0005-0000-0000-00002E0D0000}"/>
    <cellStyle name="Normal 4 3 4 3 2 2" xfId="3462" xr:uid="{00000000-0005-0000-0000-00002F0D0000}"/>
    <cellStyle name="Normal 4 3 4 3 2 2 2" xfId="8784" xr:uid="{A539881C-139D-469F-98FA-CDFFE202794D}"/>
    <cellStyle name="Normal 4 3 4 3 2 3" xfId="3463" xr:uid="{00000000-0005-0000-0000-0000300D0000}"/>
    <cellStyle name="Normal 4 3 4 3 2 3 2" xfId="8785" xr:uid="{865D69BD-FF87-4484-8666-A3D08594C6AE}"/>
    <cellStyle name="Normal 4 3 4 3 2 4" xfId="8783" xr:uid="{AA3E6617-A3EA-4051-A3AB-0283871AFB1E}"/>
    <cellStyle name="Normal 4 3 4 3 3" xfId="3464" xr:uid="{00000000-0005-0000-0000-0000310D0000}"/>
    <cellStyle name="Normal 4 3 4 3 3 2" xfId="8786" xr:uid="{154C28D8-DEA3-41E2-ACED-C0C2AB75A29E}"/>
    <cellStyle name="Normal 4 3 4 3 4" xfId="3465" xr:uid="{00000000-0005-0000-0000-0000320D0000}"/>
    <cellStyle name="Normal 4 3 4 3 4 2" xfId="8787" xr:uid="{CAB96B8D-6C4D-4050-8A8C-DBF647D920FF}"/>
    <cellStyle name="Normal 4 3 4 3 5" xfId="8782" xr:uid="{44065968-279F-45AC-931A-36B904B4A3F9}"/>
    <cellStyle name="Normal 4 3 4 4" xfId="3466" xr:uid="{00000000-0005-0000-0000-0000330D0000}"/>
    <cellStyle name="Normal 4 3 4 4 2" xfId="3467" xr:uid="{00000000-0005-0000-0000-0000340D0000}"/>
    <cellStyle name="Normal 4 3 4 4 2 2" xfId="3468" xr:uid="{00000000-0005-0000-0000-0000350D0000}"/>
    <cellStyle name="Normal 4 3 4 4 2 2 2" xfId="8790" xr:uid="{BF09EF31-9E53-4E45-9745-5F3C8588878E}"/>
    <cellStyle name="Normal 4 3 4 4 2 3" xfId="8789" xr:uid="{6798D86A-343D-4F76-95DB-5B6F0BCDD1E8}"/>
    <cellStyle name="Normal 4 3 4 4 3" xfId="3469" xr:uid="{00000000-0005-0000-0000-0000360D0000}"/>
    <cellStyle name="Normal 4 3 4 4 3 2" xfId="8791" xr:uid="{7A430FAA-3603-42FE-A3BC-2BC323B4B084}"/>
    <cellStyle name="Normal 4 3 4 4 4" xfId="3470" xr:uid="{00000000-0005-0000-0000-0000370D0000}"/>
    <cellStyle name="Normal 4 3 4 4 4 2" xfId="8792" xr:uid="{6EE83F86-B58F-4181-A4B1-0DC01DF2286D}"/>
    <cellStyle name="Normal 4 3 4 4 5" xfId="8788" xr:uid="{B8ABB9D8-CFF7-4DE2-B2DE-3329002671DE}"/>
    <cellStyle name="Normal 4 3 4 5" xfId="3471" xr:uid="{00000000-0005-0000-0000-0000380D0000}"/>
    <cellStyle name="Normal 4 3 4 5 2" xfId="3472" xr:uid="{00000000-0005-0000-0000-0000390D0000}"/>
    <cellStyle name="Normal 4 3 4 5 2 2" xfId="8794" xr:uid="{6569615C-D596-440F-A6F4-2D7C8042C16A}"/>
    <cellStyle name="Normal 4 3 4 5 3" xfId="8793" xr:uid="{5F2CA2D4-472A-4C18-B433-F5FB6FD611DA}"/>
    <cellStyle name="Normal 4 3 4 6" xfId="3473" xr:uid="{00000000-0005-0000-0000-00003A0D0000}"/>
    <cellStyle name="Normal 4 3 4 6 2" xfId="3474" xr:uid="{00000000-0005-0000-0000-00003B0D0000}"/>
    <cellStyle name="Normal 4 3 4 6 2 2" xfId="8796" xr:uid="{F872AD53-F3C3-445E-B2FB-2952B75F0FA0}"/>
    <cellStyle name="Normal 4 3 4 6 3" xfId="8795" xr:uid="{23BD46EE-8278-446F-A61B-D757559B594B}"/>
    <cellStyle name="Normal 4 3 4 7" xfId="3475" xr:uid="{00000000-0005-0000-0000-00003C0D0000}"/>
    <cellStyle name="Normal 4 3 4 7 2" xfId="3476" xr:uid="{00000000-0005-0000-0000-00003D0D0000}"/>
    <cellStyle name="Normal 4 3 4 7 2 2" xfId="8798" xr:uid="{1B3F94FC-7F14-4F7D-97A9-A026521AD137}"/>
    <cellStyle name="Normal 4 3 4 7 3" xfId="8797" xr:uid="{849A074B-8CBD-4B1B-85A3-63ACD7972CBD}"/>
    <cellStyle name="Normal 4 3 4 8" xfId="3477" xr:uid="{00000000-0005-0000-0000-00003E0D0000}"/>
    <cellStyle name="Normal 4 3 4 8 2" xfId="8799" xr:uid="{002F173B-2C3E-438F-A6C3-D2469FC9C28E}"/>
    <cellStyle name="Normal 4 3 4 9" xfId="3478" xr:uid="{00000000-0005-0000-0000-00003F0D0000}"/>
    <cellStyle name="Normal 4 3 4 9 2" xfId="8800" xr:uid="{C212AEDA-6ED8-4873-A0F1-95F27851596D}"/>
    <cellStyle name="Normal 4 3 5" xfId="3479" xr:uid="{00000000-0005-0000-0000-0000400D0000}"/>
    <cellStyle name="Normal 4 3 5 2" xfId="3480" xr:uid="{00000000-0005-0000-0000-0000410D0000}"/>
    <cellStyle name="Normal 4 3 5 2 2" xfId="3481" xr:uid="{00000000-0005-0000-0000-0000420D0000}"/>
    <cellStyle name="Normal 4 3 5 2 2 2" xfId="3482" xr:uid="{00000000-0005-0000-0000-0000430D0000}"/>
    <cellStyle name="Normal 4 3 5 2 2 2 2" xfId="8804" xr:uid="{ABBB40D9-CB18-49F5-8D2E-D63504B87BF2}"/>
    <cellStyle name="Normal 4 3 5 2 2 3" xfId="3483" xr:uid="{00000000-0005-0000-0000-0000440D0000}"/>
    <cellStyle name="Normal 4 3 5 2 2 3 2" xfId="8805" xr:uid="{DD75E7B1-74CF-480D-8B6E-F8BF710AE279}"/>
    <cellStyle name="Normal 4 3 5 2 2 4" xfId="8803" xr:uid="{07F3BFB7-A5A9-4D68-84D7-BF1FFDB69A1A}"/>
    <cellStyle name="Normal 4 3 5 2 3" xfId="3484" xr:uid="{00000000-0005-0000-0000-0000450D0000}"/>
    <cellStyle name="Normal 4 3 5 2 3 2" xfId="8806" xr:uid="{37D2CD5C-1EB0-46F9-9173-5DDE80579772}"/>
    <cellStyle name="Normal 4 3 5 2 4" xfId="3485" xr:uid="{00000000-0005-0000-0000-0000460D0000}"/>
    <cellStyle name="Normal 4 3 5 2 4 2" xfId="8807" xr:uid="{A72143A8-09DA-4987-AD84-2172956E3758}"/>
    <cellStyle name="Normal 4 3 5 2 5" xfId="8802" xr:uid="{65CE5102-49A3-4214-9A7F-F99D21F7180C}"/>
    <cellStyle name="Normal 4 3 5 3" xfId="3486" xr:uid="{00000000-0005-0000-0000-0000470D0000}"/>
    <cellStyle name="Normal 4 3 5 3 2" xfId="3487" xr:uid="{00000000-0005-0000-0000-0000480D0000}"/>
    <cellStyle name="Normal 4 3 5 3 2 2" xfId="3488" xr:uid="{00000000-0005-0000-0000-0000490D0000}"/>
    <cellStyle name="Normal 4 3 5 3 2 2 2" xfId="8810" xr:uid="{F31D8699-F752-40C1-83B1-A0A6BF3E7980}"/>
    <cellStyle name="Normal 4 3 5 3 2 3" xfId="8809" xr:uid="{3BCCABBD-1DA7-41E7-891E-6CA0B291DF9B}"/>
    <cellStyle name="Normal 4 3 5 3 3" xfId="3489" xr:uid="{00000000-0005-0000-0000-00004A0D0000}"/>
    <cellStyle name="Normal 4 3 5 3 3 2" xfId="8811" xr:uid="{FE1900F2-7FEB-4C07-BE98-A1908E4B1F49}"/>
    <cellStyle name="Normal 4 3 5 3 4" xfId="3490" xr:uid="{00000000-0005-0000-0000-00004B0D0000}"/>
    <cellStyle name="Normal 4 3 5 3 4 2" xfId="8812" xr:uid="{54FB59CB-E887-47DD-A84B-84DB828FC8B6}"/>
    <cellStyle name="Normal 4 3 5 3 5" xfId="8808" xr:uid="{16095C34-0F2F-466E-8AA4-A9B432082E0C}"/>
    <cellStyle name="Normal 4 3 5 4" xfId="3491" xr:uid="{00000000-0005-0000-0000-00004C0D0000}"/>
    <cellStyle name="Normal 4 3 5 4 2" xfId="3492" xr:uid="{00000000-0005-0000-0000-00004D0D0000}"/>
    <cellStyle name="Normal 4 3 5 4 2 2" xfId="8814" xr:uid="{741CA8CA-1131-48FE-93D8-FF24FECDC0C1}"/>
    <cellStyle name="Normal 4 3 5 4 3" xfId="8813" xr:uid="{C552CD32-B8FD-46B3-A9C5-0C4F4E308A30}"/>
    <cellStyle name="Normal 4 3 5 5" xfId="3493" xr:uid="{00000000-0005-0000-0000-00004E0D0000}"/>
    <cellStyle name="Normal 4 3 5 5 2" xfId="8815" xr:uid="{C5FA0058-3B58-4ECB-9DE3-800248CE287C}"/>
    <cellStyle name="Normal 4 3 5 6" xfId="3494" xr:uid="{00000000-0005-0000-0000-00004F0D0000}"/>
    <cellStyle name="Normal 4 3 5 6 2" xfId="8816" xr:uid="{2BE5659F-AEDF-434D-B01B-F21B73ECDB58}"/>
    <cellStyle name="Normal 4 3 5 7" xfId="8801" xr:uid="{2D7A7DC9-A276-413D-BC21-6D397ECC9FCD}"/>
    <cellStyle name="Normal 4 3 6" xfId="3495" xr:uid="{00000000-0005-0000-0000-0000500D0000}"/>
    <cellStyle name="Normal 4 3 6 2" xfId="3496" xr:uid="{00000000-0005-0000-0000-0000510D0000}"/>
    <cellStyle name="Normal 4 3 6 2 2" xfId="3497" xr:uid="{00000000-0005-0000-0000-0000520D0000}"/>
    <cellStyle name="Normal 4 3 6 2 2 2" xfId="8819" xr:uid="{F1C39A87-3AD6-4BA5-94E5-46E1B0716B97}"/>
    <cellStyle name="Normal 4 3 6 2 3" xfId="3498" xr:uid="{00000000-0005-0000-0000-0000530D0000}"/>
    <cellStyle name="Normal 4 3 6 2 3 2" xfId="8820" xr:uid="{DE04EFC0-C68C-4B97-9BBA-FA0BC4345E6A}"/>
    <cellStyle name="Normal 4 3 6 2 4" xfId="8818" xr:uid="{10285283-38BD-4F41-B3BC-862F1C88287C}"/>
    <cellStyle name="Normal 4 3 6 3" xfId="3499" xr:uid="{00000000-0005-0000-0000-0000540D0000}"/>
    <cellStyle name="Normal 4 3 6 3 2" xfId="3500" xr:uid="{00000000-0005-0000-0000-0000550D0000}"/>
    <cellStyle name="Normal 4 3 6 3 2 2" xfId="8822" xr:uid="{AF44FF0A-5845-45F9-BBCA-C96ECBE04D2B}"/>
    <cellStyle name="Normal 4 3 6 3 3" xfId="8821" xr:uid="{1AEF1FAB-738F-4165-BE24-6FC6424891EF}"/>
    <cellStyle name="Normal 4 3 6 4" xfId="3501" xr:uid="{00000000-0005-0000-0000-0000560D0000}"/>
    <cellStyle name="Normal 4 3 6 4 2" xfId="8823" xr:uid="{64BEA1EE-0397-4989-83FE-5E8823642359}"/>
    <cellStyle name="Normal 4 3 6 5" xfId="8817" xr:uid="{202F199F-865E-4B76-924B-B9EBA860C1E6}"/>
    <cellStyle name="Normal 4 3 7" xfId="3502" xr:uid="{00000000-0005-0000-0000-0000570D0000}"/>
    <cellStyle name="Normal 4 3 7 2" xfId="3503" xr:uid="{00000000-0005-0000-0000-0000580D0000}"/>
    <cellStyle name="Normal 4 3 7 2 2" xfId="3504" xr:uid="{00000000-0005-0000-0000-0000590D0000}"/>
    <cellStyle name="Normal 4 3 7 2 2 2" xfId="8826" xr:uid="{00A795E2-F152-4A62-A893-EF10D5314C9D}"/>
    <cellStyle name="Normal 4 3 7 2 3" xfId="8825" xr:uid="{E2C7B48D-CB3D-4398-BA3E-0D9F1A50DCA9}"/>
    <cellStyle name="Normal 4 3 7 3" xfId="3505" xr:uid="{00000000-0005-0000-0000-00005A0D0000}"/>
    <cellStyle name="Normal 4 3 7 3 2" xfId="8827" xr:uid="{F8F979C4-E68C-4AAD-82B8-B1F2D71FA5B7}"/>
    <cellStyle name="Normal 4 3 7 4" xfId="3506" xr:uid="{00000000-0005-0000-0000-00005B0D0000}"/>
    <cellStyle name="Normal 4 3 7 4 2" xfId="8828" xr:uid="{AE65F355-E4A6-47A2-8EB3-90BFAE617EAA}"/>
    <cellStyle name="Normal 4 3 7 5" xfId="8824" xr:uid="{97BE3DE7-7E23-40D0-96ED-5382C9623D47}"/>
    <cellStyle name="Normal 4 3 8" xfId="3507" xr:uid="{00000000-0005-0000-0000-00005C0D0000}"/>
    <cellStyle name="Normal 4 3 8 2" xfId="3508" xr:uid="{00000000-0005-0000-0000-00005D0D0000}"/>
    <cellStyle name="Normal 4 3 8 2 2" xfId="8830" xr:uid="{1FB45C5D-E076-4C72-807A-0DA976193899}"/>
    <cellStyle name="Normal 4 3 8 3" xfId="3509" xr:uid="{00000000-0005-0000-0000-00005E0D0000}"/>
    <cellStyle name="Normal 4 3 8 3 2" xfId="8831" xr:uid="{A4EE1E1F-4CB6-4296-8C98-F16E0B2EDD90}"/>
    <cellStyle name="Normal 4 3 8 4" xfId="8829" xr:uid="{3438A153-7D18-4DD0-89F4-EB629C7A42AD}"/>
    <cellStyle name="Normal 4 3 9" xfId="3510" xr:uid="{00000000-0005-0000-0000-00005F0D0000}"/>
    <cellStyle name="Normal 4 3 9 2" xfId="3511" xr:uid="{00000000-0005-0000-0000-0000600D0000}"/>
    <cellStyle name="Normal 4 3 9 2 2" xfId="8833" xr:uid="{F926019B-E9AF-4B85-92C9-63EC01C6978C}"/>
    <cellStyle name="Normal 4 3 9 3" xfId="8832" xr:uid="{687B2E50-6812-4D01-BDAC-34135E573838}"/>
    <cellStyle name="Normal 4 4" xfId="156" xr:uid="{00000000-0005-0000-0000-0000610D0000}"/>
    <cellStyle name="Normal 4 4 10" xfId="3512" xr:uid="{00000000-0005-0000-0000-0000620D0000}"/>
    <cellStyle name="Normal 4 4 10 2" xfId="8834" xr:uid="{DBE07096-A0F5-4BE9-A79C-7E395B3B98A9}"/>
    <cellStyle name="Normal 4 4 11" xfId="3513" xr:uid="{00000000-0005-0000-0000-0000630D0000}"/>
    <cellStyle name="Normal 4 4 11 2" xfId="8835" xr:uid="{DC24F157-73F3-4E76-8900-B32F8312530A}"/>
    <cellStyle name="Normal 4 4 12" xfId="5490" xr:uid="{A54AEA27-76EF-4BE4-9EA4-DF5D12D89054}"/>
    <cellStyle name="Normal 4 4 2" xfId="157" xr:uid="{00000000-0005-0000-0000-0000640D0000}"/>
    <cellStyle name="Normal 4 4 2 10" xfId="5491" xr:uid="{580E38A4-30F1-4D33-BA5A-F2CB6AEE5FBF}"/>
    <cellStyle name="Normal 4 4 2 2" xfId="158" xr:uid="{00000000-0005-0000-0000-0000650D0000}"/>
    <cellStyle name="Normal 4 4 2 2 2" xfId="3514" xr:uid="{00000000-0005-0000-0000-0000660D0000}"/>
    <cellStyle name="Normal 4 4 2 2 2 2" xfId="3515" xr:uid="{00000000-0005-0000-0000-0000670D0000}"/>
    <cellStyle name="Normal 4 4 2 2 2 2 2" xfId="3516" xr:uid="{00000000-0005-0000-0000-0000680D0000}"/>
    <cellStyle name="Normal 4 4 2 2 2 2 2 2" xfId="8838" xr:uid="{A0B162C6-531D-4777-85E1-50DA8F2239FA}"/>
    <cellStyle name="Normal 4 4 2 2 2 2 3" xfId="3517" xr:uid="{00000000-0005-0000-0000-0000690D0000}"/>
    <cellStyle name="Normal 4 4 2 2 2 2 3 2" xfId="8839" xr:uid="{3671090F-02B3-4283-AD02-DA69309D6EB1}"/>
    <cellStyle name="Normal 4 4 2 2 2 2 4" xfId="8837" xr:uid="{DE584654-574B-4234-9B81-D3E5C163CBC8}"/>
    <cellStyle name="Normal 4 4 2 2 2 3" xfId="3518" xr:uid="{00000000-0005-0000-0000-00006A0D0000}"/>
    <cellStyle name="Normal 4 4 2 2 2 3 2" xfId="8840" xr:uid="{8BD56871-C65A-4B94-8F50-B754CDEB0E98}"/>
    <cellStyle name="Normal 4 4 2 2 2 4" xfId="3519" xr:uid="{00000000-0005-0000-0000-00006B0D0000}"/>
    <cellStyle name="Normal 4 4 2 2 2 4 2" xfId="8841" xr:uid="{70579868-F8A2-4205-A552-A2AE9036AED2}"/>
    <cellStyle name="Normal 4 4 2 2 2 5" xfId="8836" xr:uid="{5077B461-D218-4191-BCC1-CC6A779154BA}"/>
    <cellStyle name="Normal 4 4 2 2 3" xfId="3520" xr:uid="{00000000-0005-0000-0000-00006C0D0000}"/>
    <cellStyle name="Normal 4 4 2 2 3 2" xfId="3521" xr:uid="{00000000-0005-0000-0000-00006D0D0000}"/>
    <cellStyle name="Normal 4 4 2 2 3 2 2" xfId="3522" xr:uid="{00000000-0005-0000-0000-00006E0D0000}"/>
    <cellStyle name="Normal 4 4 2 2 3 2 2 2" xfId="8844" xr:uid="{C23AA873-4843-4E9C-B125-61FB235FC11E}"/>
    <cellStyle name="Normal 4 4 2 2 3 2 3" xfId="8843" xr:uid="{B92BD2BD-2913-4D92-A4F2-066BB59B10A6}"/>
    <cellStyle name="Normal 4 4 2 2 3 3" xfId="3523" xr:uid="{00000000-0005-0000-0000-00006F0D0000}"/>
    <cellStyle name="Normal 4 4 2 2 3 3 2" xfId="8845" xr:uid="{BF40BF7C-2613-4DB5-B31B-F5912CA15DC5}"/>
    <cellStyle name="Normal 4 4 2 2 3 4" xfId="3524" xr:uid="{00000000-0005-0000-0000-0000700D0000}"/>
    <cellStyle name="Normal 4 4 2 2 3 4 2" xfId="8846" xr:uid="{752564AD-3576-4453-99A1-05E69F0E427C}"/>
    <cellStyle name="Normal 4 4 2 2 3 5" xfId="8842" xr:uid="{737E66CF-AED2-4D5E-A353-F53B98D8DF1B}"/>
    <cellStyle name="Normal 4 4 2 2 4" xfId="3525" xr:uid="{00000000-0005-0000-0000-0000710D0000}"/>
    <cellStyle name="Normal 4 4 2 2 4 2" xfId="3526" xr:uid="{00000000-0005-0000-0000-0000720D0000}"/>
    <cellStyle name="Normal 4 4 2 2 4 2 2" xfId="8848" xr:uid="{6C50DB48-FA95-4233-95D3-6212368442E8}"/>
    <cellStyle name="Normal 4 4 2 2 4 3" xfId="8847" xr:uid="{9C5F6582-F652-426C-8845-8C511A95D6CE}"/>
    <cellStyle name="Normal 4 4 2 2 5" xfId="3527" xr:uid="{00000000-0005-0000-0000-0000730D0000}"/>
    <cellStyle name="Normal 4 4 2 2 5 2" xfId="3528" xr:uid="{00000000-0005-0000-0000-0000740D0000}"/>
    <cellStyle name="Normal 4 4 2 2 5 2 2" xfId="8850" xr:uid="{7C237361-C28E-45D8-842A-DFDADC75E23F}"/>
    <cellStyle name="Normal 4 4 2 2 5 3" xfId="8849" xr:uid="{236B3056-9FBF-4737-810C-E865A78B5318}"/>
    <cellStyle name="Normal 4 4 2 2 6" xfId="3529" xr:uid="{00000000-0005-0000-0000-0000750D0000}"/>
    <cellStyle name="Normal 4 4 2 2 6 2" xfId="3530" xr:uid="{00000000-0005-0000-0000-0000760D0000}"/>
    <cellStyle name="Normal 4 4 2 2 6 2 2" xfId="8852" xr:uid="{8A2574C7-60BF-4D05-B806-B218960C82D7}"/>
    <cellStyle name="Normal 4 4 2 2 6 3" xfId="8851" xr:uid="{B6D9463A-5D9A-4EFD-9378-D2134301C192}"/>
    <cellStyle name="Normal 4 4 2 2 7" xfId="3531" xr:uid="{00000000-0005-0000-0000-0000770D0000}"/>
    <cellStyle name="Normal 4 4 2 2 7 2" xfId="8853" xr:uid="{4A423C49-E45E-468B-929B-50550AF57E22}"/>
    <cellStyle name="Normal 4 4 2 2 8" xfId="3532" xr:uid="{00000000-0005-0000-0000-0000780D0000}"/>
    <cellStyle name="Normal 4 4 2 2 8 2" xfId="8854" xr:uid="{E5068458-89D9-4153-9348-FB0978338899}"/>
    <cellStyle name="Normal 4 4 2 2 9" xfId="5492" xr:uid="{9EA2E357-7E0C-403C-BDA8-2BA4884CD364}"/>
    <cellStyle name="Normal 4 4 2 3" xfId="3533" xr:uid="{00000000-0005-0000-0000-0000790D0000}"/>
    <cellStyle name="Normal 4 4 2 3 2" xfId="3534" xr:uid="{00000000-0005-0000-0000-00007A0D0000}"/>
    <cellStyle name="Normal 4 4 2 3 2 2" xfId="3535" xr:uid="{00000000-0005-0000-0000-00007B0D0000}"/>
    <cellStyle name="Normal 4 4 2 3 2 2 2" xfId="8857" xr:uid="{667F5EE3-8CDB-45DF-8AE8-4511156CEF3B}"/>
    <cellStyle name="Normal 4 4 2 3 2 3" xfId="3536" xr:uid="{00000000-0005-0000-0000-00007C0D0000}"/>
    <cellStyle name="Normal 4 4 2 3 2 3 2" xfId="8858" xr:uid="{70C05B9F-652E-4423-8371-FDCF6D8F7734}"/>
    <cellStyle name="Normal 4 4 2 3 2 4" xfId="8856" xr:uid="{97853D28-9006-43B1-8DD5-107B54E464A2}"/>
    <cellStyle name="Normal 4 4 2 3 3" xfId="3537" xr:uid="{00000000-0005-0000-0000-00007D0D0000}"/>
    <cellStyle name="Normal 4 4 2 3 3 2" xfId="8859" xr:uid="{01DCBEAA-720D-4702-A70A-1CDD4D654611}"/>
    <cellStyle name="Normal 4 4 2 3 4" xfId="3538" xr:uid="{00000000-0005-0000-0000-00007E0D0000}"/>
    <cellStyle name="Normal 4 4 2 3 4 2" xfId="8860" xr:uid="{4900DC11-B33E-4B0C-AC22-1CA91DCAE1FB}"/>
    <cellStyle name="Normal 4 4 2 3 5" xfId="8855" xr:uid="{208D54F7-269C-4157-B446-13166C75A47F}"/>
    <cellStyle name="Normal 4 4 2 4" xfId="3539" xr:uid="{00000000-0005-0000-0000-00007F0D0000}"/>
    <cellStyle name="Normal 4 4 2 4 2" xfId="3540" xr:uid="{00000000-0005-0000-0000-0000800D0000}"/>
    <cellStyle name="Normal 4 4 2 4 2 2" xfId="3541" xr:uid="{00000000-0005-0000-0000-0000810D0000}"/>
    <cellStyle name="Normal 4 4 2 4 2 2 2" xfId="8863" xr:uid="{9C891F40-55E3-4657-BA24-278CAB9D1C2B}"/>
    <cellStyle name="Normal 4 4 2 4 2 3" xfId="8862" xr:uid="{774D4DFB-4C20-43B2-8ABD-7479D73804A6}"/>
    <cellStyle name="Normal 4 4 2 4 3" xfId="3542" xr:uid="{00000000-0005-0000-0000-0000820D0000}"/>
    <cellStyle name="Normal 4 4 2 4 3 2" xfId="8864" xr:uid="{4439D6A8-0E83-4EB5-92D3-1408A92318F6}"/>
    <cellStyle name="Normal 4 4 2 4 4" xfId="3543" xr:uid="{00000000-0005-0000-0000-0000830D0000}"/>
    <cellStyle name="Normal 4 4 2 4 4 2" xfId="8865" xr:uid="{79D9AF2B-1EDD-4D8F-BA4F-3F2731C3E73C}"/>
    <cellStyle name="Normal 4 4 2 4 5" xfId="8861" xr:uid="{5D33C8BB-7C86-4749-8562-CCFD414F3D6E}"/>
    <cellStyle name="Normal 4 4 2 5" xfId="3544" xr:uid="{00000000-0005-0000-0000-0000840D0000}"/>
    <cellStyle name="Normal 4 4 2 5 2" xfId="3545" xr:uid="{00000000-0005-0000-0000-0000850D0000}"/>
    <cellStyle name="Normal 4 4 2 5 2 2" xfId="8867" xr:uid="{3282715A-79A4-4F04-8A7C-C77D79E619B2}"/>
    <cellStyle name="Normal 4 4 2 5 3" xfId="8866" xr:uid="{B9270DB6-6D51-4A24-96DA-14E013C081CE}"/>
    <cellStyle name="Normal 4 4 2 6" xfId="3546" xr:uid="{00000000-0005-0000-0000-0000860D0000}"/>
    <cellStyle name="Normal 4 4 2 6 2" xfId="3547" xr:uid="{00000000-0005-0000-0000-0000870D0000}"/>
    <cellStyle name="Normal 4 4 2 6 2 2" xfId="8869" xr:uid="{F78EF9FF-6B98-45F5-92C9-CD9B9889D374}"/>
    <cellStyle name="Normal 4 4 2 6 3" xfId="8868" xr:uid="{9F4970CF-C9DC-46FE-9F6F-314EF6FCB0F4}"/>
    <cellStyle name="Normal 4 4 2 7" xfId="3548" xr:uid="{00000000-0005-0000-0000-0000880D0000}"/>
    <cellStyle name="Normal 4 4 2 7 2" xfId="3549" xr:uid="{00000000-0005-0000-0000-0000890D0000}"/>
    <cellStyle name="Normal 4 4 2 7 2 2" xfId="8871" xr:uid="{5D4A0EE8-895D-4A8F-A59E-4F92AFBEC136}"/>
    <cellStyle name="Normal 4 4 2 7 3" xfId="8870" xr:uid="{6BB42613-456B-4FF1-8C2F-DDDA6BD37E61}"/>
    <cellStyle name="Normal 4 4 2 8" xfId="3550" xr:uid="{00000000-0005-0000-0000-00008A0D0000}"/>
    <cellStyle name="Normal 4 4 2 8 2" xfId="8872" xr:uid="{15D9057D-CB81-4B0A-91AF-9EC8B6CDAED9}"/>
    <cellStyle name="Normal 4 4 2 9" xfId="3551" xr:uid="{00000000-0005-0000-0000-00008B0D0000}"/>
    <cellStyle name="Normal 4 4 2 9 2" xfId="8873" xr:uid="{DB3DFF19-2A17-4820-8B65-BBCBEAD8CA56}"/>
    <cellStyle name="Normal 4 4 3" xfId="159" xr:uid="{00000000-0005-0000-0000-00008C0D0000}"/>
    <cellStyle name="Normal 4 4 3 2" xfId="3552" xr:uid="{00000000-0005-0000-0000-00008D0D0000}"/>
    <cellStyle name="Normal 4 4 3 2 2" xfId="3553" xr:uid="{00000000-0005-0000-0000-00008E0D0000}"/>
    <cellStyle name="Normal 4 4 3 2 2 2" xfId="3554" xr:uid="{00000000-0005-0000-0000-00008F0D0000}"/>
    <cellStyle name="Normal 4 4 3 2 2 2 2" xfId="8876" xr:uid="{6F1B1DEB-5AB8-4F83-9A44-21D1FA80AF7B}"/>
    <cellStyle name="Normal 4 4 3 2 2 3" xfId="3555" xr:uid="{00000000-0005-0000-0000-0000900D0000}"/>
    <cellStyle name="Normal 4 4 3 2 2 3 2" xfId="8877" xr:uid="{6105016C-A1F2-4F31-8B56-0B9CBAEDEC60}"/>
    <cellStyle name="Normal 4 4 3 2 2 4" xfId="8875" xr:uid="{1A07E5C3-E82E-46DE-B425-DB0AB958F00A}"/>
    <cellStyle name="Normal 4 4 3 2 3" xfId="3556" xr:uid="{00000000-0005-0000-0000-0000910D0000}"/>
    <cellStyle name="Normal 4 4 3 2 3 2" xfId="8878" xr:uid="{FDF0CA1F-2E46-41A1-9830-98F61F3005E9}"/>
    <cellStyle name="Normal 4 4 3 2 4" xfId="3557" xr:uid="{00000000-0005-0000-0000-0000920D0000}"/>
    <cellStyle name="Normal 4 4 3 2 4 2" xfId="8879" xr:uid="{8539F2BB-187D-44C8-96BD-1F81C9ACCED5}"/>
    <cellStyle name="Normal 4 4 3 2 5" xfId="8874" xr:uid="{ADF45BE1-B9B5-4BF7-8C46-064D8A51CC50}"/>
    <cellStyle name="Normal 4 4 3 3" xfId="3558" xr:uid="{00000000-0005-0000-0000-0000930D0000}"/>
    <cellStyle name="Normal 4 4 3 3 2" xfId="3559" xr:uid="{00000000-0005-0000-0000-0000940D0000}"/>
    <cellStyle name="Normal 4 4 3 3 2 2" xfId="3560" xr:uid="{00000000-0005-0000-0000-0000950D0000}"/>
    <cellStyle name="Normal 4 4 3 3 2 2 2" xfId="8882" xr:uid="{70CA2231-CC00-4C2B-B9FD-C73840F91A96}"/>
    <cellStyle name="Normal 4 4 3 3 2 3" xfId="8881" xr:uid="{1D9E83E6-759D-4FD1-BB7E-FA6EE465DBC5}"/>
    <cellStyle name="Normal 4 4 3 3 3" xfId="3561" xr:uid="{00000000-0005-0000-0000-0000960D0000}"/>
    <cellStyle name="Normal 4 4 3 3 3 2" xfId="8883" xr:uid="{E9148C51-DC69-4A76-B51A-AC75F7F80701}"/>
    <cellStyle name="Normal 4 4 3 3 4" xfId="3562" xr:uid="{00000000-0005-0000-0000-0000970D0000}"/>
    <cellStyle name="Normal 4 4 3 3 4 2" xfId="8884" xr:uid="{598CFACF-9EA2-4FAB-B99B-8FE3F099F511}"/>
    <cellStyle name="Normal 4 4 3 3 5" xfId="8880" xr:uid="{9A9D7011-A68A-47FA-833E-B587592B20D3}"/>
    <cellStyle name="Normal 4 4 3 4" xfId="3563" xr:uid="{00000000-0005-0000-0000-0000980D0000}"/>
    <cellStyle name="Normal 4 4 3 4 2" xfId="3564" xr:uid="{00000000-0005-0000-0000-0000990D0000}"/>
    <cellStyle name="Normal 4 4 3 4 2 2" xfId="8886" xr:uid="{54EA6AFE-5A1A-4A44-B3B6-0BEA8EB6023D}"/>
    <cellStyle name="Normal 4 4 3 4 3" xfId="8885" xr:uid="{599E417D-061C-4E59-AEB9-0EF398B6BB63}"/>
    <cellStyle name="Normal 4 4 3 5" xfId="3565" xr:uid="{00000000-0005-0000-0000-00009A0D0000}"/>
    <cellStyle name="Normal 4 4 3 5 2" xfId="3566" xr:uid="{00000000-0005-0000-0000-00009B0D0000}"/>
    <cellStyle name="Normal 4 4 3 5 2 2" xfId="8888" xr:uid="{5A9AE8A1-332A-4676-A554-1B3EADC4A4E8}"/>
    <cellStyle name="Normal 4 4 3 5 3" xfId="8887" xr:uid="{E10A5BF4-6156-4485-B002-4EDFE6BC5505}"/>
    <cellStyle name="Normal 4 4 3 6" xfId="3567" xr:uid="{00000000-0005-0000-0000-00009C0D0000}"/>
    <cellStyle name="Normal 4 4 3 6 2" xfId="3568" xr:uid="{00000000-0005-0000-0000-00009D0D0000}"/>
    <cellStyle name="Normal 4 4 3 6 2 2" xfId="8890" xr:uid="{7B721BD7-A096-4C1E-9E98-79462A01B414}"/>
    <cellStyle name="Normal 4 4 3 6 3" xfId="8889" xr:uid="{3CD6C252-8AA4-46FE-A42A-BDF67AF958F2}"/>
    <cellStyle name="Normal 4 4 3 7" xfId="3569" xr:uid="{00000000-0005-0000-0000-00009E0D0000}"/>
    <cellStyle name="Normal 4 4 3 7 2" xfId="8891" xr:uid="{F9B61AED-110F-4036-8B4A-F4F0476AE614}"/>
    <cellStyle name="Normal 4 4 3 8" xfId="3570" xr:uid="{00000000-0005-0000-0000-00009F0D0000}"/>
    <cellStyle name="Normal 4 4 3 8 2" xfId="8892" xr:uid="{A346B3D7-F4C3-4529-AC9F-05F7642ED3D5}"/>
    <cellStyle name="Normal 4 4 3 9" xfId="5493" xr:uid="{DF3CF450-FDA5-4DC8-84A6-9BE9EDD789A2}"/>
    <cellStyle name="Normal 4 4 4" xfId="3571" xr:uid="{00000000-0005-0000-0000-0000A00D0000}"/>
    <cellStyle name="Normal 4 4 4 2" xfId="3572" xr:uid="{00000000-0005-0000-0000-0000A10D0000}"/>
    <cellStyle name="Normal 4 4 4 2 2" xfId="3573" xr:uid="{00000000-0005-0000-0000-0000A20D0000}"/>
    <cellStyle name="Normal 4 4 4 2 2 2" xfId="8895" xr:uid="{ABF27AF1-CDEB-40C9-B3F4-D350181250B7}"/>
    <cellStyle name="Normal 4 4 4 2 3" xfId="3574" xr:uid="{00000000-0005-0000-0000-0000A30D0000}"/>
    <cellStyle name="Normal 4 4 4 2 3 2" xfId="8896" xr:uid="{1527085F-E26D-4935-B639-10C28F9537DB}"/>
    <cellStyle name="Normal 4 4 4 2 4" xfId="8894" xr:uid="{8868AEF8-4BB2-47F0-B7E8-744699EAA3D7}"/>
    <cellStyle name="Normal 4 4 4 3" xfId="3575" xr:uid="{00000000-0005-0000-0000-0000A40D0000}"/>
    <cellStyle name="Normal 4 4 4 3 2" xfId="3576" xr:uid="{00000000-0005-0000-0000-0000A50D0000}"/>
    <cellStyle name="Normal 4 4 4 3 2 2" xfId="8898" xr:uid="{C76CDC4F-4912-4F32-8E31-ACCD1E970DD0}"/>
    <cellStyle name="Normal 4 4 4 3 3" xfId="8897" xr:uid="{4FBAFA59-EA9B-496A-A09E-0E5B8407EB4E}"/>
    <cellStyle name="Normal 4 4 4 4" xfId="3577" xr:uid="{00000000-0005-0000-0000-0000A60D0000}"/>
    <cellStyle name="Normal 4 4 4 4 2" xfId="8899" xr:uid="{C70DF803-46F0-4665-956B-6AFD35B92EE8}"/>
    <cellStyle name="Normal 4 4 4 5" xfId="8893" xr:uid="{F3C71CBD-2C41-4264-9E55-A2B28207C4DF}"/>
    <cellStyle name="Normal 4 4 5" xfId="3578" xr:uid="{00000000-0005-0000-0000-0000A70D0000}"/>
    <cellStyle name="Normal 4 4 5 2" xfId="3579" xr:uid="{00000000-0005-0000-0000-0000A80D0000}"/>
    <cellStyle name="Normal 4 4 5 2 2" xfId="3580" xr:uid="{00000000-0005-0000-0000-0000A90D0000}"/>
    <cellStyle name="Normal 4 4 5 2 2 2" xfId="8902" xr:uid="{60C49DAD-ABA0-44B0-B4AA-704B25F5724F}"/>
    <cellStyle name="Normal 4 4 5 2 3" xfId="8901" xr:uid="{62BCF998-D1D6-4303-89DF-46AD132E9EA5}"/>
    <cellStyle name="Normal 4 4 5 3" xfId="3581" xr:uid="{00000000-0005-0000-0000-0000AA0D0000}"/>
    <cellStyle name="Normal 4 4 5 3 2" xfId="8903" xr:uid="{6648BA95-49E3-4B3D-97BA-B4A05259E01B}"/>
    <cellStyle name="Normal 4 4 5 4" xfId="3582" xr:uid="{00000000-0005-0000-0000-0000AB0D0000}"/>
    <cellStyle name="Normal 4 4 5 4 2" xfId="8904" xr:uid="{FA18B434-74A6-453D-8374-785610A0CCF6}"/>
    <cellStyle name="Normal 4 4 5 5" xfId="8900" xr:uid="{15B258AA-F20E-4A63-89B6-F31B6CA6052E}"/>
    <cellStyle name="Normal 4 4 6" xfId="3583" xr:uid="{00000000-0005-0000-0000-0000AC0D0000}"/>
    <cellStyle name="Normal 4 4 6 2" xfId="3584" xr:uid="{00000000-0005-0000-0000-0000AD0D0000}"/>
    <cellStyle name="Normal 4 4 6 2 2" xfId="8906" xr:uid="{F3280FB3-6AD5-4E19-A88A-39A8984E7F5B}"/>
    <cellStyle name="Normal 4 4 6 3" xfId="3585" xr:uid="{00000000-0005-0000-0000-0000AE0D0000}"/>
    <cellStyle name="Normal 4 4 6 3 2" xfId="8907" xr:uid="{7517FBA1-03D2-4FE8-8B12-DD93979572C2}"/>
    <cellStyle name="Normal 4 4 6 4" xfId="8905" xr:uid="{B8E9BE41-26B4-45E0-A43F-5DB9AE49F5C7}"/>
    <cellStyle name="Normal 4 4 7" xfId="3586" xr:uid="{00000000-0005-0000-0000-0000AF0D0000}"/>
    <cellStyle name="Normal 4 4 7 2" xfId="3587" xr:uid="{00000000-0005-0000-0000-0000B00D0000}"/>
    <cellStyle name="Normal 4 4 7 2 2" xfId="8909" xr:uid="{DDF2AE68-9EAD-45F7-8DED-C6AABE589BFC}"/>
    <cellStyle name="Normal 4 4 7 3" xfId="8908" xr:uid="{30A7AC24-2CF9-4024-BE6D-B2639283A8D1}"/>
    <cellStyle name="Normal 4 4 8" xfId="3588" xr:uid="{00000000-0005-0000-0000-0000B10D0000}"/>
    <cellStyle name="Normal 4 4 8 2" xfId="3589" xr:uid="{00000000-0005-0000-0000-0000B20D0000}"/>
    <cellStyle name="Normal 4 4 8 2 2" xfId="8911" xr:uid="{B4F2239A-D5B5-4345-894A-DDA93C5CAEAF}"/>
    <cellStyle name="Normal 4 4 8 3" xfId="8910" xr:uid="{681D2C07-46C5-4C68-BE9A-06B0EE1B908B}"/>
    <cellStyle name="Normal 4 4 9" xfId="3590" xr:uid="{00000000-0005-0000-0000-0000B30D0000}"/>
    <cellStyle name="Normal 4 4 9 2" xfId="3591" xr:uid="{00000000-0005-0000-0000-0000B40D0000}"/>
    <cellStyle name="Normal 4 4 9 2 2" xfId="8913" xr:uid="{2F10A7C2-0707-45D0-8854-5B629D457838}"/>
    <cellStyle name="Normal 4 4 9 3" xfId="8912" xr:uid="{E37483E6-6443-4035-962B-07C5C5A97C7A}"/>
    <cellStyle name="Normal 4 5" xfId="160" xr:uid="{00000000-0005-0000-0000-0000B50D0000}"/>
    <cellStyle name="Normal 4 5 10" xfId="5494" xr:uid="{96C45D2F-BA37-4123-B6B5-7E27D4DDF3A0}"/>
    <cellStyle name="Normal 4 5 2" xfId="161" xr:uid="{00000000-0005-0000-0000-0000B60D0000}"/>
    <cellStyle name="Normal 4 5 2 2" xfId="3592" xr:uid="{00000000-0005-0000-0000-0000B70D0000}"/>
    <cellStyle name="Normal 4 5 2 2 2" xfId="3593" xr:uid="{00000000-0005-0000-0000-0000B80D0000}"/>
    <cellStyle name="Normal 4 5 2 2 2 2" xfId="3594" xr:uid="{00000000-0005-0000-0000-0000B90D0000}"/>
    <cellStyle name="Normal 4 5 2 2 2 2 2" xfId="8916" xr:uid="{FB19D602-3EF0-4042-842E-B7133EBC5816}"/>
    <cellStyle name="Normal 4 5 2 2 2 3" xfId="3595" xr:uid="{00000000-0005-0000-0000-0000BA0D0000}"/>
    <cellStyle name="Normal 4 5 2 2 2 3 2" xfId="8917" xr:uid="{EEEE8113-D3C6-474F-BC02-53F5A4921ABA}"/>
    <cellStyle name="Normal 4 5 2 2 2 4" xfId="8915" xr:uid="{A3979ADE-77DF-4F8B-BD8F-A191B2F1379E}"/>
    <cellStyle name="Normal 4 5 2 2 3" xfId="3596" xr:uid="{00000000-0005-0000-0000-0000BB0D0000}"/>
    <cellStyle name="Normal 4 5 2 2 3 2" xfId="8918" xr:uid="{B3E3BAEA-B85C-40ED-9317-BD109C3FF9E1}"/>
    <cellStyle name="Normal 4 5 2 2 4" xfId="3597" xr:uid="{00000000-0005-0000-0000-0000BC0D0000}"/>
    <cellStyle name="Normal 4 5 2 2 4 2" xfId="8919" xr:uid="{A2A571AC-3A41-43F1-923D-78BBAA5734CF}"/>
    <cellStyle name="Normal 4 5 2 2 5" xfId="8914" xr:uid="{C2313F70-9E8A-4D78-B1E4-D3EEA0D8CFE1}"/>
    <cellStyle name="Normal 4 5 2 3" xfId="3598" xr:uid="{00000000-0005-0000-0000-0000BD0D0000}"/>
    <cellStyle name="Normal 4 5 2 3 2" xfId="3599" xr:uid="{00000000-0005-0000-0000-0000BE0D0000}"/>
    <cellStyle name="Normal 4 5 2 3 2 2" xfId="3600" xr:uid="{00000000-0005-0000-0000-0000BF0D0000}"/>
    <cellStyle name="Normal 4 5 2 3 2 2 2" xfId="8922" xr:uid="{A13EE005-0E08-446E-95BE-53CAC7438BC1}"/>
    <cellStyle name="Normal 4 5 2 3 2 3" xfId="8921" xr:uid="{B2FE4EAF-3B07-42CB-BE14-9A7D5DE10CD5}"/>
    <cellStyle name="Normal 4 5 2 3 3" xfId="3601" xr:uid="{00000000-0005-0000-0000-0000C00D0000}"/>
    <cellStyle name="Normal 4 5 2 3 3 2" xfId="8923" xr:uid="{49F8B334-3368-4D07-BFE4-4F01CED871FB}"/>
    <cellStyle name="Normal 4 5 2 3 4" xfId="3602" xr:uid="{00000000-0005-0000-0000-0000C10D0000}"/>
    <cellStyle name="Normal 4 5 2 3 4 2" xfId="8924" xr:uid="{6C92C910-B2F1-4B1E-8348-BCF47CCB96E4}"/>
    <cellStyle name="Normal 4 5 2 3 5" xfId="8920" xr:uid="{65F1D4B5-4599-485D-8DF5-9EB4557D5A1A}"/>
    <cellStyle name="Normal 4 5 2 4" xfId="3603" xr:uid="{00000000-0005-0000-0000-0000C20D0000}"/>
    <cellStyle name="Normal 4 5 2 4 2" xfId="3604" xr:uid="{00000000-0005-0000-0000-0000C30D0000}"/>
    <cellStyle name="Normal 4 5 2 4 2 2" xfId="8926" xr:uid="{C9A8118C-E87E-4613-9504-C452AF189851}"/>
    <cellStyle name="Normal 4 5 2 4 3" xfId="8925" xr:uid="{074B4AB6-C5E4-4245-9AA7-FD99A06FD6BB}"/>
    <cellStyle name="Normal 4 5 2 5" xfId="3605" xr:uid="{00000000-0005-0000-0000-0000C40D0000}"/>
    <cellStyle name="Normal 4 5 2 5 2" xfId="3606" xr:uid="{00000000-0005-0000-0000-0000C50D0000}"/>
    <cellStyle name="Normal 4 5 2 5 2 2" xfId="8928" xr:uid="{66FBE148-47B4-4B1F-8A9D-68C8970998C8}"/>
    <cellStyle name="Normal 4 5 2 5 3" xfId="8927" xr:uid="{E03261C4-E353-4201-A866-F01667CE6C34}"/>
    <cellStyle name="Normal 4 5 2 6" xfId="3607" xr:uid="{00000000-0005-0000-0000-0000C60D0000}"/>
    <cellStyle name="Normal 4 5 2 6 2" xfId="3608" xr:uid="{00000000-0005-0000-0000-0000C70D0000}"/>
    <cellStyle name="Normal 4 5 2 6 2 2" xfId="8930" xr:uid="{FB1C53FA-46D5-4CE3-ADC8-1F0092D8B9D5}"/>
    <cellStyle name="Normal 4 5 2 6 3" xfId="8929" xr:uid="{7016F063-88EF-4BA2-9877-A043ECD1884F}"/>
    <cellStyle name="Normal 4 5 2 7" xfId="3609" xr:uid="{00000000-0005-0000-0000-0000C80D0000}"/>
    <cellStyle name="Normal 4 5 2 7 2" xfId="8931" xr:uid="{B727C0D3-19E4-456E-8AF4-D3D37D993E5D}"/>
    <cellStyle name="Normal 4 5 2 8" xfId="3610" xr:uid="{00000000-0005-0000-0000-0000C90D0000}"/>
    <cellStyle name="Normal 4 5 2 8 2" xfId="8932" xr:uid="{5F4D3393-08B6-4336-A290-0EAE9C050E32}"/>
    <cellStyle name="Normal 4 5 2 9" xfId="5495" xr:uid="{54D1C7A8-4C38-4AAF-B3E4-60B5E38009AD}"/>
    <cellStyle name="Normal 4 5 3" xfId="3611" xr:uid="{00000000-0005-0000-0000-0000CA0D0000}"/>
    <cellStyle name="Normal 4 5 3 2" xfId="3612" xr:uid="{00000000-0005-0000-0000-0000CB0D0000}"/>
    <cellStyle name="Normal 4 5 3 2 2" xfId="3613" xr:uid="{00000000-0005-0000-0000-0000CC0D0000}"/>
    <cellStyle name="Normal 4 5 3 2 2 2" xfId="8935" xr:uid="{388A56EC-14DF-4CB6-A508-C323C6D53151}"/>
    <cellStyle name="Normal 4 5 3 2 3" xfId="3614" xr:uid="{00000000-0005-0000-0000-0000CD0D0000}"/>
    <cellStyle name="Normal 4 5 3 2 3 2" xfId="8936" xr:uid="{BFAC6944-91CD-44F0-BEB7-EE8388107A68}"/>
    <cellStyle name="Normal 4 5 3 2 4" xfId="8934" xr:uid="{38356509-8FBD-4434-92A1-A3BE5DEBA6A8}"/>
    <cellStyle name="Normal 4 5 3 3" xfId="3615" xr:uid="{00000000-0005-0000-0000-0000CE0D0000}"/>
    <cellStyle name="Normal 4 5 3 3 2" xfId="8937" xr:uid="{456AA791-5651-4F5C-B65B-11D71DF26AA5}"/>
    <cellStyle name="Normal 4 5 3 4" xfId="3616" xr:uid="{00000000-0005-0000-0000-0000CF0D0000}"/>
    <cellStyle name="Normal 4 5 3 4 2" xfId="8938" xr:uid="{76C8CF9B-A2F3-4A43-98F8-C01F139BD165}"/>
    <cellStyle name="Normal 4 5 3 5" xfId="8933" xr:uid="{BAC0D6BC-FEB5-47B1-97E7-45E32D58CD98}"/>
    <cellStyle name="Normal 4 5 4" xfId="3617" xr:uid="{00000000-0005-0000-0000-0000D00D0000}"/>
    <cellStyle name="Normal 4 5 4 2" xfId="3618" xr:uid="{00000000-0005-0000-0000-0000D10D0000}"/>
    <cellStyle name="Normal 4 5 4 2 2" xfId="3619" xr:uid="{00000000-0005-0000-0000-0000D20D0000}"/>
    <cellStyle name="Normal 4 5 4 2 2 2" xfId="8941" xr:uid="{80765BC4-EA24-4452-A0F0-5DC27A963185}"/>
    <cellStyle name="Normal 4 5 4 2 3" xfId="8940" xr:uid="{2A7A1D32-678C-4DF2-975C-5A662879AD43}"/>
    <cellStyle name="Normal 4 5 4 3" xfId="3620" xr:uid="{00000000-0005-0000-0000-0000D30D0000}"/>
    <cellStyle name="Normal 4 5 4 3 2" xfId="8942" xr:uid="{455AAE4C-2772-4958-9AD6-D10292F90B16}"/>
    <cellStyle name="Normal 4 5 4 4" xfId="3621" xr:uid="{00000000-0005-0000-0000-0000D40D0000}"/>
    <cellStyle name="Normal 4 5 4 4 2" xfId="8943" xr:uid="{8F795C54-848A-474E-8C83-EEC37EDF8228}"/>
    <cellStyle name="Normal 4 5 4 5" xfId="8939" xr:uid="{9A2FE60F-E8E3-4DD8-AFE9-CF93C9864082}"/>
    <cellStyle name="Normal 4 5 5" xfId="3622" xr:uid="{00000000-0005-0000-0000-0000D50D0000}"/>
    <cellStyle name="Normal 4 5 5 2" xfId="3623" xr:uid="{00000000-0005-0000-0000-0000D60D0000}"/>
    <cellStyle name="Normal 4 5 5 2 2" xfId="8945" xr:uid="{A071DE11-02AE-45D4-A420-A1A2E2575263}"/>
    <cellStyle name="Normal 4 5 5 3" xfId="8944" xr:uid="{C40A4A3F-6C17-4949-9A14-092C201523DB}"/>
    <cellStyle name="Normal 4 5 6" xfId="3624" xr:uid="{00000000-0005-0000-0000-0000D70D0000}"/>
    <cellStyle name="Normal 4 5 6 2" xfId="3625" xr:uid="{00000000-0005-0000-0000-0000D80D0000}"/>
    <cellStyle name="Normal 4 5 6 2 2" xfId="8947" xr:uid="{AD39DBAE-919F-45C4-9D7E-15115A379FE8}"/>
    <cellStyle name="Normal 4 5 6 3" xfId="8946" xr:uid="{961988AC-EC1D-4AE9-B3DF-EAB0296CA4F9}"/>
    <cellStyle name="Normal 4 5 7" xfId="3626" xr:uid="{00000000-0005-0000-0000-0000D90D0000}"/>
    <cellStyle name="Normal 4 5 7 2" xfId="3627" xr:uid="{00000000-0005-0000-0000-0000DA0D0000}"/>
    <cellStyle name="Normal 4 5 7 2 2" xfId="8949" xr:uid="{E8272A36-0779-48D8-B4FC-6975DA47E0B6}"/>
    <cellStyle name="Normal 4 5 7 3" xfId="8948" xr:uid="{03516982-2EFD-445A-B559-FA79A50766F9}"/>
    <cellStyle name="Normal 4 5 8" xfId="3628" xr:uid="{00000000-0005-0000-0000-0000DB0D0000}"/>
    <cellStyle name="Normal 4 5 8 2" xfId="8950" xr:uid="{814C8598-EED5-49DF-81ED-CA8DE6D86187}"/>
    <cellStyle name="Normal 4 5 9" xfId="3629" xr:uid="{00000000-0005-0000-0000-0000DC0D0000}"/>
    <cellStyle name="Normal 4 5 9 2" xfId="8951" xr:uid="{9C997569-A37D-4B28-BE46-5BEF8CF7D3FC}"/>
    <cellStyle name="Normal 4 6" xfId="162" xr:uid="{00000000-0005-0000-0000-0000DD0D0000}"/>
    <cellStyle name="Normal 4 6 10" xfId="5496" xr:uid="{24D5BF8E-90DC-4386-B97F-14008196C3F0}"/>
    <cellStyle name="Normal 4 6 2" xfId="3630" xr:uid="{00000000-0005-0000-0000-0000DE0D0000}"/>
    <cellStyle name="Normal 4 6 2 2" xfId="3631" xr:uid="{00000000-0005-0000-0000-0000DF0D0000}"/>
    <cellStyle name="Normal 4 6 2 2 2" xfId="3632" xr:uid="{00000000-0005-0000-0000-0000E00D0000}"/>
    <cellStyle name="Normal 4 6 2 2 2 2" xfId="3633" xr:uid="{00000000-0005-0000-0000-0000E10D0000}"/>
    <cellStyle name="Normal 4 6 2 2 2 2 2" xfId="8955" xr:uid="{C0514060-D12E-47CF-AD18-6D63DCBF2F09}"/>
    <cellStyle name="Normal 4 6 2 2 2 3" xfId="3634" xr:uid="{00000000-0005-0000-0000-0000E20D0000}"/>
    <cellStyle name="Normal 4 6 2 2 2 3 2" xfId="8956" xr:uid="{CC0952C3-8245-4160-A509-27FC12F215F4}"/>
    <cellStyle name="Normal 4 6 2 2 2 4" xfId="8954" xr:uid="{DFE7448A-A5C4-48F8-9C71-C5C6B9A29665}"/>
    <cellStyle name="Normal 4 6 2 2 3" xfId="3635" xr:uid="{00000000-0005-0000-0000-0000E30D0000}"/>
    <cellStyle name="Normal 4 6 2 2 3 2" xfId="8957" xr:uid="{9F012DED-5840-4DBC-8AEE-8D8B44C8B86D}"/>
    <cellStyle name="Normal 4 6 2 2 4" xfId="3636" xr:uid="{00000000-0005-0000-0000-0000E40D0000}"/>
    <cellStyle name="Normal 4 6 2 2 4 2" xfId="8958" xr:uid="{14C88546-4019-4151-A0EB-FDAF1A648BA1}"/>
    <cellStyle name="Normal 4 6 2 2 5" xfId="8953" xr:uid="{72D9B186-8CFB-49A6-8F98-87FC44B932C8}"/>
    <cellStyle name="Normal 4 6 2 3" xfId="3637" xr:uid="{00000000-0005-0000-0000-0000E50D0000}"/>
    <cellStyle name="Normal 4 6 2 3 2" xfId="3638" xr:uid="{00000000-0005-0000-0000-0000E60D0000}"/>
    <cellStyle name="Normal 4 6 2 3 2 2" xfId="3639" xr:uid="{00000000-0005-0000-0000-0000E70D0000}"/>
    <cellStyle name="Normal 4 6 2 3 2 2 2" xfId="8961" xr:uid="{AC387667-CB52-47A7-8599-AD37FD06BBBD}"/>
    <cellStyle name="Normal 4 6 2 3 2 3" xfId="8960" xr:uid="{378E87C9-18D3-46B1-9BC9-10C3C212B1F9}"/>
    <cellStyle name="Normal 4 6 2 3 3" xfId="3640" xr:uid="{00000000-0005-0000-0000-0000E80D0000}"/>
    <cellStyle name="Normal 4 6 2 3 3 2" xfId="8962" xr:uid="{E1AFE352-D4B5-4D3E-B0E0-165CAAB0364D}"/>
    <cellStyle name="Normal 4 6 2 3 4" xfId="3641" xr:uid="{00000000-0005-0000-0000-0000E90D0000}"/>
    <cellStyle name="Normal 4 6 2 3 4 2" xfId="8963" xr:uid="{E2E5570D-7123-424A-BC4B-9BAD75052133}"/>
    <cellStyle name="Normal 4 6 2 3 5" xfId="8959" xr:uid="{03EFA732-C510-4E5E-A6BB-DE6C8B85AA3A}"/>
    <cellStyle name="Normal 4 6 2 4" xfId="3642" xr:uid="{00000000-0005-0000-0000-0000EA0D0000}"/>
    <cellStyle name="Normal 4 6 2 4 2" xfId="3643" xr:uid="{00000000-0005-0000-0000-0000EB0D0000}"/>
    <cellStyle name="Normal 4 6 2 4 2 2" xfId="8965" xr:uid="{D9283D44-C441-4842-97A3-53344B49D08B}"/>
    <cellStyle name="Normal 4 6 2 4 3" xfId="8964" xr:uid="{D684A723-8A57-43E3-B51C-0A132245287B}"/>
    <cellStyle name="Normal 4 6 2 5" xfId="3644" xr:uid="{00000000-0005-0000-0000-0000EC0D0000}"/>
    <cellStyle name="Normal 4 6 2 5 2" xfId="8966" xr:uid="{30FA9955-5EB5-4383-A1DC-EBD040BB79D4}"/>
    <cellStyle name="Normal 4 6 2 6" xfId="3645" xr:uid="{00000000-0005-0000-0000-0000ED0D0000}"/>
    <cellStyle name="Normal 4 6 2 6 2" xfId="8967" xr:uid="{4753A199-9B7D-4472-9263-B5ABDC5B2331}"/>
    <cellStyle name="Normal 4 6 2 7" xfId="8952" xr:uid="{7006309A-2BFF-4014-87C2-4A451A49C92C}"/>
    <cellStyle name="Normal 4 6 3" xfId="3646" xr:uid="{00000000-0005-0000-0000-0000EE0D0000}"/>
    <cellStyle name="Normal 4 6 3 2" xfId="3647" xr:uid="{00000000-0005-0000-0000-0000EF0D0000}"/>
    <cellStyle name="Normal 4 6 3 2 2" xfId="3648" xr:uid="{00000000-0005-0000-0000-0000F00D0000}"/>
    <cellStyle name="Normal 4 6 3 2 2 2" xfId="8970" xr:uid="{BF74FA5A-FB9A-4E17-B3D7-5F62E2F6041F}"/>
    <cellStyle name="Normal 4 6 3 2 3" xfId="3649" xr:uid="{00000000-0005-0000-0000-0000F10D0000}"/>
    <cellStyle name="Normal 4 6 3 2 3 2" xfId="8971" xr:uid="{940C487F-A8DF-4496-AC2D-92E7F0B72E19}"/>
    <cellStyle name="Normal 4 6 3 2 4" xfId="8969" xr:uid="{21C4DA7B-98BC-4610-90D4-3AC2F14FB5A1}"/>
    <cellStyle name="Normal 4 6 3 3" xfId="3650" xr:uid="{00000000-0005-0000-0000-0000F20D0000}"/>
    <cellStyle name="Normal 4 6 3 3 2" xfId="8972" xr:uid="{3DEE6716-34B8-4695-9FE9-3AED1654D4E4}"/>
    <cellStyle name="Normal 4 6 3 4" xfId="3651" xr:uid="{00000000-0005-0000-0000-0000F30D0000}"/>
    <cellStyle name="Normal 4 6 3 4 2" xfId="8973" xr:uid="{BD5D265D-8018-49B1-B236-C33B3E94EB65}"/>
    <cellStyle name="Normal 4 6 3 5" xfId="8968" xr:uid="{56A7BC31-DCDA-43EB-AE53-7ED55A313CE5}"/>
    <cellStyle name="Normal 4 6 4" xfId="3652" xr:uid="{00000000-0005-0000-0000-0000F40D0000}"/>
    <cellStyle name="Normal 4 6 4 2" xfId="3653" xr:uid="{00000000-0005-0000-0000-0000F50D0000}"/>
    <cellStyle name="Normal 4 6 4 2 2" xfId="3654" xr:uid="{00000000-0005-0000-0000-0000F60D0000}"/>
    <cellStyle name="Normal 4 6 4 2 2 2" xfId="8976" xr:uid="{BF52FF57-D35F-4662-846E-D7723358DEF1}"/>
    <cellStyle name="Normal 4 6 4 2 3" xfId="8975" xr:uid="{01B050EB-0F2B-4AB5-B6C1-8FB90DE5AFB5}"/>
    <cellStyle name="Normal 4 6 4 3" xfId="3655" xr:uid="{00000000-0005-0000-0000-0000F70D0000}"/>
    <cellStyle name="Normal 4 6 4 3 2" xfId="8977" xr:uid="{3DBAE201-7F7A-4D82-B518-2560643CADED}"/>
    <cellStyle name="Normal 4 6 4 4" xfId="3656" xr:uid="{00000000-0005-0000-0000-0000F80D0000}"/>
    <cellStyle name="Normal 4 6 4 4 2" xfId="8978" xr:uid="{2A9BDE98-99D1-483F-BBFD-454AA3867453}"/>
    <cellStyle name="Normal 4 6 4 5" xfId="8974" xr:uid="{715E0E20-766C-4EA8-A90B-A9648E8ECA02}"/>
    <cellStyle name="Normal 4 6 5" xfId="3657" xr:uid="{00000000-0005-0000-0000-0000F90D0000}"/>
    <cellStyle name="Normal 4 6 5 2" xfId="3658" xr:uid="{00000000-0005-0000-0000-0000FA0D0000}"/>
    <cellStyle name="Normal 4 6 5 2 2" xfId="8980" xr:uid="{F283EC09-6C77-405B-9885-6C7EFA82D073}"/>
    <cellStyle name="Normal 4 6 5 3" xfId="8979" xr:uid="{2469637F-483A-4225-B5A8-880B15AC3643}"/>
    <cellStyle name="Normal 4 6 6" xfId="3659" xr:uid="{00000000-0005-0000-0000-0000FB0D0000}"/>
    <cellStyle name="Normal 4 6 6 2" xfId="3660" xr:uid="{00000000-0005-0000-0000-0000FC0D0000}"/>
    <cellStyle name="Normal 4 6 6 2 2" xfId="8982" xr:uid="{C4D51FE1-1B7C-4F85-BDA5-D00EFEECBB0C}"/>
    <cellStyle name="Normal 4 6 6 3" xfId="8981" xr:uid="{6EA200D5-1EE6-4B26-97DC-1FAD4870A88E}"/>
    <cellStyle name="Normal 4 6 7" xfId="3661" xr:uid="{00000000-0005-0000-0000-0000FD0D0000}"/>
    <cellStyle name="Normal 4 6 7 2" xfId="3662" xr:uid="{00000000-0005-0000-0000-0000FE0D0000}"/>
    <cellStyle name="Normal 4 6 7 2 2" xfId="8984" xr:uid="{DBB783FB-FCCA-4B68-A834-A1CCF1216E99}"/>
    <cellStyle name="Normal 4 6 7 3" xfId="8983" xr:uid="{267A8513-94CF-4E52-8006-D74392326630}"/>
    <cellStyle name="Normal 4 6 8" xfId="3663" xr:uid="{00000000-0005-0000-0000-0000FF0D0000}"/>
    <cellStyle name="Normal 4 6 8 2" xfId="8985" xr:uid="{D20DE541-286E-4922-B344-573E5CDA6E7B}"/>
    <cellStyle name="Normal 4 6 9" xfId="3664" xr:uid="{00000000-0005-0000-0000-0000000E0000}"/>
    <cellStyle name="Normal 4 6 9 2" xfId="8986" xr:uid="{DF0FD68F-9596-47F5-BB29-A4D37EF3DC38}"/>
    <cellStyle name="Normal 4 7" xfId="3665" xr:uid="{00000000-0005-0000-0000-0000010E0000}"/>
    <cellStyle name="Normal 4 7 2" xfId="3666" xr:uid="{00000000-0005-0000-0000-0000020E0000}"/>
    <cellStyle name="Normal 4 7 2 2" xfId="3667" xr:uid="{00000000-0005-0000-0000-0000030E0000}"/>
    <cellStyle name="Normal 4 7 2 2 2" xfId="3668" xr:uid="{00000000-0005-0000-0000-0000040E0000}"/>
    <cellStyle name="Normal 4 7 2 2 2 2" xfId="8990" xr:uid="{DB0C3DEC-7FCF-4868-9932-3A3C8E3D6334}"/>
    <cellStyle name="Normal 4 7 2 2 3" xfId="3669" xr:uid="{00000000-0005-0000-0000-0000050E0000}"/>
    <cellStyle name="Normal 4 7 2 2 3 2" xfId="8991" xr:uid="{BAFCBEE4-6698-4DAD-BB28-B58C612974E4}"/>
    <cellStyle name="Normal 4 7 2 2 4" xfId="8989" xr:uid="{EDFE6191-E565-4A7B-9814-1633CE77CDFB}"/>
    <cellStyle name="Normal 4 7 2 3" xfId="3670" xr:uid="{00000000-0005-0000-0000-0000060E0000}"/>
    <cellStyle name="Normal 4 7 2 3 2" xfId="8992" xr:uid="{5C8FCBF6-1DAA-4123-97B2-59DAF0FEE67B}"/>
    <cellStyle name="Normal 4 7 2 4" xfId="3671" xr:uid="{00000000-0005-0000-0000-0000070E0000}"/>
    <cellStyle name="Normal 4 7 2 4 2" xfId="8993" xr:uid="{8462E235-AC8F-4508-9E73-F551E42033E8}"/>
    <cellStyle name="Normal 4 7 2 5" xfId="8988" xr:uid="{5C096639-1202-4684-A2EF-A5C705CA05F1}"/>
    <cellStyle name="Normal 4 7 3" xfId="3672" xr:uid="{00000000-0005-0000-0000-0000080E0000}"/>
    <cellStyle name="Normal 4 7 3 2" xfId="3673" xr:uid="{00000000-0005-0000-0000-0000090E0000}"/>
    <cellStyle name="Normal 4 7 3 2 2" xfId="3674" xr:uid="{00000000-0005-0000-0000-00000A0E0000}"/>
    <cellStyle name="Normal 4 7 3 2 2 2" xfId="8996" xr:uid="{44020D5A-8402-46BE-842C-FB5768DDE270}"/>
    <cellStyle name="Normal 4 7 3 2 3" xfId="8995" xr:uid="{CE85CD16-2E09-416F-8B64-892C2670C343}"/>
    <cellStyle name="Normal 4 7 3 3" xfId="3675" xr:uid="{00000000-0005-0000-0000-00000B0E0000}"/>
    <cellStyle name="Normal 4 7 3 3 2" xfId="8997" xr:uid="{B0E5DC0B-ABC7-4E80-A8B7-A6B47FB317AC}"/>
    <cellStyle name="Normal 4 7 3 4" xfId="3676" xr:uid="{00000000-0005-0000-0000-00000C0E0000}"/>
    <cellStyle name="Normal 4 7 3 4 2" xfId="8998" xr:uid="{8D310E5C-613C-4E3C-B7F5-940CD022B9DE}"/>
    <cellStyle name="Normal 4 7 3 5" xfId="8994" xr:uid="{107F6A29-CDE6-416B-BE04-2E85C2FCFF60}"/>
    <cellStyle name="Normal 4 7 4" xfId="3677" xr:uid="{00000000-0005-0000-0000-00000D0E0000}"/>
    <cellStyle name="Normal 4 7 4 2" xfId="3678" xr:uid="{00000000-0005-0000-0000-00000E0E0000}"/>
    <cellStyle name="Normal 4 7 4 2 2" xfId="9000" xr:uid="{4EC6903B-044B-4659-8734-015E1748660A}"/>
    <cellStyle name="Normal 4 7 4 3" xfId="8999" xr:uid="{E58D4473-3F6A-49C5-B64B-0BF9898573B3}"/>
    <cellStyle name="Normal 4 7 5" xfId="3679" xr:uid="{00000000-0005-0000-0000-00000F0E0000}"/>
    <cellStyle name="Normal 4 7 5 2" xfId="9001" xr:uid="{28E70C90-C116-4C62-A35A-707E3EA45589}"/>
    <cellStyle name="Normal 4 7 6" xfId="3680" xr:uid="{00000000-0005-0000-0000-0000100E0000}"/>
    <cellStyle name="Normal 4 7 6 2" xfId="9002" xr:uid="{95D8B93F-3E9B-4323-A60B-FDE1CF078A61}"/>
    <cellStyle name="Normal 4 7 7" xfId="8987" xr:uid="{D94CE541-5A33-4E84-BA06-F321404E1956}"/>
    <cellStyle name="Normal 4 8" xfId="3681" xr:uid="{00000000-0005-0000-0000-0000110E0000}"/>
    <cellStyle name="Normal 4 8 2" xfId="3682" xr:uid="{00000000-0005-0000-0000-0000120E0000}"/>
    <cellStyle name="Normal 4 8 2 2" xfId="3683" xr:uid="{00000000-0005-0000-0000-0000130E0000}"/>
    <cellStyle name="Normal 4 8 2 2 2" xfId="9005" xr:uid="{E522C245-ABBE-49A3-9A75-A9ED0CB98E21}"/>
    <cellStyle name="Normal 4 8 2 3" xfId="3684" xr:uid="{00000000-0005-0000-0000-0000140E0000}"/>
    <cellStyle name="Normal 4 8 2 3 2" xfId="9006" xr:uid="{54A88AC2-690D-4B57-A7BF-99F5FF3856AA}"/>
    <cellStyle name="Normal 4 8 2 4" xfId="9004" xr:uid="{2040AD5A-BF4C-46EC-9D82-744B47068FD9}"/>
    <cellStyle name="Normal 4 8 3" xfId="3685" xr:uid="{00000000-0005-0000-0000-0000150E0000}"/>
    <cellStyle name="Normal 4 8 3 2" xfId="3686" xr:uid="{00000000-0005-0000-0000-0000160E0000}"/>
    <cellStyle name="Normal 4 8 3 2 2" xfId="9008" xr:uid="{428E2B0F-8A51-4C0D-A0B5-B487836926E6}"/>
    <cellStyle name="Normal 4 8 3 3" xfId="9007" xr:uid="{87589665-4771-4745-B3B8-06995DF21937}"/>
    <cellStyle name="Normal 4 8 4" xfId="3687" xr:uid="{00000000-0005-0000-0000-0000170E0000}"/>
    <cellStyle name="Normal 4 8 4 2" xfId="9009" xr:uid="{4B7E13E4-3403-4527-9D62-7517D41CB403}"/>
    <cellStyle name="Normal 4 8 5" xfId="9003" xr:uid="{5A078DB9-868E-44A7-89BF-184478D7B306}"/>
    <cellStyle name="Normal 4 9" xfId="3688" xr:uid="{00000000-0005-0000-0000-0000180E0000}"/>
    <cellStyle name="Normal 4 9 2" xfId="3689" xr:uid="{00000000-0005-0000-0000-0000190E0000}"/>
    <cellStyle name="Normal 4 9 2 2" xfId="3690" xr:uid="{00000000-0005-0000-0000-00001A0E0000}"/>
    <cellStyle name="Normal 4 9 2 2 2" xfId="9012" xr:uid="{31EDE48E-EE68-4174-B297-E8E1085FB3E3}"/>
    <cellStyle name="Normal 4 9 2 3" xfId="9011" xr:uid="{92AC7E9E-387A-4848-BD19-96C442C8CC88}"/>
    <cellStyle name="Normal 4 9 3" xfId="3691" xr:uid="{00000000-0005-0000-0000-00001B0E0000}"/>
    <cellStyle name="Normal 4 9 3 2" xfId="9013" xr:uid="{8C83C4F0-CA46-4CBB-AE04-2DC8974C9F64}"/>
    <cellStyle name="Normal 4 9 4" xfId="3692" xr:uid="{00000000-0005-0000-0000-00001C0E0000}"/>
    <cellStyle name="Normal 4 9 4 2" xfId="9014" xr:uid="{99788F42-6D1D-4D0A-941D-EA909ABFEECE}"/>
    <cellStyle name="Normal 4 9 5" xfId="9010" xr:uid="{680800D8-9C3E-495C-937E-02A243536CF4}"/>
    <cellStyle name="Normal 5" xfId="17" xr:uid="{00000000-0005-0000-0000-00001D0E0000}"/>
    <cellStyle name="Normal 5 10" xfId="3693" xr:uid="{00000000-0005-0000-0000-00001E0E0000}"/>
    <cellStyle name="Normal 5 10 2" xfId="3694" xr:uid="{00000000-0005-0000-0000-00001F0E0000}"/>
    <cellStyle name="Normal 5 10 2 2" xfId="9016" xr:uid="{4CE11D2F-6F78-4624-ADC3-61C0A3810752}"/>
    <cellStyle name="Normal 5 10 3" xfId="9015" xr:uid="{BC9DC2E9-EDF6-4F85-901E-7A71E56E15B9}"/>
    <cellStyle name="Normal 5 11" xfId="3695" xr:uid="{00000000-0005-0000-0000-0000200E0000}"/>
    <cellStyle name="Normal 5 11 2" xfId="3696" xr:uid="{00000000-0005-0000-0000-0000210E0000}"/>
    <cellStyle name="Normal 5 11 2 2" xfId="9018" xr:uid="{9454F64F-D35A-4CBE-9A2F-B2FD23307E24}"/>
    <cellStyle name="Normal 5 11 3" xfId="9017" xr:uid="{9DBACB91-B493-457C-8E27-DFA08F1BD334}"/>
    <cellStyle name="Normal 5 12" xfId="3697" xr:uid="{00000000-0005-0000-0000-0000220E0000}"/>
    <cellStyle name="Normal 5 12 2" xfId="3698" xr:uid="{00000000-0005-0000-0000-0000230E0000}"/>
    <cellStyle name="Normal 5 12 2 2" xfId="9020" xr:uid="{29A0D04D-6CBD-44E9-9D60-94073411CFF7}"/>
    <cellStyle name="Normal 5 12 3" xfId="9019" xr:uid="{B096EA1F-58C4-4DA1-9B00-CD71D9498184}"/>
    <cellStyle name="Normal 5 13" xfId="3699" xr:uid="{00000000-0005-0000-0000-0000240E0000}"/>
    <cellStyle name="Normal 5 13 2" xfId="9021" xr:uid="{6547BB0B-76BC-4A71-92BD-56B8D44B0797}"/>
    <cellStyle name="Normal 5 14" xfId="3700" xr:uid="{00000000-0005-0000-0000-0000250E0000}"/>
    <cellStyle name="Normal 5 14 2" xfId="9022" xr:uid="{F3AEE0F0-AA8C-4A3A-ADEF-08EDF46E24BA}"/>
    <cellStyle name="Normal 5 15" xfId="5342" xr:uid="{88B99609-F338-4CD6-9D83-9E2C1EC29000}"/>
    <cellStyle name="Normal 5 15 2" xfId="10661" xr:uid="{095BE59F-F4DE-4930-BEB2-6751F1F12717}"/>
    <cellStyle name="Normal 5 16" xfId="5353" xr:uid="{7AF9E47E-1C16-4E41-B6BE-0504E15AF645}"/>
    <cellStyle name="Normal 5 2" xfId="163" xr:uid="{00000000-0005-0000-0000-0000260E0000}"/>
    <cellStyle name="Normal 5 2 10" xfId="3701" xr:uid="{00000000-0005-0000-0000-0000270E0000}"/>
    <cellStyle name="Normal 5 2 10 2" xfId="3702" xr:uid="{00000000-0005-0000-0000-0000280E0000}"/>
    <cellStyle name="Normal 5 2 10 2 2" xfId="9024" xr:uid="{B17964EA-256E-4B65-9E56-C84B21E245B1}"/>
    <cellStyle name="Normal 5 2 10 3" xfId="9023" xr:uid="{2E9BDCB6-41B2-4303-9343-3A8CD0598916}"/>
    <cellStyle name="Normal 5 2 11" xfId="3703" xr:uid="{00000000-0005-0000-0000-0000290E0000}"/>
    <cellStyle name="Normal 5 2 11 2" xfId="9025" xr:uid="{BF2596E3-7A1E-472F-ADF7-E6C10858A5FA}"/>
    <cellStyle name="Normal 5 2 12" xfId="3704" xr:uid="{00000000-0005-0000-0000-00002A0E0000}"/>
    <cellStyle name="Normal 5 2 12 2" xfId="9026" xr:uid="{4FF58E45-1087-4B3A-A286-F761533E8E41}"/>
    <cellStyle name="Normal 5 2 13" xfId="5497" xr:uid="{17C768A2-67A3-4043-8B43-CFA7F716663F}"/>
    <cellStyle name="Normal 5 2 2" xfId="164" xr:uid="{00000000-0005-0000-0000-00002B0E0000}"/>
    <cellStyle name="Normal 5 2 2 10" xfId="3705" xr:uid="{00000000-0005-0000-0000-00002C0E0000}"/>
    <cellStyle name="Normal 5 2 2 10 2" xfId="9027" xr:uid="{52FB2CEC-2A26-4781-8D76-CED69B671228}"/>
    <cellStyle name="Normal 5 2 2 11" xfId="5498" xr:uid="{2B361F7A-529C-4B66-AE42-6180E9D6A4CD}"/>
    <cellStyle name="Normal 5 2 2 2" xfId="165" xr:uid="{00000000-0005-0000-0000-00002D0E0000}"/>
    <cellStyle name="Normal 5 2 2 2 10" xfId="5499" xr:uid="{4A0C456B-17FC-460D-AB03-9E55AE91DFF4}"/>
    <cellStyle name="Normal 5 2 2 2 2" xfId="166" xr:uid="{00000000-0005-0000-0000-00002E0E0000}"/>
    <cellStyle name="Normal 5 2 2 2 2 2" xfId="3706" xr:uid="{00000000-0005-0000-0000-00002F0E0000}"/>
    <cellStyle name="Normal 5 2 2 2 2 2 2" xfId="3707" xr:uid="{00000000-0005-0000-0000-0000300E0000}"/>
    <cellStyle name="Normal 5 2 2 2 2 2 2 2" xfId="3708" xr:uid="{00000000-0005-0000-0000-0000310E0000}"/>
    <cellStyle name="Normal 5 2 2 2 2 2 2 2 2" xfId="9030" xr:uid="{F6F8DE03-2D53-4189-89E4-0D65BC2AD83B}"/>
    <cellStyle name="Normal 5 2 2 2 2 2 2 3" xfId="3709" xr:uid="{00000000-0005-0000-0000-0000320E0000}"/>
    <cellStyle name="Normal 5 2 2 2 2 2 2 3 2" xfId="9031" xr:uid="{ED8B3593-63A6-4CAE-89DB-52B2381200E9}"/>
    <cellStyle name="Normal 5 2 2 2 2 2 2 4" xfId="9029" xr:uid="{A5171F98-D8A5-43DE-901F-B285B4C764FC}"/>
    <cellStyle name="Normal 5 2 2 2 2 2 3" xfId="3710" xr:uid="{00000000-0005-0000-0000-0000330E0000}"/>
    <cellStyle name="Normal 5 2 2 2 2 2 3 2" xfId="9032" xr:uid="{D4776734-6923-403B-8EF6-20F2A0BEEAF3}"/>
    <cellStyle name="Normal 5 2 2 2 2 2 4" xfId="3711" xr:uid="{00000000-0005-0000-0000-0000340E0000}"/>
    <cellStyle name="Normal 5 2 2 2 2 2 4 2" xfId="9033" xr:uid="{019A1E4C-119A-46DA-9B34-025284852DA6}"/>
    <cellStyle name="Normal 5 2 2 2 2 2 5" xfId="9028" xr:uid="{F271C073-CA69-459B-8488-3503BDCA25E3}"/>
    <cellStyle name="Normal 5 2 2 2 2 3" xfId="3712" xr:uid="{00000000-0005-0000-0000-0000350E0000}"/>
    <cellStyle name="Normal 5 2 2 2 2 3 2" xfId="3713" xr:uid="{00000000-0005-0000-0000-0000360E0000}"/>
    <cellStyle name="Normal 5 2 2 2 2 3 2 2" xfId="3714" xr:uid="{00000000-0005-0000-0000-0000370E0000}"/>
    <cellStyle name="Normal 5 2 2 2 2 3 2 2 2" xfId="9036" xr:uid="{315D6F9B-CB21-4E4E-915C-FEFD747BD842}"/>
    <cellStyle name="Normal 5 2 2 2 2 3 2 3" xfId="9035" xr:uid="{2982B8DA-D5A1-40A0-86D1-B7C85A87DFC1}"/>
    <cellStyle name="Normal 5 2 2 2 2 3 3" xfId="3715" xr:uid="{00000000-0005-0000-0000-0000380E0000}"/>
    <cellStyle name="Normal 5 2 2 2 2 3 3 2" xfId="9037" xr:uid="{28D4115B-AAC2-4D3F-A231-E1313FC2A5DF}"/>
    <cellStyle name="Normal 5 2 2 2 2 3 4" xfId="3716" xr:uid="{00000000-0005-0000-0000-0000390E0000}"/>
    <cellStyle name="Normal 5 2 2 2 2 3 4 2" xfId="9038" xr:uid="{56536ED7-576E-4D7A-80AB-92A00511CE64}"/>
    <cellStyle name="Normal 5 2 2 2 2 3 5" xfId="9034" xr:uid="{63EB8005-0172-4392-9A87-9A99627F02DD}"/>
    <cellStyle name="Normal 5 2 2 2 2 4" xfId="3717" xr:uid="{00000000-0005-0000-0000-00003A0E0000}"/>
    <cellStyle name="Normal 5 2 2 2 2 4 2" xfId="3718" xr:uid="{00000000-0005-0000-0000-00003B0E0000}"/>
    <cellStyle name="Normal 5 2 2 2 2 4 2 2" xfId="9040" xr:uid="{99212A3D-B13A-48DF-8F6E-AD5510F1A34B}"/>
    <cellStyle name="Normal 5 2 2 2 2 4 3" xfId="9039" xr:uid="{52FF83FC-F440-4F58-98D9-9A5D99249A1D}"/>
    <cellStyle name="Normal 5 2 2 2 2 5" xfId="3719" xr:uid="{00000000-0005-0000-0000-00003C0E0000}"/>
    <cellStyle name="Normal 5 2 2 2 2 5 2" xfId="3720" xr:uid="{00000000-0005-0000-0000-00003D0E0000}"/>
    <cellStyle name="Normal 5 2 2 2 2 5 2 2" xfId="9042" xr:uid="{7685C0CB-6BDE-4DBE-A5AF-893D618D247A}"/>
    <cellStyle name="Normal 5 2 2 2 2 5 3" xfId="9041" xr:uid="{78B24BBA-102A-44B3-B3A0-21DBEC44389E}"/>
    <cellStyle name="Normal 5 2 2 2 2 6" xfId="3721" xr:uid="{00000000-0005-0000-0000-00003E0E0000}"/>
    <cellStyle name="Normal 5 2 2 2 2 6 2" xfId="3722" xr:uid="{00000000-0005-0000-0000-00003F0E0000}"/>
    <cellStyle name="Normal 5 2 2 2 2 6 2 2" xfId="9044" xr:uid="{B26ED369-ABAF-45F0-9F56-E1743DADED89}"/>
    <cellStyle name="Normal 5 2 2 2 2 6 3" xfId="9043" xr:uid="{CC18D91E-B8D4-48C8-8AF6-5DB7126F93E4}"/>
    <cellStyle name="Normal 5 2 2 2 2 7" xfId="3723" xr:uid="{00000000-0005-0000-0000-0000400E0000}"/>
    <cellStyle name="Normal 5 2 2 2 2 7 2" xfId="9045" xr:uid="{B0B9B689-7F97-4246-B98B-87C7DBB6C048}"/>
    <cellStyle name="Normal 5 2 2 2 2 8" xfId="3724" xr:uid="{00000000-0005-0000-0000-0000410E0000}"/>
    <cellStyle name="Normal 5 2 2 2 2 8 2" xfId="9046" xr:uid="{D4BB4885-1CE9-4DB0-9285-4EDCE7FEB3B3}"/>
    <cellStyle name="Normal 5 2 2 2 2 9" xfId="5500" xr:uid="{7D3DA728-F119-42FA-B625-674EB2808A04}"/>
    <cellStyle name="Normal 5 2 2 2 3" xfId="3725" xr:uid="{00000000-0005-0000-0000-0000420E0000}"/>
    <cellStyle name="Normal 5 2 2 2 3 2" xfId="3726" xr:uid="{00000000-0005-0000-0000-0000430E0000}"/>
    <cellStyle name="Normal 5 2 2 2 3 2 2" xfId="3727" xr:uid="{00000000-0005-0000-0000-0000440E0000}"/>
    <cellStyle name="Normal 5 2 2 2 3 2 2 2" xfId="9049" xr:uid="{8E276B5C-2785-48BB-AEB2-77A0A3107060}"/>
    <cellStyle name="Normal 5 2 2 2 3 2 3" xfId="3728" xr:uid="{00000000-0005-0000-0000-0000450E0000}"/>
    <cellStyle name="Normal 5 2 2 2 3 2 3 2" xfId="9050" xr:uid="{04722E43-C4E6-486D-A395-953851B0E713}"/>
    <cellStyle name="Normal 5 2 2 2 3 2 4" xfId="9048" xr:uid="{5BAE9F20-2A4C-4F98-B4E7-FEBF89BAA500}"/>
    <cellStyle name="Normal 5 2 2 2 3 3" xfId="3729" xr:uid="{00000000-0005-0000-0000-0000460E0000}"/>
    <cellStyle name="Normal 5 2 2 2 3 3 2" xfId="9051" xr:uid="{865AE172-03C9-4B76-9DCE-5489A1BBB85E}"/>
    <cellStyle name="Normal 5 2 2 2 3 4" xfId="3730" xr:uid="{00000000-0005-0000-0000-0000470E0000}"/>
    <cellStyle name="Normal 5 2 2 2 3 4 2" xfId="9052" xr:uid="{15789964-B33F-4EA6-894F-CC24E04FABF6}"/>
    <cellStyle name="Normal 5 2 2 2 3 5" xfId="9047" xr:uid="{B9175792-324A-4F57-B664-E47BEB44E278}"/>
    <cellStyle name="Normal 5 2 2 2 4" xfId="3731" xr:uid="{00000000-0005-0000-0000-0000480E0000}"/>
    <cellStyle name="Normal 5 2 2 2 4 2" xfId="3732" xr:uid="{00000000-0005-0000-0000-0000490E0000}"/>
    <cellStyle name="Normal 5 2 2 2 4 2 2" xfId="3733" xr:uid="{00000000-0005-0000-0000-00004A0E0000}"/>
    <cellStyle name="Normal 5 2 2 2 4 2 2 2" xfId="9055" xr:uid="{1D5BCBE8-DF78-4CF1-BBF2-E96B2F80FDBA}"/>
    <cellStyle name="Normal 5 2 2 2 4 2 3" xfId="9054" xr:uid="{80437136-0F80-4F72-AFBE-F0E33A6C6160}"/>
    <cellStyle name="Normal 5 2 2 2 4 3" xfId="3734" xr:uid="{00000000-0005-0000-0000-00004B0E0000}"/>
    <cellStyle name="Normal 5 2 2 2 4 3 2" xfId="9056" xr:uid="{AAEF378F-E056-439B-8C3E-2C37CDF50053}"/>
    <cellStyle name="Normal 5 2 2 2 4 4" xfId="3735" xr:uid="{00000000-0005-0000-0000-00004C0E0000}"/>
    <cellStyle name="Normal 5 2 2 2 4 4 2" xfId="9057" xr:uid="{27BD5EF6-9EEE-4E38-9717-4DDFAC04E78E}"/>
    <cellStyle name="Normal 5 2 2 2 4 5" xfId="9053" xr:uid="{D4A0077A-54ED-4E98-9514-2F8957486BE2}"/>
    <cellStyle name="Normal 5 2 2 2 5" xfId="3736" xr:uid="{00000000-0005-0000-0000-00004D0E0000}"/>
    <cellStyle name="Normal 5 2 2 2 5 2" xfId="3737" xr:uid="{00000000-0005-0000-0000-00004E0E0000}"/>
    <cellStyle name="Normal 5 2 2 2 5 2 2" xfId="9059" xr:uid="{3B7FC135-179A-467A-BB81-C0476ECD5D2E}"/>
    <cellStyle name="Normal 5 2 2 2 5 3" xfId="9058" xr:uid="{7CD2B322-C49F-469D-B893-85A097DCB16B}"/>
    <cellStyle name="Normal 5 2 2 2 6" xfId="3738" xr:uid="{00000000-0005-0000-0000-00004F0E0000}"/>
    <cellStyle name="Normal 5 2 2 2 6 2" xfId="3739" xr:uid="{00000000-0005-0000-0000-0000500E0000}"/>
    <cellStyle name="Normal 5 2 2 2 6 2 2" xfId="9061" xr:uid="{6A19B61F-380E-4FD1-B852-05F32423B322}"/>
    <cellStyle name="Normal 5 2 2 2 6 3" xfId="9060" xr:uid="{7459F26F-410F-4F81-9F0C-0F32A9CB8D43}"/>
    <cellStyle name="Normal 5 2 2 2 7" xfId="3740" xr:uid="{00000000-0005-0000-0000-0000510E0000}"/>
    <cellStyle name="Normal 5 2 2 2 7 2" xfId="3741" xr:uid="{00000000-0005-0000-0000-0000520E0000}"/>
    <cellStyle name="Normal 5 2 2 2 7 2 2" xfId="9063" xr:uid="{A9D07AF6-E617-40A1-AA3F-9562A1D1B601}"/>
    <cellStyle name="Normal 5 2 2 2 7 3" xfId="9062" xr:uid="{24F6505B-AC55-473F-AE9A-43DA103BE3B1}"/>
    <cellStyle name="Normal 5 2 2 2 8" xfId="3742" xr:uid="{00000000-0005-0000-0000-0000530E0000}"/>
    <cellStyle name="Normal 5 2 2 2 8 2" xfId="9064" xr:uid="{5E663C3A-4B6A-44D5-AEE0-BA94EB626033}"/>
    <cellStyle name="Normal 5 2 2 2 9" xfId="3743" xr:uid="{00000000-0005-0000-0000-0000540E0000}"/>
    <cellStyle name="Normal 5 2 2 2 9 2" xfId="9065" xr:uid="{D74FF2E6-6E9A-4921-B87C-76099EFC7FB6}"/>
    <cellStyle name="Normal 5 2 2 3" xfId="167" xr:uid="{00000000-0005-0000-0000-0000550E0000}"/>
    <cellStyle name="Normal 5 2 2 3 2" xfId="3744" xr:uid="{00000000-0005-0000-0000-0000560E0000}"/>
    <cellStyle name="Normal 5 2 2 3 2 2" xfId="3745" xr:uid="{00000000-0005-0000-0000-0000570E0000}"/>
    <cellStyle name="Normal 5 2 2 3 2 2 2" xfId="3746" xr:uid="{00000000-0005-0000-0000-0000580E0000}"/>
    <cellStyle name="Normal 5 2 2 3 2 2 2 2" xfId="9068" xr:uid="{02CE3536-0FC3-4515-8BCC-83A7063D0B2A}"/>
    <cellStyle name="Normal 5 2 2 3 2 2 3" xfId="3747" xr:uid="{00000000-0005-0000-0000-0000590E0000}"/>
    <cellStyle name="Normal 5 2 2 3 2 2 3 2" xfId="9069" xr:uid="{A54698F8-7E9B-464B-A514-12C2CA2774D3}"/>
    <cellStyle name="Normal 5 2 2 3 2 2 4" xfId="9067" xr:uid="{31E60CAE-A460-46B1-A976-8E251D0CBBA8}"/>
    <cellStyle name="Normal 5 2 2 3 2 3" xfId="3748" xr:uid="{00000000-0005-0000-0000-00005A0E0000}"/>
    <cellStyle name="Normal 5 2 2 3 2 3 2" xfId="9070" xr:uid="{14256C32-BDA2-454A-9B8D-AE7DF71F6C13}"/>
    <cellStyle name="Normal 5 2 2 3 2 4" xfId="3749" xr:uid="{00000000-0005-0000-0000-00005B0E0000}"/>
    <cellStyle name="Normal 5 2 2 3 2 4 2" xfId="9071" xr:uid="{5A37A98B-C0C7-4CD1-90B5-5F3F215D23CF}"/>
    <cellStyle name="Normal 5 2 2 3 2 5" xfId="9066" xr:uid="{DCAA0C1C-A65D-4E63-AB94-6079870DA670}"/>
    <cellStyle name="Normal 5 2 2 3 3" xfId="3750" xr:uid="{00000000-0005-0000-0000-00005C0E0000}"/>
    <cellStyle name="Normal 5 2 2 3 3 2" xfId="3751" xr:uid="{00000000-0005-0000-0000-00005D0E0000}"/>
    <cellStyle name="Normal 5 2 2 3 3 2 2" xfId="3752" xr:uid="{00000000-0005-0000-0000-00005E0E0000}"/>
    <cellStyle name="Normal 5 2 2 3 3 2 2 2" xfId="9074" xr:uid="{51F9C2BE-43F1-4410-971C-A85502838CAE}"/>
    <cellStyle name="Normal 5 2 2 3 3 2 3" xfId="9073" xr:uid="{F4D9F362-781C-4D29-A698-23B12E95949E}"/>
    <cellStyle name="Normal 5 2 2 3 3 3" xfId="3753" xr:uid="{00000000-0005-0000-0000-00005F0E0000}"/>
    <cellStyle name="Normal 5 2 2 3 3 3 2" xfId="9075" xr:uid="{FA8A38F6-2B95-4A2D-86E5-49C7101E2938}"/>
    <cellStyle name="Normal 5 2 2 3 3 4" xfId="3754" xr:uid="{00000000-0005-0000-0000-0000600E0000}"/>
    <cellStyle name="Normal 5 2 2 3 3 4 2" xfId="9076" xr:uid="{1CFE61D0-5ED3-40D8-BFE5-300F4F6A49B2}"/>
    <cellStyle name="Normal 5 2 2 3 3 5" xfId="9072" xr:uid="{18AEC48C-7DFB-4D91-B277-501482BA830D}"/>
    <cellStyle name="Normal 5 2 2 3 4" xfId="3755" xr:uid="{00000000-0005-0000-0000-0000610E0000}"/>
    <cellStyle name="Normal 5 2 2 3 4 2" xfId="3756" xr:uid="{00000000-0005-0000-0000-0000620E0000}"/>
    <cellStyle name="Normal 5 2 2 3 4 2 2" xfId="9078" xr:uid="{77F9585E-C52D-4420-B7A2-3ED0C074144D}"/>
    <cellStyle name="Normal 5 2 2 3 4 3" xfId="9077" xr:uid="{EC2003E9-65B8-479D-95CC-9BB079FF8F04}"/>
    <cellStyle name="Normal 5 2 2 3 5" xfId="3757" xr:uid="{00000000-0005-0000-0000-0000630E0000}"/>
    <cellStyle name="Normal 5 2 2 3 5 2" xfId="3758" xr:uid="{00000000-0005-0000-0000-0000640E0000}"/>
    <cellStyle name="Normal 5 2 2 3 5 2 2" xfId="9080" xr:uid="{81A08C6F-E0C2-488A-A102-39E234F7845F}"/>
    <cellStyle name="Normal 5 2 2 3 5 3" xfId="9079" xr:uid="{73F1B500-61CD-4055-A19F-79CCF80DD79C}"/>
    <cellStyle name="Normal 5 2 2 3 6" xfId="3759" xr:uid="{00000000-0005-0000-0000-0000650E0000}"/>
    <cellStyle name="Normal 5 2 2 3 6 2" xfId="3760" xr:uid="{00000000-0005-0000-0000-0000660E0000}"/>
    <cellStyle name="Normal 5 2 2 3 6 2 2" xfId="9082" xr:uid="{AE7BF3A7-1A59-4C2C-8B1C-4807D1E41A9D}"/>
    <cellStyle name="Normal 5 2 2 3 6 3" xfId="9081" xr:uid="{214C5FC8-E00D-4AC3-8FEF-DBA461E0EF5F}"/>
    <cellStyle name="Normal 5 2 2 3 7" xfId="3761" xr:uid="{00000000-0005-0000-0000-0000670E0000}"/>
    <cellStyle name="Normal 5 2 2 3 7 2" xfId="9083" xr:uid="{B8B5E952-6B12-4953-B854-5504B2F40018}"/>
    <cellStyle name="Normal 5 2 2 3 8" xfId="3762" xr:uid="{00000000-0005-0000-0000-0000680E0000}"/>
    <cellStyle name="Normal 5 2 2 3 8 2" xfId="9084" xr:uid="{AF3F3566-8C9C-4B2A-9CF6-0EB5DD789A7C}"/>
    <cellStyle name="Normal 5 2 2 3 9" xfId="5501" xr:uid="{FDC29729-B6FD-4520-965A-7C3496AF187B}"/>
    <cellStyle name="Normal 5 2 2 4" xfId="3763" xr:uid="{00000000-0005-0000-0000-0000690E0000}"/>
    <cellStyle name="Normal 5 2 2 4 2" xfId="3764" xr:uid="{00000000-0005-0000-0000-00006A0E0000}"/>
    <cellStyle name="Normal 5 2 2 4 2 2" xfId="3765" xr:uid="{00000000-0005-0000-0000-00006B0E0000}"/>
    <cellStyle name="Normal 5 2 2 4 2 2 2" xfId="9087" xr:uid="{DAA594B2-E15C-4066-BF54-6A5426083CC5}"/>
    <cellStyle name="Normal 5 2 2 4 2 3" xfId="3766" xr:uid="{00000000-0005-0000-0000-00006C0E0000}"/>
    <cellStyle name="Normal 5 2 2 4 2 3 2" xfId="9088" xr:uid="{A457A2F9-3C6D-4156-AE5B-6A936287D2D6}"/>
    <cellStyle name="Normal 5 2 2 4 2 4" xfId="9086" xr:uid="{8722224B-F3A6-49D5-B125-51698C414379}"/>
    <cellStyle name="Normal 5 2 2 4 3" xfId="3767" xr:uid="{00000000-0005-0000-0000-00006D0E0000}"/>
    <cellStyle name="Normal 5 2 2 4 3 2" xfId="3768" xr:uid="{00000000-0005-0000-0000-00006E0E0000}"/>
    <cellStyle name="Normal 5 2 2 4 3 2 2" xfId="9090" xr:uid="{9A448B42-5FB3-4087-A1BC-F00DB647A8B6}"/>
    <cellStyle name="Normal 5 2 2 4 3 3" xfId="9089" xr:uid="{125BB4DC-AE04-4011-B67B-EB42772588FD}"/>
    <cellStyle name="Normal 5 2 2 4 4" xfId="3769" xr:uid="{00000000-0005-0000-0000-00006F0E0000}"/>
    <cellStyle name="Normal 5 2 2 4 4 2" xfId="9091" xr:uid="{812C19D2-A098-4438-B094-5F01418A18E1}"/>
    <cellStyle name="Normal 5 2 2 4 5" xfId="9085" xr:uid="{5A7385C6-D34D-4B7D-8551-378CB4316463}"/>
    <cellStyle name="Normal 5 2 2 5" xfId="3770" xr:uid="{00000000-0005-0000-0000-0000700E0000}"/>
    <cellStyle name="Normal 5 2 2 5 2" xfId="3771" xr:uid="{00000000-0005-0000-0000-0000710E0000}"/>
    <cellStyle name="Normal 5 2 2 5 2 2" xfId="3772" xr:uid="{00000000-0005-0000-0000-0000720E0000}"/>
    <cellStyle name="Normal 5 2 2 5 2 2 2" xfId="9094" xr:uid="{E61ECB2B-832D-4D5C-8C6D-94327330DB37}"/>
    <cellStyle name="Normal 5 2 2 5 2 3" xfId="9093" xr:uid="{B794D2FD-5CEA-48DD-8D34-AB825BCCB874}"/>
    <cellStyle name="Normal 5 2 2 5 3" xfId="3773" xr:uid="{00000000-0005-0000-0000-0000730E0000}"/>
    <cellStyle name="Normal 5 2 2 5 3 2" xfId="9095" xr:uid="{0E53A896-B3CA-493E-8DFE-B50D4B3727F8}"/>
    <cellStyle name="Normal 5 2 2 5 4" xfId="3774" xr:uid="{00000000-0005-0000-0000-0000740E0000}"/>
    <cellStyle name="Normal 5 2 2 5 4 2" xfId="9096" xr:uid="{A32B587E-3219-4720-9A73-5146CA4048CC}"/>
    <cellStyle name="Normal 5 2 2 5 5" xfId="9092" xr:uid="{B928D7DA-0659-4973-8830-223C2D111A01}"/>
    <cellStyle name="Normal 5 2 2 6" xfId="3775" xr:uid="{00000000-0005-0000-0000-0000750E0000}"/>
    <cellStyle name="Normal 5 2 2 6 2" xfId="3776" xr:uid="{00000000-0005-0000-0000-0000760E0000}"/>
    <cellStyle name="Normal 5 2 2 6 2 2" xfId="9098" xr:uid="{22E1686E-6D77-4A8A-A11B-68CD6CD81EB2}"/>
    <cellStyle name="Normal 5 2 2 6 3" xfId="3777" xr:uid="{00000000-0005-0000-0000-0000770E0000}"/>
    <cellStyle name="Normal 5 2 2 6 3 2" xfId="9099" xr:uid="{6AD48F0C-F615-4177-A338-C60368E83D6C}"/>
    <cellStyle name="Normal 5 2 2 6 4" xfId="9097" xr:uid="{4411B52B-C679-4222-9BD9-FCB9A21AA6C6}"/>
    <cellStyle name="Normal 5 2 2 7" xfId="3778" xr:uid="{00000000-0005-0000-0000-0000780E0000}"/>
    <cellStyle name="Normal 5 2 2 7 2" xfId="3779" xr:uid="{00000000-0005-0000-0000-0000790E0000}"/>
    <cellStyle name="Normal 5 2 2 7 2 2" xfId="9101" xr:uid="{3956E085-E3AF-4AF5-BBF1-E42FB366CB3D}"/>
    <cellStyle name="Normal 5 2 2 7 3" xfId="9100" xr:uid="{90FE8FB8-DB2C-46F1-A76E-0947C939A8A0}"/>
    <cellStyle name="Normal 5 2 2 8" xfId="3780" xr:uid="{00000000-0005-0000-0000-00007A0E0000}"/>
    <cellStyle name="Normal 5 2 2 8 2" xfId="3781" xr:uid="{00000000-0005-0000-0000-00007B0E0000}"/>
    <cellStyle name="Normal 5 2 2 8 2 2" xfId="9103" xr:uid="{73A5EF11-EDB3-4FD4-80CE-9B032E1894A1}"/>
    <cellStyle name="Normal 5 2 2 8 3" xfId="9102" xr:uid="{6B1AD839-BF40-4DCD-AC51-84735936527C}"/>
    <cellStyle name="Normal 5 2 2 9" xfId="3782" xr:uid="{00000000-0005-0000-0000-00007C0E0000}"/>
    <cellStyle name="Normal 5 2 2 9 2" xfId="9104" xr:uid="{0B00A530-F483-4090-86A0-061BA2DB7F19}"/>
    <cellStyle name="Normal 5 2 3" xfId="168" xr:uid="{00000000-0005-0000-0000-00007D0E0000}"/>
    <cellStyle name="Normal 5 2 3 10" xfId="5502" xr:uid="{958ECB28-2EED-4D59-9978-F265C000FE8C}"/>
    <cellStyle name="Normal 5 2 3 2" xfId="169" xr:uid="{00000000-0005-0000-0000-00007E0E0000}"/>
    <cellStyle name="Normal 5 2 3 2 2" xfId="3783" xr:uid="{00000000-0005-0000-0000-00007F0E0000}"/>
    <cellStyle name="Normal 5 2 3 2 2 2" xfId="3784" xr:uid="{00000000-0005-0000-0000-0000800E0000}"/>
    <cellStyle name="Normal 5 2 3 2 2 2 2" xfId="3785" xr:uid="{00000000-0005-0000-0000-0000810E0000}"/>
    <cellStyle name="Normal 5 2 3 2 2 2 2 2" xfId="9107" xr:uid="{3AB6DD31-466A-4C76-B95B-E65075475213}"/>
    <cellStyle name="Normal 5 2 3 2 2 2 3" xfId="3786" xr:uid="{00000000-0005-0000-0000-0000820E0000}"/>
    <cellStyle name="Normal 5 2 3 2 2 2 3 2" xfId="9108" xr:uid="{A65054B9-3C30-4739-9448-BF47520D700B}"/>
    <cellStyle name="Normal 5 2 3 2 2 2 4" xfId="9106" xr:uid="{4AC02039-359D-4106-8DFF-A9F9AE4A54A4}"/>
    <cellStyle name="Normal 5 2 3 2 2 3" xfId="3787" xr:uid="{00000000-0005-0000-0000-0000830E0000}"/>
    <cellStyle name="Normal 5 2 3 2 2 3 2" xfId="9109" xr:uid="{F3F02C27-9F83-41E4-A6D4-A2A50019F865}"/>
    <cellStyle name="Normal 5 2 3 2 2 4" xfId="3788" xr:uid="{00000000-0005-0000-0000-0000840E0000}"/>
    <cellStyle name="Normal 5 2 3 2 2 4 2" xfId="9110" xr:uid="{82DE75D2-7076-4948-A8C0-59164AF42C82}"/>
    <cellStyle name="Normal 5 2 3 2 2 5" xfId="9105" xr:uid="{6310D532-F50F-4E46-8645-8E42BAE81D8B}"/>
    <cellStyle name="Normal 5 2 3 2 3" xfId="3789" xr:uid="{00000000-0005-0000-0000-0000850E0000}"/>
    <cellStyle name="Normal 5 2 3 2 3 2" xfId="3790" xr:uid="{00000000-0005-0000-0000-0000860E0000}"/>
    <cellStyle name="Normal 5 2 3 2 3 2 2" xfId="3791" xr:uid="{00000000-0005-0000-0000-0000870E0000}"/>
    <cellStyle name="Normal 5 2 3 2 3 2 2 2" xfId="9113" xr:uid="{8511952E-EE54-4D45-9F2A-4392FAF4CDC2}"/>
    <cellStyle name="Normal 5 2 3 2 3 2 3" xfId="9112" xr:uid="{7C9CB8DC-40F2-45FB-9F97-E9EE0C9AA88F}"/>
    <cellStyle name="Normal 5 2 3 2 3 3" xfId="3792" xr:uid="{00000000-0005-0000-0000-0000880E0000}"/>
    <cellStyle name="Normal 5 2 3 2 3 3 2" xfId="9114" xr:uid="{5A1EE7A6-FF67-4043-95B7-D0FA306F537F}"/>
    <cellStyle name="Normal 5 2 3 2 3 4" xfId="3793" xr:uid="{00000000-0005-0000-0000-0000890E0000}"/>
    <cellStyle name="Normal 5 2 3 2 3 4 2" xfId="9115" xr:uid="{0EA7C5E4-EB82-4879-A181-46E8201F7A81}"/>
    <cellStyle name="Normal 5 2 3 2 3 5" xfId="9111" xr:uid="{2E429807-4FB6-4805-99FB-E2FDC4630432}"/>
    <cellStyle name="Normal 5 2 3 2 4" xfId="3794" xr:uid="{00000000-0005-0000-0000-00008A0E0000}"/>
    <cellStyle name="Normal 5 2 3 2 4 2" xfId="3795" xr:uid="{00000000-0005-0000-0000-00008B0E0000}"/>
    <cellStyle name="Normal 5 2 3 2 4 2 2" xfId="9117" xr:uid="{61463529-57EF-40DB-AF0D-8B6614381181}"/>
    <cellStyle name="Normal 5 2 3 2 4 3" xfId="9116" xr:uid="{09A8B2CE-8267-4D65-8D27-F977AF540B89}"/>
    <cellStyle name="Normal 5 2 3 2 5" xfId="3796" xr:uid="{00000000-0005-0000-0000-00008C0E0000}"/>
    <cellStyle name="Normal 5 2 3 2 5 2" xfId="3797" xr:uid="{00000000-0005-0000-0000-00008D0E0000}"/>
    <cellStyle name="Normal 5 2 3 2 5 2 2" xfId="9119" xr:uid="{B749B214-0996-435E-8E5B-A51214D7140F}"/>
    <cellStyle name="Normal 5 2 3 2 5 3" xfId="9118" xr:uid="{61B82D9F-174B-45C7-B3D3-6EAB97359FD1}"/>
    <cellStyle name="Normal 5 2 3 2 6" xfId="3798" xr:uid="{00000000-0005-0000-0000-00008E0E0000}"/>
    <cellStyle name="Normal 5 2 3 2 6 2" xfId="3799" xr:uid="{00000000-0005-0000-0000-00008F0E0000}"/>
    <cellStyle name="Normal 5 2 3 2 6 2 2" xfId="9121" xr:uid="{52456478-FE12-4F87-B787-552F530B470D}"/>
    <cellStyle name="Normal 5 2 3 2 6 3" xfId="9120" xr:uid="{FB0855D5-17D1-4F8B-944A-3C95CBF08AFC}"/>
    <cellStyle name="Normal 5 2 3 2 7" xfId="3800" xr:uid="{00000000-0005-0000-0000-0000900E0000}"/>
    <cellStyle name="Normal 5 2 3 2 7 2" xfId="9122" xr:uid="{15A5945F-04A7-4879-AA2E-6A612714B2C9}"/>
    <cellStyle name="Normal 5 2 3 2 8" xfId="3801" xr:uid="{00000000-0005-0000-0000-0000910E0000}"/>
    <cellStyle name="Normal 5 2 3 2 8 2" xfId="9123" xr:uid="{0D526050-41C2-4CBF-8F9D-0A6D9B4EF7D5}"/>
    <cellStyle name="Normal 5 2 3 2 9" xfId="5503" xr:uid="{C793BC79-512B-4E51-B761-93F8FC8D8949}"/>
    <cellStyle name="Normal 5 2 3 3" xfId="3802" xr:uid="{00000000-0005-0000-0000-0000920E0000}"/>
    <cellStyle name="Normal 5 2 3 3 2" xfId="3803" xr:uid="{00000000-0005-0000-0000-0000930E0000}"/>
    <cellStyle name="Normal 5 2 3 3 2 2" xfId="3804" xr:uid="{00000000-0005-0000-0000-0000940E0000}"/>
    <cellStyle name="Normal 5 2 3 3 2 2 2" xfId="9126" xr:uid="{E20FC0E3-59A0-4156-A240-594170C79F25}"/>
    <cellStyle name="Normal 5 2 3 3 2 3" xfId="3805" xr:uid="{00000000-0005-0000-0000-0000950E0000}"/>
    <cellStyle name="Normal 5 2 3 3 2 3 2" xfId="9127" xr:uid="{AECA6532-421D-4846-BFF5-6DF23DDBF912}"/>
    <cellStyle name="Normal 5 2 3 3 2 4" xfId="9125" xr:uid="{3A2461AF-A607-4FD4-8D4A-9E7FFA0FD6C1}"/>
    <cellStyle name="Normal 5 2 3 3 3" xfId="3806" xr:uid="{00000000-0005-0000-0000-0000960E0000}"/>
    <cellStyle name="Normal 5 2 3 3 3 2" xfId="9128" xr:uid="{EFC108B5-2A55-4F55-9374-28AF10892665}"/>
    <cellStyle name="Normal 5 2 3 3 4" xfId="3807" xr:uid="{00000000-0005-0000-0000-0000970E0000}"/>
    <cellStyle name="Normal 5 2 3 3 4 2" xfId="9129" xr:uid="{6822723D-7004-4EC5-9561-D1A805E689BE}"/>
    <cellStyle name="Normal 5 2 3 3 5" xfId="9124" xr:uid="{22108646-EA5F-4491-84E7-979188219921}"/>
    <cellStyle name="Normal 5 2 3 4" xfId="3808" xr:uid="{00000000-0005-0000-0000-0000980E0000}"/>
    <cellStyle name="Normal 5 2 3 4 2" xfId="3809" xr:uid="{00000000-0005-0000-0000-0000990E0000}"/>
    <cellStyle name="Normal 5 2 3 4 2 2" xfId="3810" xr:uid="{00000000-0005-0000-0000-00009A0E0000}"/>
    <cellStyle name="Normal 5 2 3 4 2 2 2" xfId="9132" xr:uid="{D5E567F3-BE10-41A4-91FB-C50E399E753B}"/>
    <cellStyle name="Normal 5 2 3 4 2 3" xfId="9131" xr:uid="{1A8DD9DE-5333-4048-9E0E-6635FAA94A98}"/>
    <cellStyle name="Normal 5 2 3 4 3" xfId="3811" xr:uid="{00000000-0005-0000-0000-00009B0E0000}"/>
    <cellStyle name="Normal 5 2 3 4 3 2" xfId="9133" xr:uid="{AE5CE305-AB0D-40B9-AD0D-F03E44209909}"/>
    <cellStyle name="Normal 5 2 3 4 4" xfId="3812" xr:uid="{00000000-0005-0000-0000-00009C0E0000}"/>
    <cellStyle name="Normal 5 2 3 4 4 2" xfId="9134" xr:uid="{55C1611E-C6D8-4DD1-B091-52362FF5D1A9}"/>
    <cellStyle name="Normal 5 2 3 4 5" xfId="9130" xr:uid="{D6D740B3-02D6-4B9D-9148-BCAF4EC7850A}"/>
    <cellStyle name="Normal 5 2 3 5" xfId="3813" xr:uid="{00000000-0005-0000-0000-00009D0E0000}"/>
    <cellStyle name="Normal 5 2 3 5 2" xfId="3814" xr:uid="{00000000-0005-0000-0000-00009E0E0000}"/>
    <cellStyle name="Normal 5 2 3 5 2 2" xfId="9136" xr:uid="{649C6232-245B-4D50-9107-DB6D448FCA12}"/>
    <cellStyle name="Normal 5 2 3 5 3" xfId="9135" xr:uid="{6453368D-24AA-4166-ADD5-C3E5F2050845}"/>
    <cellStyle name="Normal 5 2 3 6" xfId="3815" xr:uid="{00000000-0005-0000-0000-00009F0E0000}"/>
    <cellStyle name="Normal 5 2 3 6 2" xfId="3816" xr:uid="{00000000-0005-0000-0000-0000A00E0000}"/>
    <cellStyle name="Normal 5 2 3 6 2 2" xfId="9138" xr:uid="{38014136-7336-4C67-8EF2-AFC5B9762DC5}"/>
    <cellStyle name="Normal 5 2 3 6 3" xfId="9137" xr:uid="{EADBD4FE-3EAC-42C4-BA75-283500BF2B6F}"/>
    <cellStyle name="Normal 5 2 3 7" xfId="3817" xr:uid="{00000000-0005-0000-0000-0000A10E0000}"/>
    <cellStyle name="Normal 5 2 3 7 2" xfId="3818" xr:uid="{00000000-0005-0000-0000-0000A20E0000}"/>
    <cellStyle name="Normal 5 2 3 7 2 2" xfId="9140" xr:uid="{D7215521-AA0A-4FCA-9F18-FFC3FF15563D}"/>
    <cellStyle name="Normal 5 2 3 7 3" xfId="9139" xr:uid="{56A9E7FB-E608-47B8-AF2D-EEBB1807C1A9}"/>
    <cellStyle name="Normal 5 2 3 8" xfId="3819" xr:uid="{00000000-0005-0000-0000-0000A30E0000}"/>
    <cellStyle name="Normal 5 2 3 8 2" xfId="9141" xr:uid="{3DF926C1-F081-4CDF-B59A-5F482F1724CA}"/>
    <cellStyle name="Normal 5 2 3 9" xfId="3820" xr:uid="{00000000-0005-0000-0000-0000A40E0000}"/>
    <cellStyle name="Normal 5 2 3 9 2" xfId="9142" xr:uid="{D3FD95BF-D92E-4196-843C-62B842181983}"/>
    <cellStyle name="Normal 5 2 4" xfId="170" xr:uid="{00000000-0005-0000-0000-0000A50E0000}"/>
    <cellStyle name="Normal 5 2 4 10" xfId="5504" xr:uid="{3C41B625-A594-4FC8-BCE5-4EBD455B5DA4}"/>
    <cellStyle name="Normal 5 2 4 2" xfId="3821" xr:uid="{00000000-0005-0000-0000-0000A60E0000}"/>
    <cellStyle name="Normal 5 2 4 2 2" xfId="3822" xr:uid="{00000000-0005-0000-0000-0000A70E0000}"/>
    <cellStyle name="Normal 5 2 4 2 2 2" xfId="3823" xr:uid="{00000000-0005-0000-0000-0000A80E0000}"/>
    <cellStyle name="Normal 5 2 4 2 2 2 2" xfId="3824" xr:uid="{00000000-0005-0000-0000-0000A90E0000}"/>
    <cellStyle name="Normal 5 2 4 2 2 2 2 2" xfId="9146" xr:uid="{0BB5BBDE-49B4-4FD7-971B-E4E2D4AFCF0B}"/>
    <cellStyle name="Normal 5 2 4 2 2 2 3" xfId="3825" xr:uid="{00000000-0005-0000-0000-0000AA0E0000}"/>
    <cellStyle name="Normal 5 2 4 2 2 2 3 2" xfId="9147" xr:uid="{DC0A90BC-2000-4053-9653-88B5E047EC1C}"/>
    <cellStyle name="Normal 5 2 4 2 2 2 4" xfId="9145" xr:uid="{D3F5FA45-852F-42DC-9C61-C8572D4385B6}"/>
    <cellStyle name="Normal 5 2 4 2 2 3" xfId="3826" xr:uid="{00000000-0005-0000-0000-0000AB0E0000}"/>
    <cellStyle name="Normal 5 2 4 2 2 3 2" xfId="9148" xr:uid="{8DF70033-2609-45BB-957D-7532E3EF0FB5}"/>
    <cellStyle name="Normal 5 2 4 2 2 4" xfId="3827" xr:uid="{00000000-0005-0000-0000-0000AC0E0000}"/>
    <cellStyle name="Normal 5 2 4 2 2 4 2" xfId="9149" xr:uid="{3366EA90-D2C3-4B04-8126-223BB4398377}"/>
    <cellStyle name="Normal 5 2 4 2 2 5" xfId="9144" xr:uid="{71C4EF53-497B-4529-90D2-307EB5D49833}"/>
    <cellStyle name="Normal 5 2 4 2 3" xfId="3828" xr:uid="{00000000-0005-0000-0000-0000AD0E0000}"/>
    <cellStyle name="Normal 5 2 4 2 3 2" xfId="3829" xr:uid="{00000000-0005-0000-0000-0000AE0E0000}"/>
    <cellStyle name="Normal 5 2 4 2 3 2 2" xfId="3830" xr:uid="{00000000-0005-0000-0000-0000AF0E0000}"/>
    <cellStyle name="Normal 5 2 4 2 3 2 2 2" xfId="9152" xr:uid="{AF2F2D90-1B82-4AE6-ADE7-01FB657C2E88}"/>
    <cellStyle name="Normal 5 2 4 2 3 2 3" xfId="9151" xr:uid="{0216E6FB-ED4C-4604-94FE-B6F072386BAF}"/>
    <cellStyle name="Normal 5 2 4 2 3 3" xfId="3831" xr:uid="{00000000-0005-0000-0000-0000B00E0000}"/>
    <cellStyle name="Normal 5 2 4 2 3 3 2" xfId="9153" xr:uid="{DA1C805F-4FD6-4B4F-A825-043DF4713174}"/>
    <cellStyle name="Normal 5 2 4 2 3 4" xfId="3832" xr:uid="{00000000-0005-0000-0000-0000B10E0000}"/>
    <cellStyle name="Normal 5 2 4 2 3 4 2" xfId="9154" xr:uid="{89384D4D-D73E-4BFA-8FD9-135DF9FF4789}"/>
    <cellStyle name="Normal 5 2 4 2 3 5" xfId="9150" xr:uid="{1D238C4B-6FA6-4E71-8C68-C6EF15BF4DF4}"/>
    <cellStyle name="Normal 5 2 4 2 4" xfId="3833" xr:uid="{00000000-0005-0000-0000-0000B20E0000}"/>
    <cellStyle name="Normal 5 2 4 2 4 2" xfId="3834" xr:uid="{00000000-0005-0000-0000-0000B30E0000}"/>
    <cellStyle name="Normal 5 2 4 2 4 2 2" xfId="9156" xr:uid="{18CC26CB-8957-420E-98CF-F8B456C970AD}"/>
    <cellStyle name="Normal 5 2 4 2 4 3" xfId="9155" xr:uid="{7886A7E4-5DB3-4910-AE79-BE18AF39EE9A}"/>
    <cellStyle name="Normal 5 2 4 2 5" xfId="3835" xr:uid="{00000000-0005-0000-0000-0000B40E0000}"/>
    <cellStyle name="Normal 5 2 4 2 5 2" xfId="9157" xr:uid="{C08D82AD-3075-47A0-B0B9-9C340DA2BF77}"/>
    <cellStyle name="Normal 5 2 4 2 6" xfId="3836" xr:uid="{00000000-0005-0000-0000-0000B50E0000}"/>
    <cellStyle name="Normal 5 2 4 2 6 2" xfId="9158" xr:uid="{F72F0113-FFE8-48B8-83C6-A88A1EDB7E47}"/>
    <cellStyle name="Normal 5 2 4 2 7" xfId="9143" xr:uid="{C29D23EE-0D7D-46A4-A4B6-7E8ED97F1741}"/>
    <cellStyle name="Normal 5 2 4 3" xfId="3837" xr:uid="{00000000-0005-0000-0000-0000B60E0000}"/>
    <cellStyle name="Normal 5 2 4 3 2" xfId="3838" xr:uid="{00000000-0005-0000-0000-0000B70E0000}"/>
    <cellStyle name="Normal 5 2 4 3 2 2" xfId="3839" xr:uid="{00000000-0005-0000-0000-0000B80E0000}"/>
    <cellStyle name="Normal 5 2 4 3 2 2 2" xfId="9161" xr:uid="{82A45FEB-9505-4002-AD23-B8D15B0E1180}"/>
    <cellStyle name="Normal 5 2 4 3 2 3" xfId="3840" xr:uid="{00000000-0005-0000-0000-0000B90E0000}"/>
    <cellStyle name="Normal 5 2 4 3 2 3 2" xfId="9162" xr:uid="{0FE160C3-E7B5-4519-98B8-84C534E94A93}"/>
    <cellStyle name="Normal 5 2 4 3 2 4" xfId="9160" xr:uid="{946D8450-65B8-45CE-945F-30C538747126}"/>
    <cellStyle name="Normal 5 2 4 3 3" xfId="3841" xr:uid="{00000000-0005-0000-0000-0000BA0E0000}"/>
    <cellStyle name="Normal 5 2 4 3 3 2" xfId="9163" xr:uid="{5F54E113-DD11-480A-B703-BF608ECB2838}"/>
    <cellStyle name="Normal 5 2 4 3 4" xfId="3842" xr:uid="{00000000-0005-0000-0000-0000BB0E0000}"/>
    <cellStyle name="Normal 5 2 4 3 4 2" xfId="9164" xr:uid="{9CCE38F8-C62D-4BA8-AA5C-A4A6ECCA6A6F}"/>
    <cellStyle name="Normal 5 2 4 3 5" xfId="9159" xr:uid="{FB221C6A-541D-47C0-A365-332D31DFD9C4}"/>
    <cellStyle name="Normal 5 2 4 4" xfId="3843" xr:uid="{00000000-0005-0000-0000-0000BC0E0000}"/>
    <cellStyle name="Normal 5 2 4 4 2" xfId="3844" xr:uid="{00000000-0005-0000-0000-0000BD0E0000}"/>
    <cellStyle name="Normal 5 2 4 4 2 2" xfId="3845" xr:uid="{00000000-0005-0000-0000-0000BE0E0000}"/>
    <cellStyle name="Normal 5 2 4 4 2 2 2" xfId="9167" xr:uid="{D0B1C4EB-84C7-45F8-B7F6-F6B96816C8A4}"/>
    <cellStyle name="Normal 5 2 4 4 2 3" xfId="9166" xr:uid="{15B8A7D9-2977-424F-A4AD-DEE453A81711}"/>
    <cellStyle name="Normal 5 2 4 4 3" xfId="3846" xr:uid="{00000000-0005-0000-0000-0000BF0E0000}"/>
    <cellStyle name="Normal 5 2 4 4 3 2" xfId="9168" xr:uid="{FFABD017-0335-4B25-B084-3E7B754D6439}"/>
    <cellStyle name="Normal 5 2 4 4 4" xfId="3847" xr:uid="{00000000-0005-0000-0000-0000C00E0000}"/>
    <cellStyle name="Normal 5 2 4 4 4 2" xfId="9169" xr:uid="{33504293-5D24-4B5B-B4B9-6D557639CD01}"/>
    <cellStyle name="Normal 5 2 4 4 5" xfId="9165" xr:uid="{8FCCEAA8-BFDC-4EAC-981D-CD4035A0D71D}"/>
    <cellStyle name="Normal 5 2 4 5" xfId="3848" xr:uid="{00000000-0005-0000-0000-0000C10E0000}"/>
    <cellStyle name="Normal 5 2 4 5 2" xfId="3849" xr:uid="{00000000-0005-0000-0000-0000C20E0000}"/>
    <cellStyle name="Normal 5 2 4 5 2 2" xfId="9171" xr:uid="{14F24AB0-D618-43B4-AB30-7D8A4365BF7C}"/>
    <cellStyle name="Normal 5 2 4 5 3" xfId="9170" xr:uid="{C11A9308-F677-45CC-89C8-85722EE65D70}"/>
    <cellStyle name="Normal 5 2 4 6" xfId="3850" xr:uid="{00000000-0005-0000-0000-0000C30E0000}"/>
    <cellStyle name="Normal 5 2 4 6 2" xfId="3851" xr:uid="{00000000-0005-0000-0000-0000C40E0000}"/>
    <cellStyle name="Normal 5 2 4 6 2 2" xfId="9173" xr:uid="{2BF68CA7-1644-4746-B4F1-BB34DD2E1C83}"/>
    <cellStyle name="Normal 5 2 4 6 3" xfId="9172" xr:uid="{C7AF03F7-10DD-4B71-B6A2-3E771C49490F}"/>
    <cellStyle name="Normal 5 2 4 7" xfId="3852" xr:uid="{00000000-0005-0000-0000-0000C50E0000}"/>
    <cellStyle name="Normal 5 2 4 7 2" xfId="3853" xr:uid="{00000000-0005-0000-0000-0000C60E0000}"/>
    <cellStyle name="Normal 5 2 4 7 2 2" xfId="9175" xr:uid="{A26812A5-C187-437D-92CF-E33599F3BA5D}"/>
    <cellStyle name="Normal 5 2 4 7 3" xfId="9174" xr:uid="{8986B949-1A0E-4E38-B40F-7506AF6123E9}"/>
    <cellStyle name="Normal 5 2 4 8" xfId="3854" xr:uid="{00000000-0005-0000-0000-0000C70E0000}"/>
    <cellStyle name="Normal 5 2 4 8 2" xfId="9176" xr:uid="{DF8EF091-E2AC-4C96-8AA2-01D67CAA2BFC}"/>
    <cellStyle name="Normal 5 2 4 9" xfId="3855" xr:uid="{00000000-0005-0000-0000-0000C80E0000}"/>
    <cellStyle name="Normal 5 2 4 9 2" xfId="9177" xr:uid="{6222764E-6CEB-43C6-A88E-0A365AA8D664}"/>
    <cellStyle name="Normal 5 2 5" xfId="3856" xr:uid="{00000000-0005-0000-0000-0000C90E0000}"/>
    <cellStyle name="Normal 5 2 5 2" xfId="3857" xr:uid="{00000000-0005-0000-0000-0000CA0E0000}"/>
    <cellStyle name="Normal 5 2 5 2 2" xfId="3858" xr:uid="{00000000-0005-0000-0000-0000CB0E0000}"/>
    <cellStyle name="Normal 5 2 5 2 2 2" xfId="3859" xr:uid="{00000000-0005-0000-0000-0000CC0E0000}"/>
    <cellStyle name="Normal 5 2 5 2 2 2 2" xfId="9181" xr:uid="{159648F9-6222-4737-9603-7A783C3875D4}"/>
    <cellStyle name="Normal 5 2 5 2 2 3" xfId="3860" xr:uid="{00000000-0005-0000-0000-0000CD0E0000}"/>
    <cellStyle name="Normal 5 2 5 2 2 3 2" xfId="9182" xr:uid="{8FFC9D0A-B316-472C-8446-17C47FB6D455}"/>
    <cellStyle name="Normal 5 2 5 2 2 4" xfId="9180" xr:uid="{7649A391-7856-44C7-BD52-0FB55EE5B0CD}"/>
    <cellStyle name="Normal 5 2 5 2 3" xfId="3861" xr:uid="{00000000-0005-0000-0000-0000CE0E0000}"/>
    <cellStyle name="Normal 5 2 5 2 3 2" xfId="9183" xr:uid="{A77A9ABA-5CDB-4873-BDAA-556EA77C3B21}"/>
    <cellStyle name="Normal 5 2 5 2 4" xfId="3862" xr:uid="{00000000-0005-0000-0000-0000CF0E0000}"/>
    <cellStyle name="Normal 5 2 5 2 4 2" xfId="9184" xr:uid="{4C74B84F-C564-41AF-A85C-242C94A054C9}"/>
    <cellStyle name="Normal 5 2 5 2 5" xfId="9179" xr:uid="{85087047-E0BC-474D-8584-B32D972B0AED}"/>
    <cellStyle name="Normal 5 2 5 3" xfId="3863" xr:uid="{00000000-0005-0000-0000-0000D00E0000}"/>
    <cellStyle name="Normal 5 2 5 3 2" xfId="3864" xr:uid="{00000000-0005-0000-0000-0000D10E0000}"/>
    <cellStyle name="Normal 5 2 5 3 2 2" xfId="3865" xr:uid="{00000000-0005-0000-0000-0000D20E0000}"/>
    <cellStyle name="Normal 5 2 5 3 2 2 2" xfId="9187" xr:uid="{71C251C4-F052-4538-9EA2-B6D6F99C4E86}"/>
    <cellStyle name="Normal 5 2 5 3 2 3" xfId="9186" xr:uid="{FC118CEF-5FD7-4C57-A82C-BD1D7DDEA415}"/>
    <cellStyle name="Normal 5 2 5 3 3" xfId="3866" xr:uid="{00000000-0005-0000-0000-0000D30E0000}"/>
    <cellStyle name="Normal 5 2 5 3 3 2" xfId="9188" xr:uid="{2FEB3D16-FF20-445B-B5D8-B5CE35C57913}"/>
    <cellStyle name="Normal 5 2 5 3 4" xfId="3867" xr:uid="{00000000-0005-0000-0000-0000D40E0000}"/>
    <cellStyle name="Normal 5 2 5 3 4 2" xfId="9189" xr:uid="{61F6A2F4-27B8-4249-B2A5-778F6BFFDD05}"/>
    <cellStyle name="Normal 5 2 5 3 5" xfId="9185" xr:uid="{5C777312-F85A-4D98-897B-921CDF59BC4A}"/>
    <cellStyle name="Normal 5 2 5 4" xfId="3868" xr:uid="{00000000-0005-0000-0000-0000D50E0000}"/>
    <cellStyle name="Normal 5 2 5 4 2" xfId="3869" xr:uid="{00000000-0005-0000-0000-0000D60E0000}"/>
    <cellStyle name="Normal 5 2 5 4 2 2" xfId="9191" xr:uid="{CABCABD6-3B4D-4415-A207-AF8CD1CE4191}"/>
    <cellStyle name="Normal 5 2 5 4 3" xfId="9190" xr:uid="{A44CBB21-FDAD-4301-8BAB-046AF2AD57E4}"/>
    <cellStyle name="Normal 5 2 5 5" xfId="3870" xr:uid="{00000000-0005-0000-0000-0000D70E0000}"/>
    <cellStyle name="Normal 5 2 5 5 2" xfId="9192" xr:uid="{5CA9F037-C819-400B-BF17-4692933C920B}"/>
    <cellStyle name="Normal 5 2 5 6" xfId="3871" xr:uid="{00000000-0005-0000-0000-0000D80E0000}"/>
    <cellStyle name="Normal 5 2 5 6 2" xfId="9193" xr:uid="{8C88EE2B-ECCF-499B-9BC8-1E6A93B51EF6}"/>
    <cellStyle name="Normal 5 2 5 7" xfId="9178" xr:uid="{43C12A57-4E88-40E8-8352-A1794FCFE324}"/>
    <cellStyle name="Normal 5 2 6" xfId="3872" xr:uid="{00000000-0005-0000-0000-0000D90E0000}"/>
    <cellStyle name="Normal 5 2 6 2" xfId="3873" xr:uid="{00000000-0005-0000-0000-0000DA0E0000}"/>
    <cellStyle name="Normal 5 2 6 2 2" xfId="3874" xr:uid="{00000000-0005-0000-0000-0000DB0E0000}"/>
    <cellStyle name="Normal 5 2 6 2 2 2" xfId="9196" xr:uid="{E327CDBC-3661-48BE-8FDF-D4FC0444E9C0}"/>
    <cellStyle name="Normal 5 2 6 2 3" xfId="3875" xr:uid="{00000000-0005-0000-0000-0000DC0E0000}"/>
    <cellStyle name="Normal 5 2 6 2 3 2" xfId="9197" xr:uid="{F427E150-00AF-41BC-B7DD-2723EF82A40A}"/>
    <cellStyle name="Normal 5 2 6 2 4" xfId="9195" xr:uid="{841FD812-798C-4E44-963D-31F9483E9599}"/>
    <cellStyle name="Normal 5 2 6 3" xfId="3876" xr:uid="{00000000-0005-0000-0000-0000DD0E0000}"/>
    <cellStyle name="Normal 5 2 6 3 2" xfId="3877" xr:uid="{00000000-0005-0000-0000-0000DE0E0000}"/>
    <cellStyle name="Normal 5 2 6 3 2 2" xfId="9199" xr:uid="{0A35E4C5-6E48-4F0E-965F-130657DE4BFA}"/>
    <cellStyle name="Normal 5 2 6 3 3" xfId="9198" xr:uid="{A6B83158-0542-4D33-BAA3-F457D172EAB7}"/>
    <cellStyle name="Normal 5 2 6 4" xfId="3878" xr:uid="{00000000-0005-0000-0000-0000DF0E0000}"/>
    <cellStyle name="Normal 5 2 6 4 2" xfId="9200" xr:uid="{F9361604-5681-4C59-8AF1-6D6DAA3301F0}"/>
    <cellStyle name="Normal 5 2 6 5" xfId="9194" xr:uid="{C4AE82FE-59D6-4020-85B5-BAFA84C967DF}"/>
    <cellStyle name="Normal 5 2 7" xfId="3879" xr:uid="{00000000-0005-0000-0000-0000E00E0000}"/>
    <cellStyle name="Normal 5 2 7 2" xfId="3880" xr:uid="{00000000-0005-0000-0000-0000E10E0000}"/>
    <cellStyle name="Normal 5 2 7 2 2" xfId="3881" xr:uid="{00000000-0005-0000-0000-0000E20E0000}"/>
    <cellStyle name="Normal 5 2 7 2 2 2" xfId="9203" xr:uid="{ED5C019E-651D-45B6-B8D2-708819D6EE69}"/>
    <cellStyle name="Normal 5 2 7 2 3" xfId="9202" xr:uid="{0F4373A2-BF61-4549-A128-AB84E9FDF223}"/>
    <cellStyle name="Normal 5 2 7 3" xfId="3882" xr:uid="{00000000-0005-0000-0000-0000E30E0000}"/>
    <cellStyle name="Normal 5 2 7 3 2" xfId="9204" xr:uid="{281DD5B3-151C-4EE9-B650-2A2D932C5C89}"/>
    <cellStyle name="Normal 5 2 7 4" xfId="3883" xr:uid="{00000000-0005-0000-0000-0000E40E0000}"/>
    <cellStyle name="Normal 5 2 7 4 2" xfId="9205" xr:uid="{F1B8625A-D711-4AB5-818B-008EC7E52293}"/>
    <cellStyle name="Normal 5 2 7 5" xfId="9201" xr:uid="{38508D86-B788-4E2C-9C84-8ED87694CEE2}"/>
    <cellStyle name="Normal 5 2 8" xfId="3884" xr:uid="{00000000-0005-0000-0000-0000E50E0000}"/>
    <cellStyle name="Normal 5 2 8 2" xfId="3885" xr:uid="{00000000-0005-0000-0000-0000E60E0000}"/>
    <cellStyle name="Normal 5 2 8 2 2" xfId="9207" xr:uid="{E7CB74C6-4F2A-465F-83EA-5AE5504FB97F}"/>
    <cellStyle name="Normal 5 2 8 3" xfId="3886" xr:uid="{00000000-0005-0000-0000-0000E70E0000}"/>
    <cellStyle name="Normal 5 2 8 3 2" xfId="9208" xr:uid="{53326AB5-FCB8-49B6-98E6-45B35CE4C1D4}"/>
    <cellStyle name="Normal 5 2 8 4" xfId="9206" xr:uid="{CC295057-1357-4F4D-B500-57BCA26B8254}"/>
    <cellStyle name="Normal 5 2 9" xfId="3887" xr:uid="{00000000-0005-0000-0000-0000E80E0000}"/>
    <cellStyle name="Normal 5 2 9 2" xfId="3888" xr:uid="{00000000-0005-0000-0000-0000E90E0000}"/>
    <cellStyle name="Normal 5 2 9 2 2" xfId="9210" xr:uid="{A04ABEA3-5166-4D60-82FF-8098F9BCB2E2}"/>
    <cellStyle name="Normal 5 2 9 3" xfId="9209" xr:uid="{301E9823-038D-4267-9547-5534E039C6F4}"/>
    <cellStyle name="Normal 5 3" xfId="171" xr:uid="{00000000-0005-0000-0000-0000EA0E0000}"/>
    <cellStyle name="Normal 5 3 10" xfId="3889" xr:uid="{00000000-0005-0000-0000-0000EB0E0000}"/>
    <cellStyle name="Normal 5 3 10 2" xfId="9211" xr:uid="{F0ECE7D6-68C1-420F-B117-F7826F88F48E}"/>
    <cellStyle name="Normal 5 3 11" xfId="5505" xr:uid="{2A74E57D-1562-4DFC-9288-8A6687A73C5C}"/>
    <cellStyle name="Normal 5 3 2" xfId="172" xr:uid="{00000000-0005-0000-0000-0000EC0E0000}"/>
    <cellStyle name="Normal 5 3 2 10" xfId="5506" xr:uid="{05AFE38A-DEA4-4BA9-9B18-0E03D0F3A18F}"/>
    <cellStyle name="Normal 5 3 2 2" xfId="173" xr:uid="{00000000-0005-0000-0000-0000ED0E0000}"/>
    <cellStyle name="Normal 5 3 2 2 2" xfId="3890" xr:uid="{00000000-0005-0000-0000-0000EE0E0000}"/>
    <cellStyle name="Normal 5 3 2 2 2 2" xfId="3891" xr:uid="{00000000-0005-0000-0000-0000EF0E0000}"/>
    <cellStyle name="Normal 5 3 2 2 2 2 2" xfId="3892" xr:uid="{00000000-0005-0000-0000-0000F00E0000}"/>
    <cellStyle name="Normal 5 3 2 2 2 2 2 2" xfId="9214" xr:uid="{00F9B762-7237-49C7-99A9-A82C980E8517}"/>
    <cellStyle name="Normal 5 3 2 2 2 2 3" xfId="3893" xr:uid="{00000000-0005-0000-0000-0000F10E0000}"/>
    <cellStyle name="Normal 5 3 2 2 2 2 3 2" xfId="9215" xr:uid="{95E22356-EDF3-45D5-9B88-239A5C737ACB}"/>
    <cellStyle name="Normal 5 3 2 2 2 2 4" xfId="9213" xr:uid="{E995AF2F-D550-4373-AAB9-32E559F4A4CE}"/>
    <cellStyle name="Normal 5 3 2 2 2 3" xfId="3894" xr:uid="{00000000-0005-0000-0000-0000F20E0000}"/>
    <cellStyle name="Normal 5 3 2 2 2 3 2" xfId="9216" xr:uid="{C5083C2C-2392-453A-8233-11AD4011FFB2}"/>
    <cellStyle name="Normal 5 3 2 2 2 4" xfId="3895" xr:uid="{00000000-0005-0000-0000-0000F30E0000}"/>
    <cellStyle name="Normal 5 3 2 2 2 4 2" xfId="9217" xr:uid="{842E9305-E957-4D99-889F-427A46DEBEF2}"/>
    <cellStyle name="Normal 5 3 2 2 2 5" xfId="9212" xr:uid="{ACCB2050-7DE0-48BC-A85A-F14F727ED3A0}"/>
    <cellStyle name="Normal 5 3 2 2 3" xfId="3896" xr:uid="{00000000-0005-0000-0000-0000F40E0000}"/>
    <cellStyle name="Normal 5 3 2 2 3 2" xfId="3897" xr:uid="{00000000-0005-0000-0000-0000F50E0000}"/>
    <cellStyle name="Normal 5 3 2 2 3 2 2" xfId="3898" xr:uid="{00000000-0005-0000-0000-0000F60E0000}"/>
    <cellStyle name="Normal 5 3 2 2 3 2 2 2" xfId="9220" xr:uid="{6B5B554C-FA5B-4BC5-ACBB-B143A2079ACF}"/>
    <cellStyle name="Normal 5 3 2 2 3 2 3" xfId="9219" xr:uid="{815556EE-036B-483D-84D4-7CF1B25F6882}"/>
    <cellStyle name="Normal 5 3 2 2 3 3" xfId="3899" xr:uid="{00000000-0005-0000-0000-0000F70E0000}"/>
    <cellStyle name="Normal 5 3 2 2 3 3 2" xfId="9221" xr:uid="{7C6B9160-D483-4586-BA37-92B653ABCABF}"/>
    <cellStyle name="Normal 5 3 2 2 3 4" xfId="3900" xr:uid="{00000000-0005-0000-0000-0000F80E0000}"/>
    <cellStyle name="Normal 5 3 2 2 3 4 2" xfId="9222" xr:uid="{92C06273-94B2-4D65-85C5-EB7FE2619161}"/>
    <cellStyle name="Normal 5 3 2 2 3 5" xfId="9218" xr:uid="{94F56B55-499F-43A8-9C5A-3B0E99B04C63}"/>
    <cellStyle name="Normal 5 3 2 2 4" xfId="3901" xr:uid="{00000000-0005-0000-0000-0000F90E0000}"/>
    <cellStyle name="Normal 5 3 2 2 4 2" xfId="3902" xr:uid="{00000000-0005-0000-0000-0000FA0E0000}"/>
    <cellStyle name="Normal 5 3 2 2 4 2 2" xfId="9224" xr:uid="{12DBC00B-7193-442C-8649-DB0382F8589A}"/>
    <cellStyle name="Normal 5 3 2 2 4 3" xfId="9223" xr:uid="{0465C02C-7C73-4BF4-865C-AF7FAF093B54}"/>
    <cellStyle name="Normal 5 3 2 2 5" xfId="3903" xr:uid="{00000000-0005-0000-0000-0000FB0E0000}"/>
    <cellStyle name="Normal 5 3 2 2 5 2" xfId="3904" xr:uid="{00000000-0005-0000-0000-0000FC0E0000}"/>
    <cellStyle name="Normal 5 3 2 2 5 2 2" xfId="9226" xr:uid="{E80FD759-64E1-4B6E-A5E8-432F51E6B387}"/>
    <cellStyle name="Normal 5 3 2 2 5 3" xfId="9225" xr:uid="{F7C22CD7-684A-46BD-981B-115797D639B7}"/>
    <cellStyle name="Normal 5 3 2 2 6" xfId="3905" xr:uid="{00000000-0005-0000-0000-0000FD0E0000}"/>
    <cellStyle name="Normal 5 3 2 2 6 2" xfId="3906" xr:uid="{00000000-0005-0000-0000-0000FE0E0000}"/>
    <cellStyle name="Normal 5 3 2 2 6 2 2" xfId="9228" xr:uid="{E2770D07-B4BC-4CF5-B9FC-E344B41C7880}"/>
    <cellStyle name="Normal 5 3 2 2 6 3" xfId="9227" xr:uid="{D6594537-2126-4546-A67F-CA6DCC71C7A8}"/>
    <cellStyle name="Normal 5 3 2 2 7" xfId="3907" xr:uid="{00000000-0005-0000-0000-0000FF0E0000}"/>
    <cellStyle name="Normal 5 3 2 2 7 2" xfId="9229" xr:uid="{675B8524-0E55-4FF0-8667-F811F8C7B8F4}"/>
    <cellStyle name="Normal 5 3 2 2 8" xfId="3908" xr:uid="{00000000-0005-0000-0000-0000000F0000}"/>
    <cellStyle name="Normal 5 3 2 2 8 2" xfId="9230" xr:uid="{CADAF8A9-B7C7-41A8-8493-7B2D5D62EFA3}"/>
    <cellStyle name="Normal 5 3 2 2 9" xfId="5507" xr:uid="{0B2B2056-2441-4F20-830F-02FBD76780D0}"/>
    <cellStyle name="Normal 5 3 2 3" xfId="3909" xr:uid="{00000000-0005-0000-0000-0000010F0000}"/>
    <cellStyle name="Normal 5 3 2 3 2" xfId="3910" xr:uid="{00000000-0005-0000-0000-0000020F0000}"/>
    <cellStyle name="Normal 5 3 2 3 2 2" xfId="3911" xr:uid="{00000000-0005-0000-0000-0000030F0000}"/>
    <cellStyle name="Normal 5 3 2 3 2 2 2" xfId="9233" xr:uid="{76CBA6BC-B865-4F89-9432-AE9BFA751045}"/>
    <cellStyle name="Normal 5 3 2 3 2 3" xfId="3912" xr:uid="{00000000-0005-0000-0000-0000040F0000}"/>
    <cellStyle name="Normal 5 3 2 3 2 3 2" xfId="9234" xr:uid="{D8E3CA16-92AD-4DA7-B796-E915CEA13F69}"/>
    <cellStyle name="Normal 5 3 2 3 2 4" xfId="9232" xr:uid="{C0F4C13C-276C-44BF-A871-16E16366D326}"/>
    <cellStyle name="Normal 5 3 2 3 3" xfId="3913" xr:uid="{00000000-0005-0000-0000-0000050F0000}"/>
    <cellStyle name="Normal 5 3 2 3 3 2" xfId="9235" xr:uid="{5108128F-3643-4DF9-BDC1-95D473B97201}"/>
    <cellStyle name="Normal 5 3 2 3 4" xfId="3914" xr:uid="{00000000-0005-0000-0000-0000060F0000}"/>
    <cellStyle name="Normal 5 3 2 3 4 2" xfId="9236" xr:uid="{005D6AB7-7773-45E9-A532-158513C44240}"/>
    <cellStyle name="Normal 5 3 2 3 5" xfId="9231" xr:uid="{3D1E4FAB-4547-4501-B0AC-96DC976A645E}"/>
    <cellStyle name="Normal 5 3 2 4" xfId="3915" xr:uid="{00000000-0005-0000-0000-0000070F0000}"/>
    <cellStyle name="Normal 5 3 2 4 2" xfId="3916" xr:uid="{00000000-0005-0000-0000-0000080F0000}"/>
    <cellStyle name="Normal 5 3 2 4 2 2" xfId="3917" xr:uid="{00000000-0005-0000-0000-0000090F0000}"/>
    <cellStyle name="Normal 5 3 2 4 2 2 2" xfId="9239" xr:uid="{D0383C4C-2D46-483C-AAA4-47A841423FDC}"/>
    <cellStyle name="Normal 5 3 2 4 2 3" xfId="9238" xr:uid="{53C84009-4735-4A52-BC9E-B8894427DB18}"/>
    <cellStyle name="Normal 5 3 2 4 3" xfId="3918" xr:uid="{00000000-0005-0000-0000-00000A0F0000}"/>
    <cellStyle name="Normal 5 3 2 4 3 2" xfId="9240" xr:uid="{B147C5D6-25C2-40CD-81CF-5A7D532C3432}"/>
    <cellStyle name="Normal 5 3 2 4 4" xfId="3919" xr:uid="{00000000-0005-0000-0000-00000B0F0000}"/>
    <cellStyle name="Normal 5 3 2 4 4 2" xfId="9241" xr:uid="{BE0172DA-36E1-4C95-9F84-9EAEFEFDE97D}"/>
    <cellStyle name="Normal 5 3 2 4 5" xfId="9237" xr:uid="{A959A933-10B3-46CC-AD72-1C05CB564DA2}"/>
    <cellStyle name="Normal 5 3 2 5" xfId="3920" xr:uid="{00000000-0005-0000-0000-00000C0F0000}"/>
    <cellStyle name="Normal 5 3 2 5 2" xfId="3921" xr:uid="{00000000-0005-0000-0000-00000D0F0000}"/>
    <cellStyle name="Normal 5 3 2 5 2 2" xfId="9243" xr:uid="{307FE7FE-16DD-4A33-9C61-31321667683C}"/>
    <cellStyle name="Normal 5 3 2 5 3" xfId="9242" xr:uid="{522F60AD-22E9-4A14-952F-0FCEE70CD49A}"/>
    <cellStyle name="Normal 5 3 2 6" xfId="3922" xr:uid="{00000000-0005-0000-0000-00000E0F0000}"/>
    <cellStyle name="Normal 5 3 2 6 2" xfId="3923" xr:uid="{00000000-0005-0000-0000-00000F0F0000}"/>
    <cellStyle name="Normal 5 3 2 6 2 2" xfId="9245" xr:uid="{020A93FF-1194-4FE9-ACA8-C3682D2F5229}"/>
    <cellStyle name="Normal 5 3 2 6 3" xfId="9244" xr:uid="{E471F2C3-9CDF-47C7-B369-F58F6BACFBF1}"/>
    <cellStyle name="Normal 5 3 2 7" xfId="3924" xr:uid="{00000000-0005-0000-0000-0000100F0000}"/>
    <cellStyle name="Normal 5 3 2 7 2" xfId="3925" xr:uid="{00000000-0005-0000-0000-0000110F0000}"/>
    <cellStyle name="Normal 5 3 2 7 2 2" xfId="9247" xr:uid="{6D5C7B92-73FD-4B0A-B6D6-05FF761A4B18}"/>
    <cellStyle name="Normal 5 3 2 7 3" xfId="9246" xr:uid="{E9D5A131-0B04-419B-9ADE-80D9A8FFA88E}"/>
    <cellStyle name="Normal 5 3 2 8" xfId="3926" xr:uid="{00000000-0005-0000-0000-0000120F0000}"/>
    <cellStyle name="Normal 5 3 2 8 2" xfId="9248" xr:uid="{5D1D5EFB-6AB7-4ACB-91AF-8A69BD44B7A2}"/>
    <cellStyle name="Normal 5 3 2 9" xfId="3927" xr:uid="{00000000-0005-0000-0000-0000130F0000}"/>
    <cellStyle name="Normal 5 3 2 9 2" xfId="9249" xr:uid="{D9AE7C53-0DC4-46F6-987D-02981E3F0978}"/>
    <cellStyle name="Normal 5 3 3" xfId="174" xr:uid="{00000000-0005-0000-0000-0000140F0000}"/>
    <cellStyle name="Normal 5 3 3 2" xfId="3928" xr:uid="{00000000-0005-0000-0000-0000150F0000}"/>
    <cellStyle name="Normal 5 3 3 2 2" xfId="3929" xr:uid="{00000000-0005-0000-0000-0000160F0000}"/>
    <cellStyle name="Normal 5 3 3 2 2 2" xfId="3930" xr:uid="{00000000-0005-0000-0000-0000170F0000}"/>
    <cellStyle name="Normal 5 3 3 2 2 2 2" xfId="9252" xr:uid="{22602FB0-7002-4E18-8633-F66A63A616A3}"/>
    <cellStyle name="Normal 5 3 3 2 2 3" xfId="3931" xr:uid="{00000000-0005-0000-0000-0000180F0000}"/>
    <cellStyle name="Normal 5 3 3 2 2 3 2" xfId="9253" xr:uid="{CCB32708-8CC6-4621-A74F-02FE14AC9749}"/>
    <cellStyle name="Normal 5 3 3 2 2 4" xfId="9251" xr:uid="{9509F498-F965-4F51-8860-9ECF5DF209F0}"/>
    <cellStyle name="Normal 5 3 3 2 3" xfId="3932" xr:uid="{00000000-0005-0000-0000-0000190F0000}"/>
    <cellStyle name="Normal 5 3 3 2 3 2" xfId="9254" xr:uid="{818C8120-04EC-446B-B7D0-638B5563DE54}"/>
    <cellStyle name="Normal 5 3 3 2 4" xfId="3933" xr:uid="{00000000-0005-0000-0000-00001A0F0000}"/>
    <cellStyle name="Normal 5 3 3 2 4 2" xfId="9255" xr:uid="{D08E231D-BC97-4BA1-8F28-707C9B90942D}"/>
    <cellStyle name="Normal 5 3 3 2 5" xfId="9250" xr:uid="{1B5DC6D6-A09A-44B1-A624-AAAE605F0F4C}"/>
    <cellStyle name="Normal 5 3 3 3" xfId="3934" xr:uid="{00000000-0005-0000-0000-00001B0F0000}"/>
    <cellStyle name="Normal 5 3 3 3 2" xfId="3935" xr:uid="{00000000-0005-0000-0000-00001C0F0000}"/>
    <cellStyle name="Normal 5 3 3 3 2 2" xfId="3936" xr:uid="{00000000-0005-0000-0000-00001D0F0000}"/>
    <cellStyle name="Normal 5 3 3 3 2 2 2" xfId="9258" xr:uid="{E59D3C93-3C63-40BC-B561-812EF9DD6E09}"/>
    <cellStyle name="Normal 5 3 3 3 2 3" xfId="9257" xr:uid="{E44AD334-9D80-4B09-A473-2CEE1E1AD8A1}"/>
    <cellStyle name="Normal 5 3 3 3 3" xfId="3937" xr:uid="{00000000-0005-0000-0000-00001E0F0000}"/>
    <cellStyle name="Normal 5 3 3 3 3 2" xfId="9259" xr:uid="{E835E6E0-D1F1-43BE-A2FE-EFEA23404187}"/>
    <cellStyle name="Normal 5 3 3 3 4" xfId="3938" xr:uid="{00000000-0005-0000-0000-00001F0F0000}"/>
    <cellStyle name="Normal 5 3 3 3 4 2" xfId="9260" xr:uid="{98361429-957B-40A0-B9DA-6A8BD79BB39B}"/>
    <cellStyle name="Normal 5 3 3 3 5" xfId="9256" xr:uid="{8A2679BD-0DB9-45CC-8112-EE36AF267B53}"/>
    <cellStyle name="Normal 5 3 3 4" xfId="3939" xr:uid="{00000000-0005-0000-0000-0000200F0000}"/>
    <cellStyle name="Normal 5 3 3 4 2" xfId="3940" xr:uid="{00000000-0005-0000-0000-0000210F0000}"/>
    <cellStyle name="Normal 5 3 3 4 2 2" xfId="9262" xr:uid="{9F34A2F3-6A5B-42F6-AAF6-B12F71DDCCA8}"/>
    <cellStyle name="Normal 5 3 3 4 3" xfId="9261" xr:uid="{F8606B8B-E7F6-4A1E-8DB1-F165CF7972F5}"/>
    <cellStyle name="Normal 5 3 3 5" xfId="3941" xr:uid="{00000000-0005-0000-0000-0000220F0000}"/>
    <cellStyle name="Normal 5 3 3 5 2" xfId="3942" xr:uid="{00000000-0005-0000-0000-0000230F0000}"/>
    <cellStyle name="Normal 5 3 3 5 2 2" xfId="9264" xr:uid="{842EB012-5A55-48A2-A0B9-424AE7F1F4C1}"/>
    <cellStyle name="Normal 5 3 3 5 3" xfId="9263" xr:uid="{4FD59EE5-F2B3-49AC-86F2-8CD37EE95A9F}"/>
    <cellStyle name="Normal 5 3 3 6" xfId="3943" xr:uid="{00000000-0005-0000-0000-0000240F0000}"/>
    <cellStyle name="Normal 5 3 3 6 2" xfId="3944" xr:uid="{00000000-0005-0000-0000-0000250F0000}"/>
    <cellStyle name="Normal 5 3 3 6 2 2" xfId="9266" xr:uid="{20D36388-FE66-4450-8A05-26E943D02C33}"/>
    <cellStyle name="Normal 5 3 3 6 3" xfId="9265" xr:uid="{46750AD8-EAA3-45D2-8000-9ED980694399}"/>
    <cellStyle name="Normal 5 3 3 7" xfId="3945" xr:uid="{00000000-0005-0000-0000-0000260F0000}"/>
    <cellStyle name="Normal 5 3 3 7 2" xfId="9267" xr:uid="{A791F4A6-CE99-494B-B901-8C14BF286DF4}"/>
    <cellStyle name="Normal 5 3 3 8" xfId="3946" xr:uid="{00000000-0005-0000-0000-0000270F0000}"/>
    <cellStyle name="Normal 5 3 3 8 2" xfId="9268" xr:uid="{AEC501F7-9F29-4925-9336-4D3FCD323B93}"/>
    <cellStyle name="Normal 5 3 3 9" xfId="5508" xr:uid="{6C76AC86-782F-4524-BFEF-685C9F3261EA}"/>
    <cellStyle name="Normal 5 3 4" xfId="3947" xr:uid="{00000000-0005-0000-0000-0000280F0000}"/>
    <cellStyle name="Normal 5 3 4 2" xfId="3948" xr:uid="{00000000-0005-0000-0000-0000290F0000}"/>
    <cellStyle name="Normal 5 3 4 2 2" xfId="3949" xr:uid="{00000000-0005-0000-0000-00002A0F0000}"/>
    <cellStyle name="Normal 5 3 4 2 2 2" xfId="9271" xr:uid="{C5A68466-24A8-4F8E-AC7F-90EE19074B64}"/>
    <cellStyle name="Normal 5 3 4 2 3" xfId="3950" xr:uid="{00000000-0005-0000-0000-00002B0F0000}"/>
    <cellStyle name="Normal 5 3 4 2 3 2" xfId="9272" xr:uid="{E3726336-1438-4A39-9C0F-CC4A2C0FE573}"/>
    <cellStyle name="Normal 5 3 4 2 4" xfId="9270" xr:uid="{9BC8BD6C-20A0-4394-A898-5379F8FF5718}"/>
    <cellStyle name="Normal 5 3 4 3" xfId="3951" xr:uid="{00000000-0005-0000-0000-00002C0F0000}"/>
    <cellStyle name="Normal 5 3 4 3 2" xfId="3952" xr:uid="{00000000-0005-0000-0000-00002D0F0000}"/>
    <cellStyle name="Normal 5 3 4 3 2 2" xfId="9274" xr:uid="{4B067530-EBBC-49D8-A373-FC78867525B4}"/>
    <cellStyle name="Normal 5 3 4 3 3" xfId="9273" xr:uid="{858F83E9-2250-4CF0-BC6D-5D4922C58439}"/>
    <cellStyle name="Normal 5 3 4 4" xfId="3953" xr:uid="{00000000-0005-0000-0000-00002E0F0000}"/>
    <cellStyle name="Normal 5 3 4 4 2" xfId="9275" xr:uid="{F57F894C-526D-48E0-AE0F-905C436B5821}"/>
    <cellStyle name="Normal 5 3 4 5" xfId="9269" xr:uid="{569482AB-169A-4AAD-9DBF-6CDF768DD82C}"/>
    <cellStyle name="Normal 5 3 5" xfId="3954" xr:uid="{00000000-0005-0000-0000-00002F0F0000}"/>
    <cellStyle name="Normal 5 3 5 2" xfId="3955" xr:uid="{00000000-0005-0000-0000-0000300F0000}"/>
    <cellStyle name="Normal 5 3 5 2 2" xfId="3956" xr:uid="{00000000-0005-0000-0000-0000310F0000}"/>
    <cellStyle name="Normal 5 3 5 2 2 2" xfId="9278" xr:uid="{399C6FE0-B31B-472B-A9AF-086F1E2EFB77}"/>
    <cellStyle name="Normal 5 3 5 2 3" xfId="9277" xr:uid="{52597FCE-8855-4346-930B-2C82D13462B9}"/>
    <cellStyle name="Normal 5 3 5 3" xfId="3957" xr:uid="{00000000-0005-0000-0000-0000320F0000}"/>
    <cellStyle name="Normal 5 3 5 3 2" xfId="9279" xr:uid="{B9A862BA-BBB1-4FBC-83EF-505CEAA69775}"/>
    <cellStyle name="Normal 5 3 5 4" xfId="3958" xr:uid="{00000000-0005-0000-0000-0000330F0000}"/>
    <cellStyle name="Normal 5 3 5 4 2" xfId="9280" xr:uid="{17BCDAE5-3365-4B0B-B0BB-24245AC8F24B}"/>
    <cellStyle name="Normal 5 3 5 5" xfId="9276" xr:uid="{D2B84B48-4056-4D4A-8556-225188EF8052}"/>
    <cellStyle name="Normal 5 3 6" xfId="3959" xr:uid="{00000000-0005-0000-0000-0000340F0000}"/>
    <cellStyle name="Normal 5 3 6 2" xfId="3960" xr:uid="{00000000-0005-0000-0000-0000350F0000}"/>
    <cellStyle name="Normal 5 3 6 2 2" xfId="9282" xr:uid="{AA7BA0AF-D4DD-489F-9569-4BE3D9A12241}"/>
    <cellStyle name="Normal 5 3 6 3" xfId="3961" xr:uid="{00000000-0005-0000-0000-0000360F0000}"/>
    <cellStyle name="Normal 5 3 6 3 2" xfId="9283" xr:uid="{40220FC4-F8E8-44E1-ADB5-D1839C88563C}"/>
    <cellStyle name="Normal 5 3 6 4" xfId="9281" xr:uid="{22851330-1359-4017-BBDB-00ECD6D5A773}"/>
    <cellStyle name="Normal 5 3 7" xfId="3962" xr:uid="{00000000-0005-0000-0000-0000370F0000}"/>
    <cellStyle name="Normal 5 3 7 2" xfId="3963" xr:uid="{00000000-0005-0000-0000-0000380F0000}"/>
    <cellStyle name="Normal 5 3 7 2 2" xfId="9285" xr:uid="{AF8B5E06-EC4F-46CE-ADAD-66EAFBE10F29}"/>
    <cellStyle name="Normal 5 3 7 3" xfId="9284" xr:uid="{7F911A0E-1C4E-4AEF-B2D1-09D90A283233}"/>
    <cellStyle name="Normal 5 3 8" xfId="3964" xr:uid="{00000000-0005-0000-0000-0000390F0000}"/>
    <cellStyle name="Normal 5 3 8 2" xfId="3965" xr:uid="{00000000-0005-0000-0000-00003A0F0000}"/>
    <cellStyle name="Normal 5 3 8 2 2" xfId="9287" xr:uid="{E2DB19E7-7DF6-41F9-BD92-A4C6C35E3D50}"/>
    <cellStyle name="Normal 5 3 8 3" xfId="9286" xr:uid="{0BFF7712-1B80-48E7-871D-6D4A611809C6}"/>
    <cellStyle name="Normal 5 3 9" xfId="3966" xr:uid="{00000000-0005-0000-0000-00003B0F0000}"/>
    <cellStyle name="Normal 5 3 9 2" xfId="9288" xr:uid="{4E8FA999-BCC2-47B2-8A43-20780EC9F0C3}"/>
    <cellStyle name="Normal 5 4" xfId="175" xr:uid="{00000000-0005-0000-0000-00003C0F0000}"/>
    <cellStyle name="Normal 5 4 10" xfId="5509" xr:uid="{EDCE9A8C-16EE-4F20-8701-140A584E0360}"/>
    <cellStyle name="Normal 5 4 2" xfId="176" xr:uid="{00000000-0005-0000-0000-00003D0F0000}"/>
    <cellStyle name="Normal 5 4 2 2" xfId="3967" xr:uid="{00000000-0005-0000-0000-00003E0F0000}"/>
    <cellStyle name="Normal 5 4 2 2 2" xfId="3968" xr:uid="{00000000-0005-0000-0000-00003F0F0000}"/>
    <cellStyle name="Normal 5 4 2 2 2 2" xfId="3969" xr:uid="{00000000-0005-0000-0000-0000400F0000}"/>
    <cellStyle name="Normal 5 4 2 2 2 2 2" xfId="9291" xr:uid="{DAB2022E-3162-41B5-8D83-76C5D6347A46}"/>
    <cellStyle name="Normal 5 4 2 2 2 3" xfId="3970" xr:uid="{00000000-0005-0000-0000-0000410F0000}"/>
    <cellStyle name="Normal 5 4 2 2 2 3 2" xfId="9292" xr:uid="{42DCFBBD-81CB-4661-8C40-B9BBD4A78B72}"/>
    <cellStyle name="Normal 5 4 2 2 2 4" xfId="9290" xr:uid="{B75A3B23-F28A-4886-9442-33C935422115}"/>
    <cellStyle name="Normal 5 4 2 2 3" xfId="3971" xr:uid="{00000000-0005-0000-0000-0000420F0000}"/>
    <cellStyle name="Normal 5 4 2 2 3 2" xfId="9293" xr:uid="{0181FD9D-11A8-434F-8314-37C18DDE47DB}"/>
    <cellStyle name="Normal 5 4 2 2 4" xfId="3972" xr:uid="{00000000-0005-0000-0000-0000430F0000}"/>
    <cellStyle name="Normal 5 4 2 2 4 2" xfId="9294" xr:uid="{CA745668-A1BB-4F5B-AFCB-0FF159E03B46}"/>
    <cellStyle name="Normal 5 4 2 2 5" xfId="9289" xr:uid="{6108D034-4E71-4281-94CC-56011B0EFAF1}"/>
    <cellStyle name="Normal 5 4 2 3" xfId="3973" xr:uid="{00000000-0005-0000-0000-0000440F0000}"/>
    <cellStyle name="Normal 5 4 2 3 2" xfId="3974" xr:uid="{00000000-0005-0000-0000-0000450F0000}"/>
    <cellStyle name="Normal 5 4 2 3 2 2" xfId="3975" xr:uid="{00000000-0005-0000-0000-0000460F0000}"/>
    <cellStyle name="Normal 5 4 2 3 2 2 2" xfId="9297" xr:uid="{BF0BF131-6B23-4720-87B1-6DACA0D921B3}"/>
    <cellStyle name="Normal 5 4 2 3 2 3" xfId="9296" xr:uid="{3002AEC6-BE7E-4CE8-A8B0-6045B57052C8}"/>
    <cellStyle name="Normal 5 4 2 3 3" xfId="3976" xr:uid="{00000000-0005-0000-0000-0000470F0000}"/>
    <cellStyle name="Normal 5 4 2 3 3 2" xfId="9298" xr:uid="{611BC703-AB4F-4C03-A62F-885209C7D412}"/>
    <cellStyle name="Normal 5 4 2 3 4" xfId="3977" xr:uid="{00000000-0005-0000-0000-0000480F0000}"/>
    <cellStyle name="Normal 5 4 2 3 4 2" xfId="9299" xr:uid="{44DF3830-FF6A-4B31-9736-30209D337373}"/>
    <cellStyle name="Normal 5 4 2 3 5" xfId="9295" xr:uid="{932EE768-535D-4AF1-BFFF-B1D9EE2240DA}"/>
    <cellStyle name="Normal 5 4 2 4" xfId="3978" xr:uid="{00000000-0005-0000-0000-0000490F0000}"/>
    <cellStyle name="Normal 5 4 2 4 2" xfId="3979" xr:uid="{00000000-0005-0000-0000-00004A0F0000}"/>
    <cellStyle name="Normal 5 4 2 4 2 2" xfId="9301" xr:uid="{B3DE83EB-2F38-4CEF-ACBA-7DF91907D11A}"/>
    <cellStyle name="Normal 5 4 2 4 3" xfId="9300" xr:uid="{AEB08525-C8C9-4236-82EB-6CB88A55CB05}"/>
    <cellStyle name="Normal 5 4 2 5" xfId="3980" xr:uid="{00000000-0005-0000-0000-00004B0F0000}"/>
    <cellStyle name="Normal 5 4 2 5 2" xfId="3981" xr:uid="{00000000-0005-0000-0000-00004C0F0000}"/>
    <cellStyle name="Normal 5 4 2 5 2 2" xfId="9303" xr:uid="{4815AEFA-A16B-4C4F-8C1E-808B9C52F63D}"/>
    <cellStyle name="Normal 5 4 2 5 3" xfId="9302" xr:uid="{AFFB1F93-0701-4C1B-BC2E-00D5411235C6}"/>
    <cellStyle name="Normal 5 4 2 6" xfId="3982" xr:uid="{00000000-0005-0000-0000-00004D0F0000}"/>
    <cellStyle name="Normal 5 4 2 6 2" xfId="3983" xr:uid="{00000000-0005-0000-0000-00004E0F0000}"/>
    <cellStyle name="Normal 5 4 2 6 2 2" xfId="9305" xr:uid="{314F99F0-B4ED-4574-BD72-EA56B878BA6A}"/>
    <cellStyle name="Normal 5 4 2 6 3" xfId="9304" xr:uid="{637E9FB9-C4D5-48EA-B769-ACF8FB4B919A}"/>
    <cellStyle name="Normal 5 4 2 7" xfId="3984" xr:uid="{00000000-0005-0000-0000-00004F0F0000}"/>
    <cellStyle name="Normal 5 4 2 7 2" xfId="9306" xr:uid="{F7B43A55-3F82-40C4-BDF9-215D85793D97}"/>
    <cellStyle name="Normal 5 4 2 8" xfId="3985" xr:uid="{00000000-0005-0000-0000-0000500F0000}"/>
    <cellStyle name="Normal 5 4 2 8 2" xfId="9307" xr:uid="{15BDCEA9-A0DC-4361-8986-AB8BDDEB545B}"/>
    <cellStyle name="Normal 5 4 2 9" xfId="5510" xr:uid="{9B71DBFB-5954-41E4-8C7D-3F3EA4E10F0E}"/>
    <cellStyle name="Normal 5 4 3" xfId="3986" xr:uid="{00000000-0005-0000-0000-0000510F0000}"/>
    <cellStyle name="Normal 5 4 3 2" xfId="3987" xr:uid="{00000000-0005-0000-0000-0000520F0000}"/>
    <cellStyle name="Normal 5 4 3 2 2" xfId="3988" xr:uid="{00000000-0005-0000-0000-0000530F0000}"/>
    <cellStyle name="Normal 5 4 3 2 2 2" xfId="9310" xr:uid="{12E5FC89-D851-478E-A977-9A88A755F75E}"/>
    <cellStyle name="Normal 5 4 3 2 3" xfId="3989" xr:uid="{00000000-0005-0000-0000-0000540F0000}"/>
    <cellStyle name="Normal 5 4 3 2 3 2" xfId="9311" xr:uid="{4A0BA386-0EA0-498A-91D2-950F3846AF1F}"/>
    <cellStyle name="Normal 5 4 3 2 4" xfId="9309" xr:uid="{69188F9A-2DB8-4933-89B1-7273327E05A9}"/>
    <cellStyle name="Normal 5 4 3 3" xfId="3990" xr:uid="{00000000-0005-0000-0000-0000550F0000}"/>
    <cellStyle name="Normal 5 4 3 3 2" xfId="9312" xr:uid="{6556860F-8B9B-4ABC-88E8-9C5CC89B8A26}"/>
    <cellStyle name="Normal 5 4 3 4" xfId="3991" xr:uid="{00000000-0005-0000-0000-0000560F0000}"/>
    <cellStyle name="Normal 5 4 3 4 2" xfId="9313" xr:uid="{BC164316-F638-4C48-841C-4B570106BBBB}"/>
    <cellStyle name="Normal 5 4 3 5" xfId="9308" xr:uid="{D8EB5FB3-0C0E-4004-85F8-C0DAD726CACE}"/>
    <cellStyle name="Normal 5 4 4" xfId="3992" xr:uid="{00000000-0005-0000-0000-0000570F0000}"/>
    <cellStyle name="Normal 5 4 4 2" xfId="3993" xr:uid="{00000000-0005-0000-0000-0000580F0000}"/>
    <cellStyle name="Normal 5 4 4 2 2" xfId="3994" xr:uid="{00000000-0005-0000-0000-0000590F0000}"/>
    <cellStyle name="Normal 5 4 4 2 2 2" xfId="9316" xr:uid="{718968E0-7341-425C-8DEA-195FD2D465C7}"/>
    <cellStyle name="Normal 5 4 4 2 3" xfId="9315" xr:uid="{5DEE7E00-1DC9-469F-AC72-D0FEFB4F01F3}"/>
    <cellStyle name="Normal 5 4 4 3" xfId="3995" xr:uid="{00000000-0005-0000-0000-00005A0F0000}"/>
    <cellStyle name="Normal 5 4 4 3 2" xfId="9317" xr:uid="{74447825-FCA0-49E6-8C7D-D130A21443A2}"/>
    <cellStyle name="Normal 5 4 4 4" xfId="3996" xr:uid="{00000000-0005-0000-0000-00005B0F0000}"/>
    <cellStyle name="Normal 5 4 4 4 2" xfId="9318" xr:uid="{95C28153-064C-4B53-8450-A2D925673E6C}"/>
    <cellStyle name="Normal 5 4 4 5" xfId="9314" xr:uid="{01238816-FC94-4060-9D04-FCDB1550A0F8}"/>
    <cellStyle name="Normal 5 4 5" xfId="3997" xr:uid="{00000000-0005-0000-0000-00005C0F0000}"/>
    <cellStyle name="Normal 5 4 5 2" xfId="3998" xr:uid="{00000000-0005-0000-0000-00005D0F0000}"/>
    <cellStyle name="Normal 5 4 5 2 2" xfId="9320" xr:uid="{70ED65C8-3093-4B07-94D5-D54579DBA452}"/>
    <cellStyle name="Normal 5 4 5 3" xfId="9319" xr:uid="{2F32D859-9346-4589-AF52-C0657EA7CAB7}"/>
    <cellStyle name="Normal 5 4 6" xfId="3999" xr:uid="{00000000-0005-0000-0000-00005E0F0000}"/>
    <cellStyle name="Normal 5 4 6 2" xfId="4000" xr:uid="{00000000-0005-0000-0000-00005F0F0000}"/>
    <cellStyle name="Normal 5 4 6 2 2" xfId="9322" xr:uid="{AD93C2B0-BFA0-4BF0-A0D3-CBFD581A79DF}"/>
    <cellStyle name="Normal 5 4 6 3" xfId="9321" xr:uid="{C340D40A-59EC-4E74-B6FE-A6BBF0406031}"/>
    <cellStyle name="Normal 5 4 7" xfId="4001" xr:uid="{00000000-0005-0000-0000-0000600F0000}"/>
    <cellStyle name="Normal 5 4 7 2" xfId="4002" xr:uid="{00000000-0005-0000-0000-0000610F0000}"/>
    <cellStyle name="Normal 5 4 7 2 2" xfId="9324" xr:uid="{427065F1-FD41-4264-BFA5-01CACA6CFC40}"/>
    <cellStyle name="Normal 5 4 7 3" xfId="9323" xr:uid="{CBC82D68-71B0-4FAA-8AB1-BCBBCEB88107}"/>
    <cellStyle name="Normal 5 4 8" xfId="4003" xr:uid="{00000000-0005-0000-0000-0000620F0000}"/>
    <cellStyle name="Normal 5 4 8 2" xfId="9325" xr:uid="{FC4C3721-4DED-43C5-9EB8-E809FC77EE78}"/>
    <cellStyle name="Normal 5 4 9" xfId="4004" xr:uid="{00000000-0005-0000-0000-0000630F0000}"/>
    <cellStyle name="Normal 5 4 9 2" xfId="9326" xr:uid="{680F683B-2956-45F2-849E-31C0A1CB2C9E}"/>
    <cellStyle name="Normal 5 5" xfId="177" xr:uid="{00000000-0005-0000-0000-0000640F0000}"/>
    <cellStyle name="Normal 5 5 10" xfId="5511" xr:uid="{F0F05836-D2A3-4B49-8221-B7539D7BE9A6}"/>
    <cellStyle name="Normal 5 5 2" xfId="4005" xr:uid="{00000000-0005-0000-0000-0000650F0000}"/>
    <cellStyle name="Normal 5 5 2 2" xfId="4006" xr:uid="{00000000-0005-0000-0000-0000660F0000}"/>
    <cellStyle name="Normal 5 5 2 2 2" xfId="4007" xr:uid="{00000000-0005-0000-0000-0000670F0000}"/>
    <cellStyle name="Normal 5 5 2 2 2 2" xfId="4008" xr:uid="{00000000-0005-0000-0000-0000680F0000}"/>
    <cellStyle name="Normal 5 5 2 2 2 2 2" xfId="9330" xr:uid="{8C1298D6-01C8-43A9-ADE0-4B7AA9895810}"/>
    <cellStyle name="Normal 5 5 2 2 2 3" xfId="4009" xr:uid="{00000000-0005-0000-0000-0000690F0000}"/>
    <cellStyle name="Normal 5 5 2 2 2 3 2" xfId="9331" xr:uid="{66DEAE8D-CC54-4268-8D33-296AA4F94CE2}"/>
    <cellStyle name="Normal 5 5 2 2 2 4" xfId="9329" xr:uid="{36FC210F-0B71-448D-B374-3B9B74930CB4}"/>
    <cellStyle name="Normal 5 5 2 2 3" xfId="4010" xr:uid="{00000000-0005-0000-0000-00006A0F0000}"/>
    <cellStyle name="Normal 5 5 2 2 3 2" xfId="9332" xr:uid="{4D040A59-CCB2-476C-A8AF-CAE455406346}"/>
    <cellStyle name="Normal 5 5 2 2 4" xfId="4011" xr:uid="{00000000-0005-0000-0000-00006B0F0000}"/>
    <cellStyle name="Normal 5 5 2 2 4 2" xfId="9333" xr:uid="{4DC9D1FB-5915-4F93-A462-CE6839B92399}"/>
    <cellStyle name="Normal 5 5 2 2 5" xfId="9328" xr:uid="{0673D11E-29EE-457F-A31E-C2136D0B00DF}"/>
    <cellStyle name="Normal 5 5 2 3" xfId="4012" xr:uid="{00000000-0005-0000-0000-00006C0F0000}"/>
    <cellStyle name="Normal 5 5 2 3 2" xfId="4013" xr:uid="{00000000-0005-0000-0000-00006D0F0000}"/>
    <cellStyle name="Normal 5 5 2 3 2 2" xfId="4014" xr:uid="{00000000-0005-0000-0000-00006E0F0000}"/>
    <cellStyle name="Normal 5 5 2 3 2 2 2" xfId="9336" xr:uid="{242B730C-6FCC-431B-A565-E65064D7C736}"/>
    <cellStyle name="Normal 5 5 2 3 2 3" xfId="9335" xr:uid="{1CDF97BC-0228-44F1-82DA-5CD599A3C86A}"/>
    <cellStyle name="Normal 5 5 2 3 3" xfId="4015" xr:uid="{00000000-0005-0000-0000-00006F0F0000}"/>
    <cellStyle name="Normal 5 5 2 3 3 2" xfId="9337" xr:uid="{8317EFB3-C635-4032-B129-651464AE43D3}"/>
    <cellStyle name="Normal 5 5 2 3 4" xfId="4016" xr:uid="{00000000-0005-0000-0000-0000700F0000}"/>
    <cellStyle name="Normal 5 5 2 3 4 2" xfId="9338" xr:uid="{B3CFF935-5CFA-4854-B292-7018CBBFFCC0}"/>
    <cellStyle name="Normal 5 5 2 3 5" xfId="9334" xr:uid="{8DA0C118-126D-4C26-BDE1-6C012C035DCA}"/>
    <cellStyle name="Normal 5 5 2 4" xfId="4017" xr:uid="{00000000-0005-0000-0000-0000710F0000}"/>
    <cellStyle name="Normal 5 5 2 4 2" xfId="4018" xr:uid="{00000000-0005-0000-0000-0000720F0000}"/>
    <cellStyle name="Normal 5 5 2 4 2 2" xfId="9340" xr:uid="{E240D3BB-F504-48BA-A965-D7A0C0C9C18F}"/>
    <cellStyle name="Normal 5 5 2 4 3" xfId="9339" xr:uid="{C5286FB5-1CD0-4675-AE98-0AE6F3B277C5}"/>
    <cellStyle name="Normal 5 5 2 5" xfId="4019" xr:uid="{00000000-0005-0000-0000-0000730F0000}"/>
    <cellStyle name="Normal 5 5 2 5 2" xfId="9341" xr:uid="{64E39DDE-F5D9-469A-B559-39C04B66CC89}"/>
    <cellStyle name="Normal 5 5 2 6" xfId="4020" xr:uid="{00000000-0005-0000-0000-0000740F0000}"/>
    <cellStyle name="Normal 5 5 2 6 2" xfId="9342" xr:uid="{F5ABBF85-4E15-47DB-AB06-9CFB534ACEC2}"/>
    <cellStyle name="Normal 5 5 2 7" xfId="9327" xr:uid="{B92FBECF-08AE-423A-9017-A0E22D0757CC}"/>
    <cellStyle name="Normal 5 5 3" xfId="4021" xr:uid="{00000000-0005-0000-0000-0000750F0000}"/>
    <cellStyle name="Normal 5 5 3 2" xfId="4022" xr:uid="{00000000-0005-0000-0000-0000760F0000}"/>
    <cellStyle name="Normal 5 5 3 2 2" xfId="4023" xr:uid="{00000000-0005-0000-0000-0000770F0000}"/>
    <cellStyle name="Normal 5 5 3 2 2 2" xfId="9345" xr:uid="{EA8C9386-B45F-457B-882E-5C0EC2B3C743}"/>
    <cellStyle name="Normal 5 5 3 2 3" xfId="4024" xr:uid="{00000000-0005-0000-0000-0000780F0000}"/>
    <cellStyle name="Normal 5 5 3 2 3 2" xfId="9346" xr:uid="{457B9149-D0FC-40AE-BAA7-8D46C359DA0D}"/>
    <cellStyle name="Normal 5 5 3 2 4" xfId="9344" xr:uid="{ECC91A39-9F58-4444-92DC-289106096E3A}"/>
    <cellStyle name="Normal 5 5 3 3" xfId="4025" xr:uid="{00000000-0005-0000-0000-0000790F0000}"/>
    <cellStyle name="Normal 5 5 3 3 2" xfId="9347" xr:uid="{86B02AB5-9426-4E0D-91EE-30CE4EADAAF1}"/>
    <cellStyle name="Normal 5 5 3 4" xfId="4026" xr:uid="{00000000-0005-0000-0000-00007A0F0000}"/>
    <cellStyle name="Normal 5 5 3 4 2" xfId="9348" xr:uid="{06B02E56-77C5-40C9-B6B6-B6A9D7376438}"/>
    <cellStyle name="Normal 5 5 3 5" xfId="9343" xr:uid="{61A692B6-079D-4FFA-8C6D-996CA1861534}"/>
    <cellStyle name="Normal 5 5 4" xfId="4027" xr:uid="{00000000-0005-0000-0000-00007B0F0000}"/>
    <cellStyle name="Normal 5 5 4 2" xfId="4028" xr:uid="{00000000-0005-0000-0000-00007C0F0000}"/>
    <cellStyle name="Normal 5 5 4 2 2" xfId="4029" xr:uid="{00000000-0005-0000-0000-00007D0F0000}"/>
    <cellStyle name="Normal 5 5 4 2 2 2" xfId="9351" xr:uid="{2D06B217-9507-49C6-A9AB-2DF62E3F9D1D}"/>
    <cellStyle name="Normal 5 5 4 2 3" xfId="9350" xr:uid="{581136A4-F43F-4293-B4C0-C4CB9982BB6A}"/>
    <cellStyle name="Normal 5 5 4 3" xfId="4030" xr:uid="{00000000-0005-0000-0000-00007E0F0000}"/>
    <cellStyle name="Normal 5 5 4 3 2" xfId="9352" xr:uid="{76529BEC-5FF5-48FF-9184-7B6B6DCAB4E1}"/>
    <cellStyle name="Normal 5 5 4 4" xfId="4031" xr:uid="{00000000-0005-0000-0000-00007F0F0000}"/>
    <cellStyle name="Normal 5 5 4 4 2" xfId="9353" xr:uid="{0252B132-FFC7-4E8D-B47C-96004303A085}"/>
    <cellStyle name="Normal 5 5 4 5" xfId="9349" xr:uid="{7643DC64-620E-47DA-BF1B-F93CA729BA45}"/>
    <cellStyle name="Normal 5 5 5" xfId="4032" xr:uid="{00000000-0005-0000-0000-0000800F0000}"/>
    <cellStyle name="Normal 5 5 5 2" xfId="4033" xr:uid="{00000000-0005-0000-0000-0000810F0000}"/>
    <cellStyle name="Normal 5 5 5 2 2" xfId="9355" xr:uid="{6BB23E17-D741-4793-8672-883EBCA82E79}"/>
    <cellStyle name="Normal 5 5 5 3" xfId="9354" xr:uid="{281C1563-4E29-4B59-9FAA-0C7AB1C9CF39}"/>
    <cellStyle name="Normal 5 5 6" xfId="4034" xr:uid="{00000000-0005-0000-0000-0000820F0000}"/>
    <cellStyle name="Normal 5 5 6 2" xfId="4035" xr:uid="{00000000-0005-0000-0000-0000830F0000}"/>
    <cellStyle name="Normal 5 5 6 2 2" xfId="9357" xr:uid="{8140C61F-CFCD-4B7D-A946-CAC47FCF89F8}"/>
    <cellStyle name="Normal 5 5 6 3" xfId="9356" xr:uid="{1AD5FF0B-1107-4822-BC96-A9E8782C5704}"/>
    <cellStyle name="Normal 5 5 7" xfId="4036" xr:uid="{00000000-0005-0000-0000-0000840F0000}"/>
    <cellStyle name="Normal 5 5 7 2" xfId="4037" xr:uid="{00000000-0005-0000-0000-0000850F0000}"/>
    <cellStyle name="Normal 5 5 7 2 2" xfId="9359" xr:uid="{6312A735-FF35-4936-B685-DDE81502B208}"/>
    <cellStyle name="Normal 5 5 7 3" xfId="9358" xr:uid="{2D4C9499-BCA3-4DD5-B563-4031A9FB794F}"/>
    <cellStyle name="Normal 5 5 8" xfId="4038" xr:uid="{00000000-0005-0000-0000-0000860F0000}"/>
    <cellStyle name="Normal 5 5 8 2" xfId="9360" xr:uid="{F4232557-FA7D-4539-9470-EBA9C163522B}"/>
    <cellStyle name="Normal 5 5 9" xfId="4039" xr:uid="{00000000-0005-0000-0000-0000870F0000}"/>
    <cellStyle name="Normal 5 5 9 2" xfId="9361" xr:uid="{F4824F5D-E753-428C-9694-D22CCE07E773}"/>
    <cellStyle name="Normal 5 6" xfId="4040" xr:uid="{00000000-0005-0000-0000-0000880F0000}"/>
    <cellStyle name="Normal 5 6 2" xfId="4041" xr:uid="{00000000-0005-0000-0000-0000890F0000}"/>
    <cellStyle name="Normal 5 6 2 2" xfId="4042" xr:uid="{00000000-0005-0000-0000-00008A0F0000}"/>
    <cellStyle name="Normal 5 6 2 2 2" xfId="4043" xr:uid="{00000000-0005-0000-0000-00008B0F0000}"/>
    <cellStyle name="Normal 5 6 2 2 2 2" xfId="9365" xr:uid="{84785DEC-33CD-4331-9FA9-3CF01068AF18}"/>
    <cellStyle name="Normal 5 6 2 2 3" xfId="4044" xr:uid="{00000000-0005-0000-0000-00008C0F0000}"/>
    <cellStyle name="Normal 5 6 2 2 3 2" xfId="9366" xr:uid="{2167D209-1C12-4BD9-BADB-2DB7A5BA8E9E}"/>
    <cellStyle name="Normal 5 6 2 2 4" xfId="9364" xr:uid="{28043C2B-A8E9-49F2-8642-BE1187012F79}"/>
    <cellStyle name="Normal 5 6 2 3" xfId="4045" xr:uid="{00000000-0005-0000-0000-00008D0F0000}"/>
    <cellStyle name="Normal 5 6 2 3 2" xfId="9367" xr:uid="{3810C244-1325-4E45-8013-D3C49F0E9618}"/>
    <cellStyle name="Normal 5 6 2 4" xfId="4046" xr:uid="{00000000-0005-0000-0000-00008E0F0000}"/>
    <cellStyle name="Normal 5 6 2 4 2" xfId="9368" xr:uid="{E798E59D-DCA7-48D6-95F2-682484C68E9A}"/>
    <cellStyle name="Normal 5 6 2 5" xfId="9363" xr:uid="{2773CA12-BD94-4646-865C-7E11C81565DD}"/>
    <cellStyle name="Normal 5 6 3" xfId="4047" xr:uid="{00000000-0005-0000-0000-00008F0F0000}"/>
    <cellStyle name="Normal 5 6 3 2" xfId="4048" xr:uid="{00000000-0005-0000-0000-0000900F0000}"/>
    <cellStyle name="Normal 5 6 3 2 2" xfId="4049" xr:uid="{00000000-0005-0000-0000-0000910F0000}"/>
    <cellStyle name="Normal 5 6 3 2 2 2" xfId="9371" xr:uid="{94D1ADFA-2D1D-419E-ACCD-D3ECED3791D8}"/>
    <cellStyle name="Normal 5 6 3 2 3" xfId="9370" xr:uid="{359807ED-1204-4AF8-9343-47DA6605FAC8}"/>
    <cellStyle name="Normal 5 6 3 3" xfId="4050" xr:uid="{00000000-0005-0000-0000-0000920F0000}"/>
    <cellStyle name="Normal 5 6 3 3 2" xfId="9372" xr:uid="{8E1B71BD-5782-4AA1-8E53-00743DA84827}"/>
    <cellStyle name="Normal 5 6 3 4" xfId="4051" xr:uid="{00000000-0005-0000-0000-0000930F0000}"/>
    <cellStyle name="Normal 5 6 3 4 2" xfId="9373" xr:uid="{2C1F2CBA-2C99-482F-8DEC-13129341F3E2}"/>
    <cellStyle name="Normal 5 6 3 5" xfId="9369" xr:uid="{BDAF5E8D-C22A-429C-AA6A-08E78700B8FE}"/>
    <cellStyle name="Normal 5 6 4" xfId="4052" xr:uid="{00000000-0005-0000-0000-0000940F0000}"/>
    <cellStyle name="Normal 5 6 4 2" xfId="4053" xr:uid="{00000000-0005-0000-0000-0000950F0000}"/>
    <cellStyle name="Normal 5 6 4 2 2" xfId="9375" xr:uid="{4839CAAF-CF2B-4049-99FF-EC54F444DCFA}"/>
    <cellStyle name="Normal 5 6 4 3" xfId="9374" xr:uid="{FF1C61E0-444D-4E04-A6E9-0DB0D397B688}"/>
    <cellStyle name="Normal 5 6 5" xfId="4054" xr:uid="{00000000-0005-0000-0000-0000960F0000}"/>
    <cellStyle name="Normal 5 6 5 2" xfId="9376" xr:uid="{FB2B4664-12EC-4B70-9BAA-071757E35360}"/>
    <cellStyle name="Normal 5 6 6" xfId="4055" xr:uid="{00000000-0005-0000-0000-0000970F0000}"/>
    <cellStyle name="Normal 5 6 6 2" xfId="9377" xr:uid="{04DA7603-A34D-48AF-88FA-1D697A6545E0}"/>
    <cellStyle name="Normal 5 6 7" xfId="9362" xr:uid="{630EFB73-453E-4487-9CEE-80F7D1D19A4F}"/>
    <cellStyle name="Normal 5 7" xfId="4056" xr:uid="{00000000-0005-0000-0000-0000980F0000}"/>
    <cellStyle name="Normal 5 7 2" xfId="4057" xr:uid="{00000000-0005-0000-0000-0000990F0000}"/>
    <cellStyle name="Normal 5 7 2 2" xfId="4058" xr:uid="{00000000-0005-0000-0000-00009A0F0000}"/>
    <cellStyle name="Normal 5 7 2 2 2" xfId="9380" xr:uid="{7C3B7100-13F0-4493-B024-11398A474F32}"/>
    <cellStyle name="Normal 5 7 2 3" xfId="4059" xr:uid="{00000000-0005-0000-0000-00009B0F0000}"/>
    <cellStyle name="Normal 5 7 2 3 2" xfId="9381" xr:uid="{BDC9BCA8-EF2F-4882-A4CE-37D6219C799F}"/>
    <cellStyle name="Normal 5 7 2 4" xfId="9379" xr:uid="{E86D495D-7508-458F-842F-74EA89DA95BB}"/>
    <cellStyle name="Normal 5 7 3" xfId="4060" xr:uid="{00000000-0005-0000-0000-00009C0F0000}"/>
    <cellStyle name="Normal 5 7 3 2" xfId="4061" xr:uid="{00000000-0005-0000-0000-00009D0F0000}"/>
    <cellStyle name="Normal 5 7 3 2 2" xfId="9383" xr:uid="{44B4BF3F-2926-46DF-A91B-D86DAF62FFED}"/>
    <cellStyle name="Normal 5 7 3 3" xfId="9382" xr:uid="{B84C3B67-A421-4939-B907-381B9B137DF5}"/>
    <cellStyle name="Normal 5 7 4" xfId="4062" xr:uid="{00000000-0005-0000-0000-00009E0F0000}"/>
    <cellStyle name="Normal 5 7 4 2" xfId="9384" xr:uid="{CED7A362-74AA-4ACF-80F2-C2C81BAF5115}"/>
    <cellStyle name="Normal 5 7 5" xfId="9378" xr:uid="{C32C4174-45EB-43C0-878A-F21A7534FD8C}"/>
    <cellStyle name="Normal 5 8" xfId="4063" xr:uid="{00000000-0005-0000-0000-00009F0F0000}"/>
    <cellStyle name="Normal 5 8 2" xfId="4064" xr:uid="{00000000-0005-0000-0000-0000A00F0000}"/>
    <cellStyle name="Normal 5 8 2 2" xfId="4065" xr:uid="{00000000-0005-0000-0000-0000A10F0000}"/>
    <cellStyle name="Normal 5 8 2 2 2" xfId="9387" xr:uid="{FF667D90-1963-4E01-A3CC-FF6E65D74B06}"/>
    <cellStyle name="Normal 5 8 2 3" xfId="9386" xr:uid="{F4D8ECCF-CEB8-438F-8923-CF5AA9B66806}"/>
    <cellStyle name="Normal 5 8 3" xfId="4066" xr:uid="{00000000-0005-0000-0000-0000A20F0000}"/>
    <cellStyle name="Normal 5 8 3 2" xfId="9388" xr:uid="{10345918-271E-49BF-A6B5-26978C92802C}"/>
    <cellStyle name="Normal 5 8 4" xfId="4067" xr:uid="{00000000-0005-0000-0000-0000A30F0000}"/>
    <cellStyle name="Normal 5 8 4 2" xfId="9389" xr:uid="{054B18B3-617A-418F-A8A9-8EC871B05459}"/>
    <cellStyle name="Normal 5 8 5" xfId="9385" xr:uid="{80215A1B-4E66-4F41-933A-683148331786}"/>
    <cellStyle name="Normal 5 9" xfId="4068" xr:uid="{00000000-0005-0000-0000-0000A40F0000}"/>
    <cellStyle name="Normal 5 9 2" xfId="4069" xr:uid="{00000000-0005-0000-0000-0000A50F0000}"/>
    <cellStyle name="Normal 5 9 2 2" xfId="9391" xr:uid="{D0665E45-DFFE-40E1-8DAC-D2941783A204}"/>
    <cellStyle name="Normal 5 9 3" xfId="4070" xr:uid="{00000000-0005-0000-0000-0000A60F0000}"/>
    <cellStyle name="Normal 5 9 3 2" xfId="9392" xr:uid="{6C9DDC8B-B106-40E7-BE3C-9D9203663CA7}"/>
    <cellStyle name="Normal 5 9 4" xfId="9390" xr:uid="{DA1473E8-38DC-43F2-BA27-0FC8B1E63863}"/>
    <cellStyle name="Normal 6" xfId="21" xr:uid="{00000000-0005-0000-0000-0000A70F0000}"/>
    <cellStyle name="Normal 6 2" xfId="178" xr:uid="{00000000-0005-0000-0000-0000A80F0000}"/>
    <cellStyle name="Normal 6 2 10" xfId="4071" xr:uid="{00000000-0005-0000-0000-0000A90F0000}"/>
    <cellStyle name="Normal 6 2 10 2" xfId="9393" xr:uid="{722F5AB9-F6B3-41FB-83CA-396DBF40A450}"/>
    <cellStyle name="Normal 6 2 11" xfId="4072" xr:uid="{00000000-0005-0000-0000-0000AA0F0000}"/>
    <cellStyle name="Normal 6 2 11 2" xfId="9394" xr:uid="{0438BEA6-6ADE-47AA-8002-C0973068B757}"/>
    <cellStyle name="Normal 6 2 12" xfId="5512" xr:uid="{45F03C57-FA56-4C11-8533-718369AB423B}"/>
    <cellStyle name="Normal 6 2 2" xfId="179" xr:uid="{00000000-0005-0000-0000-0000AB0F0000}"/>
    <cellStyle name="Normal 6 2 2 10" xfId="5513" xr:uid="{D737B9D4-F2B1-4E15-B8DE-D34C5290383A}"/>
    <cellStyle name="Normal 6 2 2 2" xfId="180" xr:uid="{00000000-0005-0000-0000-0000AC0F0000}"/>
    <cellStyle name="Normal 6 2 2 2 2" xfId="4073" xr:uid="{00000000-0005-0000-0000-0000AD0F0000}"/>
    <cellStyle name="Normal 6 2 2 2 2 2" xfId="4074" xr:uid="{00000000-0005-0000-0000-0000AE0F0000}"/>
    <cellStyle name="Normal 6 2 2 2 2 2 2" xfId="4075" xr:uid="{00000000-0005-0000-0000-0000AF0F0000}"/>
    <cellStyle name="Normal 6 2 2 2 2 2 2 2" xfId="9397" xr:uid="{B016590B-7D0C-4E02-BC5B-BEA39CC3198C}"/>
    <cellStyle name="Normal 6 2 2 2 2 2 3" xfId="4076" xr:uid="{00000000-0005-0000-0000-0000B00F0000}"/>
    <cellStyle name="Normal 6 2 2 2 2 2 3 2" xfId="9398" xr:uid="{9B822AC8-BBA6-4ED1-A944-7B9CD20DF4FA}"/>
    <cellStyle name="Normal 6 2 2 2 2 2 4" xfId="9396" xr:uid="{1D79DD97-A5B2-4286-97AD-42170E6A0449}"/>
    <cellStyle name="Normal 6 2 2 2 2 3" xfId="4077" xr:uid="{00000000-0005-0000-0000-0000B10F0000}"/>
    <cellStyle name="Normal 6 2 2 2 2 3 2" xfId="9399" xr:uid="{FD356B09-A27C-4D8E-98DA-99A487E697EA}"/>
    <cellStyle name="Normal 6 2 2 2 2 4" xfId="4078" xr:uid="{00000000-0005-0000-0000-0000B20F0000}"/>
    <cellStyle name="Normal 6 2 2 2 2 4 2" xfId="9400" xr:uid="{632EDF46-008F-4E56-B2F6-98C4F634F4F4}"/>
    <cellStyle name="Normal 6 2 2 2 2 5" xfId="9395" xr:uid="{204AA02D-4CE8-4708-97C7-EF7EC14178E7}"/>
    <cellStyle name="Normal 6 2 2 2 3" xfId="4079" xr:uid="{00000000-0005-0000-0000-0000B30F0000}"/>
    <cellStyle name="Normal 6 2 2 2 3 2" xfId="4080" xr:uid="{00000000-0005-0000-0000-0000B40F0000}"/>
    <cellStyle name="Normal 6 2 2 2 3 2 2" xfId="4081" xr:uid="{00000000-0005-0000-0000-0000B50F0000}"/>
    <cellStyle name="Normal 6 2 2 2 3 2 2 2" xfId="9403" xr:uid="{FE105901-90D8-424E-AE87-ADFB49320160}"/>
    <cellStyle name="Normal 6 2 2 2 3 2 3" xfId="9402" xr:uid="{B3007F6F-14E3-498B-9213-20851A4960E1}"/>
    <cellStyle name="Normal 6 2 2 2 3 3" xfId="4082" xr:uid="{00000000-0005-0000-0000-0000B60F0000}"/>
    <cellStyle name="Normal 6 2 2 2 3 3 2" xfId="9404" xr:uid="{EEB66B58-3AE8-44B5-9497-18BF63CA3BB8}"/>
    <cellStyle name="Normal 6 2 2 2 3 4" xfId="4083" xr:uid="{00000000-0005-0000-0000-0000B70F0000}"/>
    <cellStyle name="Normal 6 2 2 2 3 4 2" xfId="9405" xr:uid="{B961AAA7-3DC7-42EA-9F8D-24649B557D0F}"/>
    <cellStyle name="Normal 6 2 2 2 3 5" xfId="9401" xr:uid="{6712FDA9-BAB5-46D4-AC1E-1ED2591E1EB5}"/>
    <cellStyle name="Normal 6 2 2 2 4" xfId="4084" xr:uid="{00000000-0005-0000-0000-0000B80F0000}"/>
    <cellStyle name="Normal 6 2 2 2 4 2" xfId="4085" xr:uid="{00000000-0005-0000-0000-0000B90F0000}"/>
    <cellStyle name="Normal 6 2 2 2 4 2 2" xfId="9407" xr:uid="{A5208291-A475-48D6-8411-A0137AEAB66B}"/>
    <cellStyle name="Normal 6 2 2 2 4 3" xfId="9406" xr:uid="{9D510132-F317-463D-B171-14B238F8A600}"/>
    <cellStyle name="Normal 6 2 2 2 5" xfId="4086" xr:uid="{00000000-0005-0000-0000-0000BA0F0000}"/>
    <cellStyle name="Normal 6 2 2 2 5 2" xfId="4087" xr:uid="{00000000-0005-0000-0000-0000BB0F0000}"/>
    <cellStyle name="Normal 6 2 2 2 5 2 2" xfId="9409" xr:uid="{D53CDDDB-099B-4746-B113-5806A9081EF9}"/>
    <cellStyle name="Normal 6 2 2 2 5 3" xfId="9408" xr:uid="{2BFE0957-04AB-4159-B8D1-C125310B5F89}"/>
    <cellStyle name="Normal 6 2 2 2 6" xfId="4088" xr:uid="{00000000-0005-0000-0000-0000BC0F0000}"/>
    <cellStyle name="Normal 6 2 2 2 6 2" xfId="4089" xr:uid="{00000000-0005-0000-0000-0000BD0F0000}"/>
    <cellStyle name="Normal 6 2 2 2 6 2 2" xfId="9411" xr:uid="{13B8C312-CD07-4E9E-B86C-3F304ACF78D1}"/>
    <cellStyle name="Normal 6 2 2 2 6 3" xfId="9410" xr:uid="{DE86291A-1C0B-4708-9FAE-7D891D17F7E2}"/>
    <cellStyle name="Normal 6 2 2 2 7" xfId="4090" xr:uid="{00000000-0005-0000-0000-0000BE0F0000}"/>
    <cellStyle name="Normal 6 2 2 2 7 2" xfId="9412" xr:uid="{14DFFF87-1295-4C82-A24B-978A8ED279DC}"/>
    <cellStyle name="Normal 6 2 2 2 8" xfId="4091" xr:uid="{00000000-0005-0000-0000-0000BF0F0000}"/>
    <cellStyle name="Normal 6 2 2 2 8 2" xfId="9413" xr:uid="{02437A80-88C2-4D5A-A851-E8617E9D584D}"/>
    <cellStyle name="Normal 6 2 2 2 9" xfId="5514" xr:uid="{5F752B34-CEAA-4E3F-B115-3A0E7D86249F}"/>
    <cellStyle name="Normal 6 2 2 3" xfId="4092" xr:uid="{00000000-0005-0000-0000-0000C00F0000}"/>
    <cellStyle name="Normal 6 2 2 3 2" xfId="4093" xr:uid="{00000000-0005-0000-0000-0000C10F0000}"/>
    <cellStyle name="Normal 6 2 2 3 2 2" xfId="4094" xr:uid="{00000000-0005-0000-0000-0000C20F0000}"/>
    <cellStyle name="Normal 6 2 2 3 2 2 2" xfId="9416" xr:uid="{C9520C2B-D901-44A4-9E68-F9B9BE848C09}"/>
    <cellStyle name="Normal 6 2 2 3 2 3" xfId="4095" xr:uid="{00000000-0005-0000-0000-0000C30F0000}"/>
    <cellStyle name="Normal 6 2 2 3 2 3 2" xfId="9417" xr:uid="{80773431-4DD5-49D6-9C2F-C6F108F9EABB}"/>
    <cellStyle name="Normal 6 2 2 3 2 4" xfId="9415" xr:uid="{C02CBB5C-A32E-46CB-A599-C4BC42992189}"/>
    <cellStyle name="Normal 6 2 2 3 3" xfId="4096" xr:uid="{00000000-0005-0000-0000-0000C40F0000}"/>
    <cellStyle name="Normal 6 2 2 3 3 2" xfId="9418" xr:uid="{D44C2E30-2EE0-4F2F-B6BC-0E0799A7D203}"/>
    <cellStyle name="Normal 6 2 2 3 4" xfId="4097" xr:uid="{00000000-0005-0000-0000-0000C50F0000}"/>
    <cellStyle name="Normal 6 2 2 3 4 2" xfId="9419" xr:uid="{44C026B5-EC72-4AB2-9394-8EED92DD4FA5}"/>
    <cellStyle name="Normal 6 2 2 3 5" xfId="9414" xr:uid="{3FB6FCF1-71C1-4750-BA98-51396090771B}"/>
    <cellStyle name="Normal 6 2 2 4" xfId="4098" xr:uid="{00000000-0005-0000-0000-0000C60F0000}"/>
    <cellStyle name="Normal 6 2 2 4 2" xfId="4099" xr:uid="{00000000-0005-0000-0000-0000C70F0000}"/>
    <cellStyle name="Normal 6 2 2 4 2 2" xfId="4100" xr:uid="{00000000-0005-0000-0000-0000C80F0000}"/>
    <cellStyle name="Normal 6 2 2 4 2 2 2" xfId="9422" xr:uid="{E8134C79-81A6-4285-997C-9B151D3093C5}"/>
    <cellStyle name="Normal 6 2 2 4 2 3" xfId="9421" xr:uid="{470DB290-D9A2-4052-BDFD-FE074A767BAB}"/>
    <cellStyle name="Normal 6 2 2 4 3" xfId="4101" xr:uid="{00000000-0005-0000-0000-0000C90F0000}"/>
    <cellStyle name="Normal 6 2 2 4 3 2" xfId="9423" xr:uid="{0DF39FCF-7B62-4EDA-AD55-699E95A4A19F}"/>
    <cellStyle name="Normal 6 2 2 4 4" xfId="4102" xr:uid="{00000000-0005-0000-0000-0000CA0F0000}"/>
    <cellStyle name="Normal 6 2 2 4 4 2" xfId="9424" xr:uid="{01DD94DB-1105-4A17-B243-09CAB9B8AD2E}"/>
    <cellStyle name="Normal 6 2 2 4 5" xfId="9420" xr:uid="{99762691-4E0B-483E-AA6E-25FCCD847A3E}"/>
    <cellStyle name="Normal 6 2 2 5" xfId="4103" xr:uid="{00000000-0005-0000-0000-0000CB0F0000}"/>
    <cellStyle name="Normal 6 2 2 5 2" xfId="4104" xr:uid="{00000000-0005-0000-0000-0000CC0F0000}"/>
    <cellStyle name="Normal 6 2 2 5 2 2" xfId="9426" xr:uid="{294EDA0E-2B81-413D-A4EA-82BF09185ACA}"/>
    <cellStyle name="Normal 6 2 2 5 3" xfId="9425" xr:uid="{FC34FFDF-CA56-4275-81B5-A846A7D44351}"/>
    <cellStyle name="Normal 6 2 2 6" xfId="4105" xr:uid="{00000000-0005-0000-0000-0000CD0F0000}"/>
    <cellStyle name="Normal 6 2 2 6 2" xfId="4106" xr:uid="{00000000-0005-0000-0000-0000CE0F0000}"/>
    <cellStyle name="Normal 6 2 2 6 2 2" xfId="9428" xr:uid="{4B8ED462-0C0E-441F-A69A-22A3F9BD25F8}"/>
    <cellStyle name="Normal 6 2 2 6 3" xfId="9427" xr:uid="{CA7D01DE-AED5-46B2-BE35-B8146C1409FC}"/>
    <cellStyle name="Normal 6 2 2 7" xfId="4107" xr:uid="{00000000-0005-0000-0000-0000CF0F0000}"/>
    <cellStyle name="Normal 6 2 2 7 2" xfId="4108" xr:uid="{00000000-0005-0000-0000-0000D00F0000}"/>
    <cellStyle name="Normal 6 2 2 7 2 2" xfId="9430" xr:uid="{5D3B6806-9201-45D3-8AF1-D42700A6CA13}"/>
    <cellStyle name="Normal 6 2 2 7 3" xfId="9429" xr:uid="{1A00628F-0661-4E68-A3A0-05DF59FA4E89}"/>
    <cellStyle name="Normal 6 2 2 8" xfId="4109" xr:uid="{00000000-0005-0000-0000-0000D10F0000}"/>
    <cellStyle name="Normal 6 2 2 8 2" xfId="9431" xr:uid="{FD6DD56F-B9AE-47A0-B4A6-B60BCBE35CAE}"/>
    <cellStyle name="Normal 6 2 2 9" xfId="4110" xr:uid="{00000000-0005-0000-0000-0000D20F0000}"/>
    <cellStyle name="Normal 6 2 2 9 2" xfId="9432" xr:uid="{7C88294B-A4E3-4A27-A73B-5DBF3E686D94}"/>
    <cellStyle name="Normal 6 2 3" xfId="181" xr:uid="{00000000-0005-0000-0000-0000D30F0000}"/>
    <cellStyle name="Normal 6 2 3 10" xfId="5515" xr:uid="{EBD87947-4AD6-4848-9308-F4990C4CFAD3}"/>
    <cellStyle name="Normal 6 2 3 2" xfId="4111" xr:uid="{00000000-0005-0000-0000-0000D40F0000}"/>
    <cellStyle name="Normal 6 2 3 2 2" xfId="4112" xr:uid="{00000000-0005-0000-0000-0000D50F0000}"/>
    <cellStyle name="Normal 6 2 3 2 2 2" xfId="4113" xr:uid="{00000000-0005-0000-0000-0000D60F0000}"/>
    <cellStyle name="Normal 6 2 3 2 2 2 2" xfId="4114" xr:uid="{00000000-0005-0000-0000-0000D70F0000}"/>
    <cellStyle name="Normal 6 2 3 2 2 2 2 2" xfId="9436" xr:uid="{F78E333E-069A-4809-94F8-A15DDF67A1EC}"/>
    <cellStyle name="Normal 6 2 3 2 2 2 3" xfId="4115" xr:uid="{00000000-0005-0000-0000-0000D80F0000}"/>
    <cellStyle name="Normal 6 2 3 2 2 2 3 2" xfId="9437" xr:uid="{703522E5-430E-4F6C-B438-25BB90A83435}"/>
    <cellStyle name="Normal 6 2 3 2 2 2 4" xfId="9435" xr:uid="{AB565938-0AA9-4396-AE1C-43544B17271D}"/>
    <cellStyle name="Normal 6 2 3 2 2 3" xfId="4116" xr:uid="{00000000-0005-0000-0000-0000D90F0000}"/>
    <cellStyle name="Normal 6 2 3 2 2 3 2" xfId="9438" xr:uid="{93D63713-3B70-46C3-9B9E-853EEDA06A4B}"/>
    <cellStyle name="Normal 6 2 3 2 2 4" xfId="4117" xr:uid="{00000000-0005-0000-0000-0000DA0F0000}"/>
    <cellStyle name="Normal 6 2 3 2 2 4 2" xfId="9439" xr:uid="{C84FB89E-3CAE-4EB8-8D66-48AFCBA418E2}"/>
    <cellStyle name="Normal 6 2 3 2 2 5" xfId="9434" xr:uid="{45975340-FAAF-405A-96E8-45A6F453A5E4}"/>
    <cellStyle name="Normal 6 2 3 2 3" xfId="4118" xr:uid="{00000000-0005-0000-0000-0000DB0F0000}"/>
    <cellStyle name="Normal 6 2 3 2 3 2" xfId="4119" xr:uid="{00000000-0005-0000-0000-0000DC0F0000}"/>
    <cellStyle name="Normal 6 2 3 2 3 2 2" xfId="4120" xr:uid="{00000000-0005-0000-0000-0000DD0F0000}"/>
    <cellStyle name="Normal 6 2 3 2 3 2 2 2" xfId="9442" xr:uid="{8A9161E1-1169-4951-B0CE-FE5D2BF064BE}"/>
    <cellStyle name="Normal 6 2 3 2 3 2 3" xfId="9441" xr:uid="{0296322F-AB30-4D1C-8812-9CB001FBA83F}"/>
    <cellStyle name="Normal 6 2 3 2 3 3" xfId="4121" xr:uid="{00000000-0005-0000-0000-0000DE0F0000}"/>
    <cellStyle name="Normal 6 2 3 2 3 3 2" xfId="9443" xr:uid="{51CCB147-D4E9-40E0-AE41-C373FC7EE392}"/>
    <cellStyle name="Normal 6 2 3 2 3 4" xfId="4122" xr:uid="{00000000-0005-0000-0000-0000DF0F0000}"/>
    <cellStyle name="Normal 6 2 3 2 3 4 2" xfId="9444" xr:uid="{3092FAF7-18FF-4CC3-B040-815C331FCB96}"/>
    <cellStyle name="Normal 6 2 3 2 3 5" xfId="9440" xr:uid="{C6CF3A85-E73B-4674-877C-ADCE97883CE0}"/>
    <cellStyle name="Normal 6 2 3 2 4" xfId="4123" xr:uid="{00000000-0005-0000-0000-0000E00F0000}"/>
    <cellStyle name="Normal 6 2 3 2 4 2" xfId="4124" xr:uid="{00000000-0005-0000-0000-0000E10F0000}"/>
    <cellStyle name="Normal 6 2 3 2 4 2 2" xfId="9446" xr:uid="{33EE64FB-37D5-42B3-9470-90CC63F5E0B6}"/>
    <cellStyle name="Normal 6 2 3 2 4 3" xfId="9445" xr:uid="{66A9D24B-6398-40CC-BB21-07DDAD0F309D}"/>
    <cellStyle name="Normal 6 2 3 2 5" xfId="4125" xr:uid="{00000000-0005-0000-0000-0000E20F0000}"/>
    <cellStyle name="Normal 6 2 3 2 5 2" xfId="9447" xr:uid="{0E9B14BC-84E7-4182-9FA7-86A196401CD2}"/>
    <cellStyle name="Normal 6 2 3 2 6" xfId="4126" xr:uid="{00000000-0005-0000-0000-0000E30F0000}"/>
    <cellStyle name="Normal 6 2 3 2 6 2" xfId="9448" xr:uid="{E4E8FB12-F648-4F48-B427-D901FCA27ECF}"/>
    <cellStyle name="Normal 6 2 3 2 7" xfId="9433" xr:uid="{A050D8C6-3534-44A8-B137-B4CB360D5A0D}"/>
    <cellStyle name="Normal 6 2 3 3" xfId="4127" xr:uid="{00000000-0005-0000-0000-0000E40F0000}"/>
    <cellStyle name="Normal 6 2 3 3 2" xfId="4128" xr:uid="{00000000-0005-0000-0000-0000E50F0000}"/>
    <cellStyle name="Normal 6 2 3 3 2 2" xfId="4129" xr:uid="{00000000-0005-0000-0000-0000E60F0000}"/>
    <cellStyle name="Normal 6 2 3 3 2 2 2" xfId="9451" xr:uid="{2A166C0E-5F8F-46A1-B5E9-BA71157268B4}"/>
    <cellStyle name="Normal 6 2 3 3 2 3" xfId="4130" xr:uid="{00000000-0005-0000-0000-0000E70F0000}"/>
    <cellStyle name="Normal 6 2 3 3 2 3 2" xfId="9452" xr:uid="{BB46A5DF-543A-46ED-B999-625511C1C5AB}"/>
    <cellStyle name="Normal 6 2 3 3 2 4" xfId="9450" xr:uid="{6D0FDC4E-E13F-464C-8A59-675A6768D1AC}"/>
    <cellStyle name="Normal 6 2 3 3 3" xfId="4131" xr:uid="{00000000-0005-0000-0000-0000E80F0000}"/>
    <cellStyle name="Normal 6 2 3 3 3 2" xfId="9453" xr:uid="{774659EA-A7B3-42F4-B6A0-BA3F7BDEFB2B}"/>
    <cellStyle name="Normal 6 2 3 3 4" xfId="4132" xr:uid="{00000000-0005-0000-0000-0000E90F0000}"/>
    <cellStyle name="Normal 6 2 3 3 4 2" xfId="9454" xr:uid="{BCC259E6-6480-459D-9967-663E97E4367C}"/>
    <cellStyle name="Normal 6 2 3 3 5" xfId="9449" xr:uid="{7B1D1DFE-7CA8-451F-B439-FC132DAA71A1}"/>
    <cellStyle name="Normal 6 2 3 4" xfId="4133" xr:uid="{00000000-0005-0000-0000-0000EA0F0000}"/>
    <cellStyle name="Normal 6 2 3 4 2" xfId="4134" xr:uid="{00000000-0005-0000-0000-0000EB0F0000}"/>
    <cellStyle name="Normal 6 2 3 4 2 2" xfId="4135" xr:uid="{00000000-0005-0000-0000-0000EC0F0000}"/>
    <cellStyle name="Normal 6 2 3 4 2 2 2" xfId="9457" xr:uid="{A714974D-E314-4813-9646-6723529037BA}"/>
    <cellStyle name="Normal 6 2 3 4 2 3" xfId="9456" xr:uid="{900EDD92-8CE0-4DFC-8D64-2A481D69EF51}"/>
    <cellStyle name="Normal 6 2 3 4 3" xfId="4136" xr:uid="{00000000-0005-0000-0000-0000ED0F0000}"/>
    <cellStyle name="Normal 6 2 3 4 3 2" xfId="9458" xr:uid="{3696A2CF-8B69-4CA0-A206-67B008F7B047}"/>
    <cellStyle name="Normal 6 2 3 4 4" xfId="4137" xr:uid="{00000000-0005-0000-0000-0000EE0F0000}"/>
    <cellStyle name="Normal 6 2 3 4 4 2" xfId="9459" xr:uid="{1C7BEDC6-30ED-4217-BCFF-9479A94B6493}"/>
    <cellStyle name="Normal 6 2 3 4 5" xfId="9455" xr:uid="{1091F52D-B43E-4119-AA32-D6F5A4B35BAB}"/>
    <cellStyle name="Normal 6 2 3 5" xfId="4138" xr:uid="{00000000-0005-0000-0000-0000EF0F0000}"/>
    <cellStyle name="Normal 6 2 3 5 2" xfId="4139" xr:uid="{00000000-0005-0000-0000-0000F00F0000}"/>
    <cellStyle name="Normal 6 2 3 5 2 2" xfId="9461" xr:uid="{A8896B96-EABE-4879-A7AE-7190C67BC1AD}"/>
    <cellStyle name="Normal 6 2 3 5 3" xfId="9460" xr:uid="{7203ECC1-0CDE-456B-BAAC-B333BC5B3F00}"/>
    <cellStyle name="Normal 6 2 3 6" xfId="4140" xr:uid="{00000000-0005-0000-0000-0000F10F0000}"/>
    <cellStyle name="Normal 6 2 3 6 2" xfId="4141" xr:uid="{00000000-0005-0000-0000-0000F20F0000}"/>
    <cellStyle name="Normal 6 2 3 6 2 2" xfId="9463" xr:uid="{06D195C7-78E2-4921-BB02-11C8F48CF9F0}"/>
    <cellStyle name="Normal 6 2 3 6 3" xfId="9462" xr:uid="{7621B7E7-AB04-4039-ADC5-69269EFDBD14}"/>
    <cellStyle name="Normal 6 2 3 7" xfId="4142" xr:uid="{00000000-0005-0000-0000-0000F30F0000}"/>
    <cellStyle name="Normal 6 2 3 7 2" xfId="4143" xr:uid="{00000000-0005-0000-0000-0000F40F0000}"/>
    <cellStyle name="Normal 6 2 3 7 2 2" xfId="9465" xr:uid="{6BCB4F74-3F4D-4C25-874E-E77B59E1D509}"/>
    <cellStyle name="Normal 6 2 3 7 3" xfId="9464" xr:uid="{82C5024F-733D-4FD3-B89C-17E5DB036323}"/>
    <cellStyle name="Normal 6 2 3 8" xfId="4144" xr:uid="{00000000-0005-0000-0000-0000F50F0000}"/>
    <cellStyle name="Normal 6 2 3 8 2" xfId="9466" xr:uid="{CA25B71C-8B49-45FA-A3D9-0E7DE5C791CB}"/>
    <cellStyle name="Normal 6 2 3 9" xfId="4145" xr:uid="{00000000-0005-0000-0000-0000F60F0000}"/>
    <cellStyle name="Normal 6 2 3 9 2" xfId="9467" xr:uid="{78EBC352-98F3-4EE5-8CED-8D87F5FA3A33}"/>
    <cellStyle name="Normal 6 2 4" xfId="4146" xr:uid="{00000000-0005-0000-0000-0000F70F0000}"/>
    <cellStyle name="Normal 6 2 4 2" xfId="4147" xr:uid="{00000000-0005-0000-0000-0000F80F0000}"/>
    <cellStyle name="Normal 6 2 4 2 2" xfId="4148" xr:uid="{00000000-0005-0000-0000-0000F90F0000}"/>
    <cellStyle name="Normal 6 2 4 2 2 2" xfId="4149" xr:uid="{00000000-0005-0000-0000-0000FA0F0000}"/>
    <cellStyle name="Normal 6 2 4 2 2 2 2" xfId="9471" xr:uid="{53EBF1D2-3BC3-460E-8704-289372E53FDA}"/>
    <cellStyle name="Normal 6 2 4 2 2 3" xfId="4150" xr:uid="{00000000-0005-0000-0000-0000FB0F0000}"/>
    <cellStyle name="Normal 6 2 4 2 2 3 2" xfId="9472" xr:uid="{F23ACF85-A7D8-469E-8068-33C390157CB9}"/>
    <cellStyle name="Normal 6 2 4 2 2 4" xfId="9470" xr:uid="{BAD1E2A7-064D-4355-8387-185FA0527ADD}"/>
    <cellStyle name="Normal 6 2 4 2 3" xfId="4151" xr:uid="{00000000-0005-0000-0000-0000FC0F0000}"/>
    <cellStyle name="Normal 6 2 4 2 3 2" xfId="9473" xr:uid="{AAE9381B-E644-42F9-9C4D-F914D9EBB4EA}"/>
    <cellStyle name="Normal 6 2 4 2 4" xfId="4152" xr:uid="{00000000-0005-0000-0000-0000FD0F0000}"/>
    <cellStyle name="Normal 6 2 4 2 4 2" xfId="9474" xr:uid="{173608D7-3C3C-47A0-949E-7D3F27340C1B}"/>
    <cellStyle name="Normal 6 2 4 2 5" xfId="9469" xr:uid="{2A2F7F48-421B-47C3-A2AD-BD5F3A895DAB}"/>
    <cellStyle name="Normal 6 2 4 3" xfId="4153" xr:uid="{00000000-0005-0000-0000-0000FE0F0000}"/>
    <cellStyle name="Normal 6 2 4 3 2" xfId="4154" xr:uid="{00000000-0005-0000-0000-0000FF0F0000}"/>
    <cellStyle name="Normal 6 2 4 3 2 2" xfId="4155" xr:uid="{00000000-0005-0000-0000-000000100000}"/>
    <cellStyle name="Normal 6 2 4 3 2 2 2" xfId="9477" xr:uid="{8631382A-2FCF-4BB4-8CFE-EB28DE0C54E1}"/>
    <cellStyle name="Normal 6 2 4 3 2 3" xfId="9476" xr:uid="{499EFF86-2672-448E-A994-7E94A5985E80}"/>
    <cellStyle name="Normal 6 2 4 3 3" xfId="4156" xr:uid="{00000000-0005-0000-0000-000001100000}"/>
    <cellStyle name="Normal 6 2 4 3 3 2" xfId="9478" xr:uid="{C717B0BD-5184-405B-9EF1-4949AF61E0BB}"/>
    <cellStyle name="Normal 6 2 4 3 4" xfId="4157" xr:uid="{00000000-0005-0000-0000-000002100000}"/>
    <cellStyle name="Normal 6 2 4 3 4 2" xfId="9479" xr:uid="{45D1E010-2550-4C1C-98C8-E43A20FF77D4}"/>
    <cellStyle name="Normal 6 2 4 3 5" xfId="9475" xr:uid="{DFE6C315-E525-4117-9A2C-3CC518DE7D5A}"/>
    <cellStyle name="Normal 6 2 4 4" xfId="4158" xr:uid="{00000000-0005-0000-0000-000003100000}"/>
    <cellStyle name="Normal 6 2 4 4 2" xfId="4159" xr:uid="{00000000-0005-0000-0000-000004100000}"/>
    <cellStyle name="Normal 6 2 4 4 2 2" xfId="9481" xr:uid="{D57B465B-14C1-4FD1-B8C7-41CC7A7A78B1}"/>
    <cellStyle name="Normal 6 2 4 4 3" xfId="9480" xr:uid="{F6CB113D-7BEC-49C2-B004-2F3B037DD513}"/>
    <cellStyle name="Normal 6 2 4 5" xfId="4160" xr:uid="{00000000-0005-0000-0000-000005100000}"/>
    <cellStyle name="Normal 6 2 4 5 2" xfId="9482" xr:uid="{371BCCC2-7EA1-48D6-BFF7-8C9425640F02}"/>
    <cellStyle name="Normal 6 2 4 6" xfId="4161" xr:uid="{00000000-0005-0000-0000-000006100000}"/>
    <cellStyle name="Normal 6 2 4 6 2" xfId="9483" xr:uid="{C819C07E-8CD0-41DE-806F-BB7BF7C1B384}"/>
    <cellStyle name="Normal 6 2 4 7" xfId="9468" xr:uid="{399420DA-73E6-45B1-9CC3-140B35A7AD27}"/>
    <cellStyle name="Normal 6 2 5" xfId="4162" xr:uid="{00000000-0005-0000-0000-000007100000}"/>
    <cellStyle name="Normal 6 2 5 2" xfId="4163" xr:uid="{00000000-0005-0000-0000-000008100000}"/>
    <cellStyle name="Normal 6 2 5 2 2" xfId="4164" xr:uid="{00000000-0005-0000-0000-000009100000}"/>
    <cellStyle name="Normal 6 2 5 2 2 2" xfId="9486" xr:uid="{A3D41391-6C08-47AF-89FD-FE7E350D922C}"/>
    <cellStyle name="Normal 6 2 5 2 3" xfId="4165" xr:uid="{00000000-0005-0000-0000-00000A100000}"/>
    <cellStyle name="Normal 6 2 5 2 3 2" xfId="9487" xr:uid="{093224F8-A768-425E-9AD0-3B3A32F64611}"/>
    <cellStyle name="Normal 6 2 5 2 4" xfId="9485" xr:uid="{94EE425A-BBAF-4D3A-85C6-FB48A4065A10}"/>
    <cellStyle name="Normal 6 2 5 3" xfId="4166" xr:uid="{00000000-0005-0000-0000-00000B100000}"/>
    <cellStyle name="Normal 6 2 5 3 2" xfId="9488" xr:uid="{3C3DB046-2387-4D4B-8F0C-EA5356C9D412}"/>
    <cellStyle name="Normal 6 2 5 4" xfId="4167" xr:uid="{00000000-0005-0000-0000-00000C100000}"/>
    <cellStyle name="Normal 6 2 5 4 2" xfId="9489" xr:uid="{AFBCB257-0907-4E04-B5F1-CBD2D690C011}"/>
    <cellStyle name="Normal 6 2 5 5" xfId="9484" xr:uid="{70840837-684A-45DF-8224-4CC60744A30F}"/>
    <cellStyle name="Normal 6 2 6" xfId="4168" xr:uid="{00000000-0005-0000-0000-00000D100000}"/>
    <cellStyle name="Normal 6 2 6 2" xfId="4169" xr:uid="{00000000-0005-0000-0000-00000E100000}"/>
    <cellStyle name="Normal 6 2 6 2 2" xfId="4170" xr:uid="{00000000-0005-0000-0000-00000F100000}"/>
    <cellStyle name="Normal 6 2 6 2 2 2" xfId="9492" xr:uid="{32C1A56D-757B-437B-899D-AA12E5D92D6E}"/>
    <cellStyle name="Normal 6 2 6 2 3" xfId="9491" xr:uid="{3B0F68D1-1EDD-44AB-9E3E-2F60FB3DA643}"/>
    <cellStyle name="Normal 6 2 6 3" xfId="4171" xr:uid="{00000000-0005-0000-0000-000010100000}"/>
    <cellStyle name="Normal 6 2 6 3 2" xfId="9493" xr:uid="{D7DBD891-0E4A-40B3-B207-091D51820F6F}"/>
    <cellStyle name="Normal 6 2 6 4" xfId="4172" xr:uid="{00000000-0005-0000-0000-000011100000}"/>
    <cellStyle name="Normal 6 2 6 4 2" xfId="9494" xr:uid="{7A5B2C0D-20C4-47BC-8E0D-1874CCF04845}"/>
    <cellStyle name="Normal 6 2 6 5" xfId="9490" xr:uid="{0CEBCCEE-D27E-465D-A5D2-D7E2F92BCC7E}"/>
    <cellStyle name="Normal 6 2 7" xfId="4173" xr:uid="{00000000-0005-0000-0000-000012100000}"/>
    <cellStyle name="Normal 6 2 7 2" xfId="4174" xr:uid="{00000000-0005-0000-0000-000013100000}"/>
    <cellStyle name="Normal 6 2 7 2 2" xfId="9496" xr:uid="{6970F020-C042-40C5-8AFA-FE18E59AAD04}"/>
    <cellStyle name="Normal 6 2 7 3" xfId="4175" xr:uid="{00000000-0005-0000-0000-000014100000}"/>
    <cellStyle name="Normal 6 2 7 3 2" xfId="9497" xr:uid="{72C6D3CE-65FA-4932-9758-DC0C1A293ECB}"/>
    <cellStyle name="Normal 6 2 7 4" xfId="9495" xr:uid="{D3FD6C89-4A1A-4348-8BA9-731C0FE32EA1}"/>
    <cellStyle name="Normal 6 2 8" xfId="4176" xr:uid="{00000000-0005-0000-0000-000015100000}"/>
    <cellStyle name="Normal 6 2 8 2" xfId="4177" xr:uid="{00000000-0005-0000-0000-000016100000}"/>
    <cellStyle name="Normal 6 2 8 2 2" xfId="9499" xr:uid="{E13C333F-2A1A-4209-844F-B35099E599F1}"/>
    <cellStyle name="Normal 6 2 8 3" xfId="9498" xr:uid="{3C0C5655-B705-4FFA-9F9A-404E323CF272}"/>
    <cellStyle name="Normal 6 2 9" xfId="4178" xr:uid="{00000000-0005-0000-0000-000017100000}"/>
    <cellStyle name="Normal 6 2 9 2" xfId="4179" xr:uid="{00000000-0005-0000-0000-000018100000}"/>
    <cellStyle name="Normal 6 2 9 2 2" xfId="9501" xr:uid="{CF9D8131-0358-4378-8372-A7DEAB50841D}"/>
    <cellStyle name="Normal 6 2 9 3" xfId="9500" xr:uid="{B993BBA0-1681-40EF-9D7C-96B4DA655FDD}"/>
    <cellStyle name="Normal 6 3" xfId="182" xr:uid="{00000000-0005-0000-0000-000019100000}"/>
    <cellStyle name="Normal 6 3 10" xfId="5516" xr:uid="{AE91E10D-1540-48D7-9D15-BB38493D1CAF}"/>
    <cellStyle name="Normal 6 3 2" xfId="183" xr:uid="{00000000-0005-0000-0000-00001A100000}"/>
    <cellStyle name="Normal 6 3 2 2" xfId="4180" xr:uid="{00000000-0005-0000-0000-00001B100000}"/>
    <cellStyle name="Normal 6 3 2 2 2" xfId="4181" xr:uid="{00000000-0005-0000-0000-00001C100000}"/>
    <cellStyle name="Normal 6 3 2 2 2 2" xfId="4182" xr:uid="{00000000-0005-0000-0000-00001D100000}"/>
    <cellStyle name="Normal 6 3 2 2 2 2 2" xfId="9504" xr:uid="{EBC39819-618D-424E-83C7-99C088102E6F}"/>
    <cellStyle name="Normal 6 3 2 2 2 3" xfId="4183" xr:uid="{00000000-0005-0000-0000-00001E100000}"/>
    <cellStyle name="Normal 6 3 2 2 2 3 2" xfId="9505" xr:uid="{F93F4176-E05B-4F0C-BF22-5ADFC7215583}"/>
    <cellStyle name="Normal 6 3 2 2 2 4" xfId="9503" xr:uid="{42CC6E25-F7CB-431D-AC9E-756809905533}"/>
    <cellStyle name="Normal 6 3 2 2 3" xfId="4184" xr:uid="{00000000-0005-0000-0000-00001F100000}"/>
    <cellStyle name="Normal 6 3 2 2 3 2" xfId="9506" xr:uid="{13694BC2-79C0-416E-913F-C560F3322DC1}"/>
    <cellStyle name="Normal 6 3 2 2 4" xfId="4185" xr:uid="{00000000-0005-0000-0000-000020100000}"/>
    <cellStyle name="Normal 6 3 2 2 4 2" xfId="9507" xr:uid="{1C1F60FC-18CD-4027-AB8F-4F94060E4066}"/>
    <cellStyle name="Normal 6 3 2 2 5" xfId="9502" xr:uid="{CBFDAFA9-7846-48C8-B93C-86D8280DB11D}"/>
    <cellStyle name="Normal 6 3 2 3" xfId="4186" xr:uid="{00000000-0005-0000-0000-000021100000}"/>
    <cellStyle name="Normal 6 3 2 3 2" xfId="4187" xr:uid="{00000000-0005-0000-0000-000022100000}"/>
    <cellStyle name="Normal 6 3 2 3 2 2" xfId="4188" xr:uid="{00000000-0005-0000-0000-000023100000}"/>
    <cellStyle name="Normal 6 3 2 3 2 2 2" xfId="9510" xr:uid="{3A37C3AE-B871-4ED8-819A-0DA2FB487020}"/>
    <cellStyle name="Normal 6 3 2 3 2 3" xfId="9509" xr:uid="{BC88A631-CE82-49E7-BA49-4B10D256244B}"/>
    <cellStyle name="Normal 6 3 2 3 3" xfId="4189" xr:uid="{00000000-0005-0000-0000-000024100000}"/>
    <cellStyle name="Normal 6 3 2 3 3 2" xfId="9511" xr:uid="{3EEF9553-C160-4880-8FE6-5FB5025AC34F}"/>
    <cellStyle name="Normal 6 3 2 3 4" xfId="4190" xr:uid="{00000000-0005-0000-0000-000025100000}"/>
    <cellStyle name="Normal 6 3 2 3 4 2" xfId="9512" xr:uid="{BB524932-ED3C-47A3-9EA8-C573210182ED}"/>
    <cellStyle name="Normal 6 3 2 3 5" xfId="9508" xr:uid="{AD00286A-3BAD-4D77-9DF4-2446B0B74327}"/>
    <cellStyle name="Normal 6 3 2 4" xfId="4191" xr:uid="{00000000-0005-0000-0000-000026100000}"/>
    <cellStyle name="Normal 6 3 2 4 2" xfId="4192" xr:uid="{00000000-0005-0000-0000-000027100000}"/>
    <cellStyle name="Normal 6 3 2 4 2 2" xfId="9514" xr:uid="{309D9D32-4D75-4C03-9E7A-278C63074DAF}"/>
    <cellStyle name="Normal 6 3 2 4 3" xfId="9513" xr:uid="{F86F49CC-9930-48E2-93D4-7B9C0D79FF9B}"/>
    <cellStyle name="Normal 6 3 2 5" xfId="4193" xr:uid="{00000000-0005-0000-0000-000028100000}"/>
    <cellStyle name="Normal 6 3 2 5 2" xfId="4194" xr:uid="{00000000-0005-0000-0000-000029100000}"/>
    <cellStyle name="Normal 6 3 2 5 2 2" xfId="9516" xr:uid="{B46E17D8-82A7-4A16-BCD9-B424B0753F2A}"/>
    <cellStyle name="Normal 6 3 2 5 3" xfId="9515" xr:uid="{8BA83E90-846E-48D9-A664-51C61BA6FA1F}"/>
    <cellStyle name="Normal 6 3 2 6" xfId="4195" xr:uid="{00000000-0005-0000-0000-00002A100000}"/>
    <cellStyle name="Normal 6 3 2 6 2" xfId="4196" xr:uid="{00000000-0005-0000-0000-00002B100000}"/>
    <cellStyle name="Normal 6 3 2 6 2 2" xfId="9518" xr:uid="{C06CFE7F-44F9-4B2B-9CAE-40F6D571EF62}"/>
    <cellStyle name="Normal 6 3 2 6 3" xfId="9517" xr:uid="{EAAE09E5-3BA9-4A26-84C2-275AAE28F809}"/>
    <cellStyle name="Normal 6 3 2 7" xfId="4197" xr:uid="{00000000-0005-0000-0000-00002C100000}"/>
    <cellStyle name="Normal 6 3 2 7 2" xfId="9519" xr:uid="{52E8B6DF-D05A-481A-90A8-5D6C3B487DA3}"/>
    <cellStyle name="Normal 6 3 2 8" xfId="4198" xr:uid="{00000000-0005-0000-0000-00002D100000}"/>
    <cellStyle name="Normal 6 3 2 8 2" xfId="9520" xr:uid="{63D4D861-06E6-4C67-8933-045E4935835B}"/>
    <cellStyle name="Normal 6 3 2 9" xfId="5517" xr:uid="{B9BEE808-EAC2-428E-8A92-1E228D899EEE}"/>
    <cellStyle name="Normal 6 3 3" xfId="4199" xr:uid="{00000000-0005-0000-0000-00002E100000}"/>
    <cellStyle name="Normal 6 3 3 2" xfId="4200" xr:uid="{00000000-0005-0000-0000-00002F100000}"/>
    <cellStyle name="Normal 6 3 3 2 2" xfId="4201" xr:uid="{00000000-0005-0000-0000-000030100000}"/>
    <cellStyle name="Normal 6 3 3 2 2 2" xfId="9523" xr:uid="{30F4DD31-BBA9-4DB6-8E56-ABCD26DB376D}"/>
    <cellStyle name="Normal 6 3 3 2 3" xfId="4202" xr:uid="{00000000-0005-0000-0000-000031100000}"/>
    <cellStyle name="Normal 6 3 3 2 3 2" xfId="9524" xr:uid="{9910FD37-76C9-4D3E-ACDA-784C384E493E}"/>
    <cellStyle name="Normal 6 3 3 2 4" xfId="9522" xr:uid="{5C72E1D2-670F-467C-A447-A4E06BC5F660}"/>
    <cellStyle name="Normal 6 3 3 3" xfId="4203" xr:uid="{00000000-0005-0000-0000-000032100000}"/>
    <cellStyle name="Normal 6 3 3 3 2" xfId="9525" xr:uid="{36655E71-2237-4E70-BC6C-C41348363008}"/>
    <cellStyle name="Normal 6 3 3 4" xfId="4204" xr:uid="{00000000-0005-0000-0000-000033100000}"/>
    <cellStyle name="Normal 6 3 3 4 2" xfId="9526" xr:uid="{024E7AC3-17EC-4E91-B04E-854CF45C11C8}"/>
    <cellStyle name="Normal 6 3 3 5" xfId="9521" xr:uid="{8B62EBC6-D8B7-4F4C-B40F-2E00698F54C4}"/>
    <cellStyle name="Normal 6 3 4" xfId="4205" xr:uid="{00000000-0005-0000-0000-000034100000}"/>
    <cellStyle name="Normal 6 3 4 2" xfId="4206" xr:uid="{00000000-0005-0000-0000-000035100000}"/>
    <cellStyle name="Normal 6 3 4 2 2" xfId="4207" xr:uid="{00000000-0005-0000-0000-000036100000}"/>
    <cellStyle name="Normal 6 3 4 2 2 2" xfId="9529" xr:uid="{99E6576A-DB59-4DBD-9904-90529B05818D}"/>
    <cellStyle name="Normal 6 3 4 2 3" xfId="9528" xr:uid="{4D2E50EE-8FB0-47A0-9790-09100508A561}"/>
    <cellStyle name="Normal 6 3 4 3" xfId="4208" xr:uid="{00000000-0005-0000-0000-000037100000}"/>
    <cellStyle name="Normal 6 3 4 3 2" xfId="9530" xr:uid="{03E4BEE4-5FFB-475D-AA2A-F9474B060861}"/>
    <cellStyle name="Normal 6 3 4 4" xfId="4209" xr:uid="{00000000-0005-0000-0000-000038100000}"/>
    <cellStyle name="Normal 6 3 4 4 2" xfId="9531" xr:uid="{988439DA-8CA0-46AF-A4C0-B10CA2EC396C}"/>
    <cellStyle name="Normal 6 3 4 5" xfId="9527" xr:uid="{8ACCE70E-3A44-4A90-AD2D-A64C3383EF5C}"/>
    <cellStyle name="Normal 6 3 5" xfId="4210" xr:uid="{00000000-0005-0000-0000-000039100000}"/>
    <cellStyle name="Normal 6 3 5 2" xfId="4211" xr:uid="{00000000-0005-0000-0000-00003A100000}"/>
    <cellStyle name="Normal 6 3 5 2 2" xfId="9533" xr:uid="{AFA35591-AD08-4330-8032-796757F7F19D}"/>
    <cellStyle name="Normal 6 3 5 3" xfId="9532" xr:uid="{8610AAEB-54D1-4907-A4C8-CBC7F75AF572}"/>
    <cellStyle name="Normal 6 3 6" xfId="4212" xr:uid="{00000000-0005-0000-0000-00003B100000}"/>
    <cellStyle name="Normal 6 3 6 2" xfId="4213" xr:uid="{00000000-0005-0000-0000-00003C100000}"/>
    <cellStyle name="Normal 6 3 6 2 2" xfId="9535" xr:uid="{39F683E8-9DDD-4FF3-892A-8ADB3B4AE1C0}"/>
    <cellStyle name="Normal 6 3 6 3" xfId="9534" xr:uid="{3BA5EFC0-B756-4A70-BD60-2B684A973F46}"/>
    <cellStyle name="Normal 6 3 7" xfId="4214" xr:uid="{00000000-0005-0000-0000-00003D100000}"/>
    <cellStyle name="Normal 6 3 7 2" xfId="4215" xr:uid="{00000000-0005-0000-0000-00003E100000}"/>
    <cellStyle name="Normal 6 3 7 2 2" xfId="9537" xr:uid="{731E57D7-7108-4D34-BB8C-40EC9DD4AA1C}"/>
    <cellStyle name="Normal 6 3 7 3" xfId="9536" xr:uid="{4BF46B5D-7104-4EEB-8D74-6881A89BBFDE}"/>
    <cellStyle name="Normal 6 3 8" xfId="4216" xr:uid="{00000000-0005-0000-0000-00003F100000}"/>
    <cellStyle name="Normal 6 3 8 2" xfId="9538" xr:uid="{F45AE659-8FBD-4FD0-B475-5B17D8CE63B8}"/>
    <cellStyle name="Normal 6 3 9" xfId="4217" xr:uid="{00000000-0005-0000-0000-000040100000}"/>
    <cellStyle name="Normal 6 3 9 2" xfId="9539" xr:uid="{44665066-F834-4FE5-81CB-0A5E9AA708E4}"/>
    <cellStyle name="Normal 6 4" xfId="184" xr:uid="{00000000-0005-0000-0000-000041100000}"/>
    <cellStyle name="Normal 6 4 10" xfId="5518" xr:uid="{83434F89-3087-46E5-84AB-C6D560EB0BCD}"/>
    <cellStyle name="Normal 6 4 2" xfId="4218" xr:uid="{00000000-0005-0000-0000-000042100000}"/>
    <cellStyle name="Normal 6 4 2 2" xfId="4219" xr:uid="{00000000-0005-0000-0000-000043100000}"/>
    <cellStyle name="Normal 6 4 2 2 2" xfId="4220" xr:uid="{00000000-0005-0000-0000-000044100000}"/>
    <cellStyle name="Normal 6 4 2 2 2 2" xfId="4221" xr:uid="{00000000-0005-0000-0000-000045100000}"/>
    <cellStyle name="Normal 6 4 2 2 2 2 2" xfId="9543" xr:uid="{3E5C0D25-3B53-49EF-8261-118A0F41883E}"/>
    <cellStyle name="Normal 6 4 2 2 2 3" xfId="4222" xr:uid="{00000000-0005-0000-0000-000046100000}"/>
    <cellStyle name="Normal 6 4 2 2 2 3 2" xfId="9544" xr:uid="{69C254D1-FC3E-4EA1-910B-EBCCB2B49100}"/>
    <cellStyle name="Normal 6 4 2 2 2 4" xfId="9542" xr:uid="{9DD0A28B-AFBE-4534-BB8E-799F3B6ED0F4}"/>
    <cellStyle name="Normal 6 4 2 2 3" xfId="4223" xr:uid="{00000000-0005-0000-0000-000047100000}"/>
    <cellStyle name="Normal 6 4 2 2 3 2" xfId="9545" xr:uid="{1956CEFD-2FFC-4A0F-9FCE-80A7021D7A31}"/>
    <cellStyle name="Normal 6 4 2 2 4" xfId="4224" xr:uid="{00000000-0005-0000-0000-000048100000}"/>
    <cellStyle name="Normal 6 4 2 2 4 2" xfId="9546" xr:uid="{34298713-9EB1-4437-AD1B-07BD269212A3}"/>
    <cellStyle name="Normal 6 4 2 2 5" xfId="9541" xr:uid="{00365D52-C058-4509-A4C8-4C9D5AE9F9FF}"/>
    <cellStyle name="Normal 6 4 2 3" xfId="4225" xr:uid="{00000000-0005-0000-0000-000049100000}"/>
    <cellStyle name="Normal 6 4 2 3 2" xfId="4226" xr:uid="{00000000-0005-0000-0000-00004A100000}"/>
    <cellStyle name="Normal 6 4 2 3 2 2" xfId="4227" xr:uid="{00000000-0005-0000-0000-00004B100000}"/>
    <cellStyle name="Normal 6 4 2 3 2 2 2" xfId="9549" xr:uid="{9E51D626-9973-491A-A764-415CC9D50165}"/>
    <cellStyle name="Normal 6 4 2 3 2 3" xfId="9548" xr:uid="{0C24067C-92A7-4738-AD39-6CDA7FCDA5D1}"/>
    <cellStyle name="Normal 6 4 2 3 3" xfId="4228" xr:uid="{00000000-0005-0000-0000-00004C100000}"/>
    <cellStyle name="Normal 6 4 2 3 3 2" xfId="9550" xr:uid="{768C5838-0ADE-47BC-A1DF-B6AFAAD5A983}"/>
    <cellStyle name="Normal 6 4 2 3 4" xfId="4229" xr:uid="{00000000-0005-0000-0000-00004D100000}"/>
    <cellStyle name="Normal 6 4 2 3 4 2" xfId="9551" xr:uid="{70D89D91-4582-4893-BB6F-09A61CEBB337}"/>
    <cellStyle name="Normal 6 4 2 3 5" xfId="9547" xr:uid="{5E83B9DA-859E-48EA-A96C-65634C9B3872}"/>
    <cellStyle name="Normal 6 4 2 4" xfId="4230" xr:uid="{00000000-0005-0000-0000-00004E100000}"/>
    <cellStyle name="Normal 6 4 2 4 2" xfId="4231" xr:uid="{00000000-0005-0000-0000-00004F100000}"/>
    <cellStyle name="Normal 6 4 2 4 2 2" xfId="9553" xr:uid="{082B99EB-D804-4433-910B-D1DB1770F756}"/>
    <cellStyle name="Normal 6 4 2 4 3" xfId="9552" xr:uid="{F994C609-26ED-40C4-BF6E-F66ADEF6B86E}"/>
    <cellStyle name="Normal 6 4 2 5" xfId="4232" xr:uid="{00000000-0005-0000-0000-000050100000}"/>
    <cellStyle name="Normal 6 4 2 5 2" xfId="9554" xr:uid="{C40935E7-AE40-42D4-9517-8187E249D19F}"/>
    <cellStyle name="Normal 6 4 2 6" xfId="4233" xr:uid="{00000000-0005-0000-0000-000051100000}"/>
    <cellStyle name="Normal 6 4 2 6 2" xfId="9555" xr:uid="{9C7FEE7A-7127-4BD5-B8CE-19B263B7C52A}"/>
    <cellStyle name="Normal 6 4 2 7" xfId="9540" xr:uid="{A0C01ACE-73B7-404F-8122-165EEF4F1925}"/>
    <cellStyle name="Normal 6 4 3" xfId="4234" xr:uid="{00000000-0005-0000-0000-000052100000}"/>
    <cellStyle name="Normal 6 4 3 2" xfId="4235" xr:uid="{00000000-0005-0000-0000-000053100000}"/>
    <cellStyle name="Normal 6 4 3 2 2" xfId="4236" xr:uid="{00000000-0005-0000-0000-000054100000}"/>
    <cellStyle name="Normal 6 4 3 2 2 2" xfId="9558" xr:uid="{5E51F1E0-8978-4A1F-9DE6-4F5089FD668A}"/>
    <cellStyle name="Normal 6 4 3 2 3" xfId="4237" xr:uid="{00000000-0005-0000-0000-000055100000}"/>
    <cellStyle name="Normal 6 4 3 2 3 2" xfId="9559" xr:uid="{DE322D2E-FFE0-4345-889C-6D1D4E435F38}"/>
    <cellStyle name="Normal 6 4 3 2 4" xfId="9557" xr:uid="{DDAF0BE7-D08D-4B27-B63E-BA10F7926D9A}"/>
    <cellStyle name="Normal 6 4 3 3" xfId="4238" xr:uid="{00000000-0005-0000-0000-000056100000}"/>
    <cellStyle name="Normal 6 4 3 3 2" xfId="9560" xr:uid="{0A07F06B-376E-4E9A-BA11-5D39637C22E8}"/>
    <cellStyle name="Normal 6 4 3 4" xfId="4239" xr:uid="{00000000-0005-0000-0000-000057100000}"/>
    <cellStyle name="Normal 6 4 3 4 2" xfId="9561" xr:uid="{7397A339-9412-475A-B053-DDA1FB032913}"/>
    <cellStyle name="Normal 6 4 3 5" xfId="9556" xr:uid="{93445A36-4DA5-4E4B-99E1-9B531B4A0BA4}"/>
    <cellStyle name="Normal 6 4 4" xfId="4240" xr:uid="{00000000-0005-0000-0000-000058100000}"/>
    <cellStyle name="Normal 6 4 4 2" xfId="4241" xr:uid="{00000000-0005-0000-0000-000059100000}"/>
    <cellStyle name="Normal 6 4 4 2 2" xfId="4242" xr:uid="{00000000-0005-0000-0000-00005A100000}"/>
    <cellStyle name="Normal 6 4 4 2 2 2" xfId="9564" xr:uid="{019FE2C9-EC36-439E-B45D-17A666A29A19}"/>
    <cellStyle name="Normal 6 4 4 2 3" xfId="9563" xr:uid="{F884EE08-7EC5-4E6C-A287-382E36FFF760}"/>
    <cellStyle name="Normal 6 4 4 3" xfId="4243" xr:uid="{00000000-0005-0000-0000-00005B100000}"/>
    <cellStyle name="Normal 6 4 4 3 2" xfId="9565" xr:uid="{852EABAE-8A40-4EC7-89EA-1B71200CB203}"/>
    <cellStyle name="Normal 6 4 4 4" xfId="4244" xr:uid="{00000000-0005-0000-0000-00005C100000}"/>
    <cellStyle name="Normal 6 4 4 4 2" xfId="9566" xr:uid="{D59F92D7-7BC9-4008-BD59-F3F00DBDD219}"/>
    <cellStyle name="Normal 6 4 4 5" xfId="9562" xr:uid="{969224E5-D968-4B06-90BD-31479EC40389}"/>
    <cellStyle name="Normal 6 4 5" xfId="4245" xr:uid="{00000000-0005-0000-0000-00005D100000}"/>
    <cellStyle name="Normal 6 4 5 2" xfId="4246" xr:uid="{00000000-0005-0000-0000-00005E100000}"/>
    <cellStyle name="Normal 6 4 5 2 2" xfId="9568" xr:uid="{2A79B521-D3EA-4BC2-BF20-317A8194A942}"/>
    <cellStyle name="Normal 6 4 5 3" xfId="9567" xr:uid="{63988A5A-6B24-4445-A4B7-84CE79C97029}"/>
    <cellStyle name="Normal 6 4 6" xfId="4247" xr:uid="{00000000-0005-0000-0000-00005F100000}"/>
    <cellStyle name="Normal 6 4 6 2" xfId="4248" xr:uid="{00000000-0005-0000-0000-000060100000}"/>
    <cellStyle name="Normal 6 4 6 2 2" xfId="9570" xr:uid="{E417D840-372F-434D-9E5C-2AC64074FA09}"/>
    <cellStyle name="Normal 6 4 6 3" xfId="9569" xr:uid="{46F1FF66-FD6C-4ADD-9A25-EC2DBFF3B4A2}"/>
    <cellStyle name="Normal 6 4 7" xfId="4249" xr:uid="{00000000-0005-0000-0000-000061100000}"/>
    <cellStyle name="Normal 6 4 7 2" xfId="4250" xr:uid="{00000000-0005-0000-0000-000062100000}"/>
    <cellStyle name="Normal 6 4 7 2 2" xfId="9572" xr:uid="{E93C0047-E468-4F15-827F-4AE708366A6F}"/>
    <cellStyle name="Normal 6 4 7 3" xfId="9571" xr:uid="{E652B974-28FD-43EC-B077-8C7661CA28FB}"/>
    <cellStyle name="Normal 6 4 8" xfId="4251" xr:uid="{00000000-0005-0000-0000-000063100000}"/>
    <cellStyle name="Normal 6 4 8 2" xfId="9573" xr:uid="{F993EF66-6A10-49F1-867C-AA243A5FFEBE}"/>
    <cellStyle name="Normal 6 4 9" xfId="4252" xr:uid="{00000000-0005-0000-0000-000064100000}"/>
    <cellStyle name="Normal 6 4 9 2" xfId="9574" xr:uid="{E6EC0FA7-4695-4F27-9594-0BBC3E596F77}"/>
    <cellStyle name="Normal 6 5" xfId="4253" xr:uid="{00000000-0005-0000-0000-000065100000}"/>
    <cellStyle name="Normal 6 5 2" xfId="4254" xr:uid="{00000000-0005-0000-0000-000066100000}"/>
    <cellStyle name="Normal 6 5 2 2" xfId="4255" xr:uid="{00000000-0005-0000-0000-000067100000}"/>
    <cellStyle name="Normal 6 5 2 2 2" xfId="4256" xr:uid="{00000000-0005-0000-0000-000068100000}"/>
    <cellStyle name="Normal 6 5 2 2 2 2" xfId="9578" xr:uid="{79F819E7-CE9B-4F2A-A381-CBFDEFF63BAA}"/>
    <cellStyle name="Normal 6 5 2 2 3" xfId="4257" xr:uid="{00000000-0005-0000-0000-000069100000}"/>
    <cellStyle name="Normal 6 5 2 2 3 2" xfId="9579" xr:uid="{5E90663A-46BB-457E-808C-51F35D493C94}"/>
    <cellStyle name="Normal 6 5 2 2 4" xfId="9577" xr:uid="{804C73EC-E8AC-4819-AD5A-DC6FB93D8A75}"/>
    <cellStyle name="Normal 6 5 2 3" xfId="4258" xr:uid="{00000000-0005-0000-0000-00006A100000}"/>
    <cellStyle name="Normal 6 5 2 3 2" xfId="9580" xr:uid="{9841863D-2A28-4E32-9047-769E86976DBA}"/>
    <cellStyle name="Normal 6 5 2 4" xfId="4259" xr:uid="{00000000-0005-0000-0000-00006B100000}"/>
    <cellStyle name="Normal 6 5 2 4 2" xfId="9581" xr:uid="{3CA4AEEB-9D84-45B9-A5B3-62D74B5B7EA3}"/>
    <cellStyle name="Normal 6 5 2 5" xfId="9576" xr:uid="{E7570F0E-9F6F-4CFD-B35A-261004F6A1FC}"/>
    <cellStyle name="Normal 6 5 3" xfId="4260" xr:uid="{00000000-0005-0000-0000-00006C100000}"/>
    <cellStyle name="Normal 6 5 3 2" xfId="4261" xr:uid="{00000000-0005-0000-0000-00006D100000}"/>
    <cellStyle name="Normal 6 5 3 2 2" xfId="4262" xr:uid="{00000000-0005-0000-0000-00006E100000}"/>
    <cellStyle name="Normal 6 5 3 2 2 2" xfId="9584" xr:uid="{03AB52A7-4E1E-4BA8-B6A8-EE9BE3903552}"/>
    <cellStyle name="Normal 6 5 3 2 3" xfId="9583" xr:uid="{465EC664-8774-4F99-8B26-ADFBCA3090C5}"/>
    <cellStyle name="Normal 6 5 3 3" xfId="4263" xr:uid="{00000000-0005-0000-0000-00006F100000}"/>
    <cellStyle name="Normal 6 5 3 3 2" xfId="9585" xr:uid="{40E75D8E-9F52-434B-835C-6351BD0A5E27}"/>
    <cellStyle name="Normal 6 5 3 4" xfId="4264" xr:uid="{00000000-0005-0000-0000-000070100000}"/>
    <cellStyle name="Normal 6 5 3 4 2" xfId="9586" xr:uid="{6F7C0FBD-FF8D-47A1-AFF3-8CED0E8679DE}"/>
    <cellStyle name="Normal 6 5 3 5" xfId="9582" xr:uid="{A6E6D3EC-100A-4094-9521-6C8F4FA0ACE9}"/>
    <cellStyle name="Normal 6 5 4" xfId="4265" xr:uid="{00000000-0005-0000-0000-000071100000}"/>
    <cellStyle name="Normal 6 5 4 2" xfId="4266" xr:uid="{00000000-0005-0000-0000-000072100000}"/>
    <cellStyle name="Normal 6 5 4 2 2" xfId="9588" xr:uid="{2C688184-135F-41EB-9D94-CDB985D17514}"/>
    <cellStyle name="Normal 6 5 4 3" xfId="9587" xr:uid="{D4486671-986D-4F69-B079-CCC9C1D52C61}"/>
    <cellStyle name="Normal 6 5 5" xfId="4267" xr:uid="{00000000-0005-0000-0000-000073100000}"/>
    <cellStyle name="Normal 6 5 5 2" xfId="9589" xr:uid="{C4323B80-8153-4E00-B4F3-575463FE3158}"/>
    <cellStyle name="Normal 6 5 6" xfId="4268" xr:uid="{00000000-0005-0000-0000-000074100000}"/>
    <cellStyle name="Normal 6 5 6 2" xfId="9590" xr:uid="{D539053D-7787-40AE-BA1B-5DC02585C38D}"/>
    <cellStyle name="Normal 6 5 7" xfId="9575" xr:uid="{60AD1E2A-FC08-483A-A250-669CF48A7F55}"/>
    <cellStyle name="Normal 6 6" xfId="4269" xr:uid="{00000000-0005-0000-0000-000075100000}"/>
    <cellStyle name="Normal 6 6 2" xfId="4270" xr:uid="{00000000-0005-0000-0000-000076100000}"/>
    <cellStyle name="Normal 6 6 2 2" xfId="4271" xr:uid="{00000000-0005-0000-0000-000077100000}"/>
    <cellStyle name="Normal 6 6 2 2 2" xfId="9593" xr:uid="{A8067613-0595-4372-A121-969D6EB2F585}"/>
    <cellStyle name="Normal 6 6 2 3" xfId="4272" xr:uid="{00000000-0005-0000-0000-000078100000}"/>
    <cellStyle name="Normal 6 6 2 3 2" xfId="9594" xr:uid="{A12BF0A6-FCE6-4935-AC06-80F933A8B468}"/>
    <cellStyle name="Normal 6 6 2 4" xfId="9592" xr:uid="{DA243330-0AA3-4D28-84AB-80E7FBE08D23}"/>
    <cellStyle name="Normal 6 6 3" xfId="4273" xr:uid="{00000000-0005-0000-0000-000079100000}"/>
    <cellStyle name="Normal 6 6 3 2" xfId="9595" xr:uid="{C001BA73-5843-43AD-ABCD-2B6F8CBC818E}"/>
    <cellStyle name="Normal 6 6 4" xfId="4274" xr:uid="{00000000-0005-0000-0000-00007A100000}"/>
    <cellStyle name="Normal 6 6 4 2" xfId="9596" xr:uid="{4A51CD8E-BED5-4285-8699-F0B34D912A17}"/>
    <cellStyle name="Normal 6 6 5" xfId="9591" xr:uid="{4061A89F-1A53-40EF-9304-3E291365DFED}"/>
    <cellStyle name="Normal 6 7" xfId="4275" xr:uid="{00000000-0005-0000-0000-00007B100000}"/>
    <cellStyle name="Normal 6 7 2" xfId="4276" xr:uid="{00000000-0005-0000-0000-00007C100000}"/>
    <cellStyle name="Normal 6 7 2 2" xfId="4277" xr:uid="{00000000-0005-0000-0000-00007D100000}"/>
    <cellStyle name="Normal 6 7 2 2 2" xfId="9599" xr:uid="{C0B2DB79-18CB-49A8-BF96-92AFE5BF01A8}"/>
    <cellStyle name="Normal 6 7 2 3" xfId="9598" xr:uid="{7E355EC9-2D3A-4840-8C5F-674839D6326C}"/>
    <cellStyle name="Normal 6 7 3" xfId="4278" xr:uid="{00000000-0005-0000-0000-00007E100000}"/>
    <cellStyle name="Normal 6 7 3 2" xfId="9600" xr:uid="{B2D9E17E-A0B2-4FC7-B6AC-42D048443853}"/>
    <cellStyle name="Normal 6 7 4" xfId="4279" xr:uid="{00000000-0005-0000-0000-00007F100000}"/>
    <cellStyle name="Normal 6 7 4 2" xfId="9601" xr:uid="{A1792A0F-8762-4319-9C74-F8100D9D7B45}"/>
    <cellStyle name="Normal 6 7 5" xfId="9597" xr:uid="{BB50C1A3-B4DF-48A3-BA90-FB3D070B784F}"/>
    <cellStyle name="Normal 6 8" xfId="4280" xr:uid="{00000000-0005-0000-0000-000080100000}"/>
    <cellStyle name="Normal 6 8 2" xfId="4281" xr:uid="{00000000-0005-0000-0000-000081100000}"/>
    <cellStyle name="Normal 6 8 2 2" xfId="9603" xr:uid="{C25D0727-A008-49DB-8325-FEDE5DD18072}"/>
    <cellStyle name="Normal 6 8 3" xfId="4282" xr:uid="{00000000-0005-0000-0000-000082100000}"/>
    <cellStyle name="Normal 6 8 4" xfId="9602" xr:uid="{40E92724-BF71-48CF-8A5E-479FD0FF6C66}"/>
    <cellStyle name="Normal 6 9" xfId="4283" xr:uid="{00000000-0005-0000-0000-000083100000}"/>
    <cellStyle name="Normal 6 9 2" xfId="9604" xr:uid="{8D6D5FFA-0F31-42E5-8655-82F0768A6C51}"/>
    <cellStyle name="Normal 7" xfId="19" xr:uid="{00000000-0005-0000-0000-000084100000}"/>
    <cellStyle name="Normal 7 10" xfId="5355" xr:uid="{0BDADD5D-576B-44D4-A84F-3C663A6290D8}"/>
    <cellStyle name="Normal 7 2" xfId="185" xr:uid="{00000000-0005-0000-0000-000085100000}"/>
    <cellStyle name="Normal 7 2 10" xfId="4284" xr:uid="{00000000-0005-0000-0000-000086100000}"/>
    <cellStyle name="Normal 7 2 10 2" xfId="9605" xr:uid="{411C40D1-0AB3-435D-98E4-F7FA059E113D}"/>
    <cellStyle name="Normal 7 2 11" xfId="5519" xr:uid="{4DFA1E59-24DE-4F40-895B-0B4C3BDE59B1}"/>
    <cellStyle name="Normal 7 2 2" xfId="186" xr:uid="{00000000-0005-0000-0000-000087100000}"/>
    <cellStyle name="Normal 7 2 2 10" xfId="5520" xr:uid="{933014E5-758A-465B-BE80-F0282AE180B2}"/>
    <cellStyle name="Normal 7 2 2 2" xfId="187" xr:uid="{00000000-0005-0000-0000-000088100000}"/>
    <cellStyle name="Normal 7 2 2 2 2" xfId="4285" xr:uid="{00000000-0005-0000-0000-000089100000}"/>
    <cellStyle name="Normal 7 2 2 2 2 2" xfId="4286" xr:uid="{00000000-0005-0000-0000-00008A100000}"/>
    <cellStyle name="Normal 7 2 2 2 2 2 2" xfId="4287" xr:uid="{00000000-0005-0000-0000-00008B100000}"/>
    <cellStyle name="Normal 7 2 2 2 2 2 2 2" xfId="9608" xr:uid="{A0FED610-E7D9-4E8D-8EB2-D28BCE99B482}"/>
    <cellStyle name="Normal 7 2 2 2 2 2 3" xfId="4288" xr:uid="{00000000-0005-0000-0000-00008C100000}"/>
    <cellStyle name="Normal 7 2 2 2 2 2 3 2" xfId="9609" xr:uid="{D5562528-2EED-47A9-ADC5-252E515765B6}"/>
    <cellStyle name="Normal 7 2 2 2 2 2 4" xfId="9607" xr:uid="{7F76156E-371D-467E-B417-60D257F85F01}"/>
    <cellStyle name="Normal 7 2 2 2 2 3" xfId="4289" xr:uid="{00000000-0005-0000-0000-00008D100000}"/>
    <cellStyle name="Normal 7 2 2 2 2 3 2" xfId="9610" xr:uid="{BC7122C5-3772-4E41-B788-CEE8BF666A11}"/>
    <cellStyle name="Normal 7 2 2 2 2 4" xfId="4290" xr:uid="{00000000-0005-0000-0000-00008E100000}"/>
    <cellStyle name="Normal 7 2 2 2 2 4 2" xfId="9611" xr:uid="{A3C8531C-6AE6-452C-B3DA-D601C5021C05}"/>
    <cellStyle name="Normal 7 2 2 2 2 5" xfId="9606" xr:uid="{642C4805-E851-47FD-BB4C-F877D2F2A958}"/>
    <cellStyle name="Normal 7 2 2 2 3" xfId="4291" xr:uid="{00000000-0005-0000-0000-00008F100000}"/>
    <cellStyle name="Normal 7 2 2 2 3 2" xfId="4292" xr:uid="{00000000-0005-0000-0000-000090100000}"/>
    <cellStyle name="Normal 7 2 2 2 3 2 2" xfId="4293" xr:uid="{00000000-0005-0000-0000-000091100000}"/>
    <cellStyle name="Normal 7 2 2 2 3 2 2 2" xfId="9614" xr:uid="{F706F732-08A1-456C-9EE3-E9BDB76DA643}"/>
    <cellStyle name="Normal 7 2 2 2 3 2 3" xfId="9613" xr:uid="{23362DA2-B25E-49F4-AFB6-82864390BFE3}"/>
    <cellStyle name="Normal 7 2 2 2 3 3" xfId="4294" xr:uid="{00000000-0005-0000-0000-000092100000}"/>
    <cellStyle name="Normal 7 2 2 2 3 3 2" xfId="9615" xr:uid="{2AB49A2F-2D79-4EDB-A82A-8701D4962017}"/>
    <cellStyle name="Normal 7 2 2 2 3 4" xfId="4295" xr:uid="{00000000-0005-0000-0000-000093100000}"/>
    <cellStyle name="Normal 7 2 2 2 3 4 2" xfId="9616" xr:uid="{D5203A35-8978-41B0-8203-1809D094E1D4}"/>
    <cellStyle name="Normal 7 2 2 2 3 5" xfId="9612" xr:uid="{C81EC1B6-D77C-41DD-A0F7-C1EC65CFFA27}"/>
    <cellStyle name="Normal 7 2 2 2 4" xfId="4296" xr:uid="{00000000-0005-0000-0000-000094100000}"/>
    <cellStyle name="Normal 7 2 2 2 4 2" xfId="4297" xr:uid="{00000000-0005-0000-0000-000095100000}"/>
    <cellStyle name="Normal 7 2 2 2 4 2 2" xfId="9618" xr:uid="{06418F21-999C-4672-9476-711CFE4E9720}"/>
    <cellStyle name="Normal 7 2 2 2 4 3" xfId="9617" xr:uid="{5B41D658-4BEB-496F-9989-A895BE740404}"/>
    <cellStyle name="Normal 7 2 2 2 5" xfId="4298" xr:uid="{00000000-0005-0000-0000-000096100000}"/>
    <cellStyle name="Normal 7 2 2 2 5 2" xfId="4299" xr:uid="{00000000-0005-0000-0000-000097100000}"/>
    <cellStyle name="Normal 7 2 2 2 5 2 2" xfId="9620" xr:uid="{DFC74A03-A156-466E-B500-60A12ADC5156}"/>
    <cellStyle name="Normal 7 2 2 2 5 3" xfId="9619" xr:uid="{9D94B044-A685-4A6C-94B8-D77CE25C1B67}"/>
    <cellStyle name="Normal 7 2 2 2 6" xfId="4300" xr:uid="{00000000-0005-0000-0000-000098100000}"/>
    <cellStyle name="Normal 7 2 2 2 6 2" xfId="4301" xr:uid="{00000000-0005-0000-0000-000099100000}"/>
    <cellStyle name="Normal 7 2 2 2 6 2 2" xfId="9622" xr:uid="{DF58F16A-C8D1-41BB-9096-846D8FED5F73}"/>
    <cellStyle name="Normal 7 2 2 2 6 3" xfId="9621" xr:uid="{BEBF21C1-4E0E-437A-934B-43951039132B}"/>
    <cellStyle name="Normal 7 2 2 2 7" xfId="4302" xr:uid="{00000000-0005-0000-0000-00009A100000}"/>
    <cellStyle name="Normal 7 2 2 2 7 2" xfId="9623" xr:uid="{0A51FB46-056D-4922-8B02-7D1946ACE1B5}"/>
    <cellStyle name="Normal 7 2 2 2 8" xfId="4303" xr:uid="{00000000-0005-0000-0000-00009B100000}"/>
    <cellStyle name="Normal 7 2 2 2 8 2" xfId="9624" xr:uid="{48C1A5A4-979E-4661-9575-414AC63D6FF6}"/>
    <cellStyle name="Normal 7 2 2 2 9" xfId="5521" xr:uid="{B5D85707-FB6B-463D-8A4B-A7F5BA7DDEDF}"/>
    <cellStyle name="Normal 7 2 2 3" xfId="4304" xr:uid="{00000000-0005-0000-0000-00009C100000}"/>
    <cellStyle name="Normal 7 2 2 3 2" xfId="4305" xr:uid="{00000000-0005-0000-0000-00009D100000}"/>
    <cellStyle name="Normal 7 2 2 3 2 2" xfId="4306" xr:uid="{00000000-0005-0000-0000-00009E100000}"/>
    <cellStyle name="Normal 7 2 2 3 2 2 2" xfId="9627" xr:uid="{E4D26C14-A7B3-498B-BA54-BE58F6D93895}"/>
    <cellStyle name="Normal 7 2 2 3 2 3" xfId="4307" xr:uid="{00000000-0005-0000-0000-00009F100000}"/>
    <cellStyle name="Normal 7 2 2 3 2 3 2" xfId="9628" xr:uid="{76E43D34-F2EA-47ED-801F-3F28C6B96548}"/>
    <cellStyle name="Normal 7 2 2 3 2 4" xfId="9626" xr:uid="{5B56B70D-7C52-4EC4-AA6B-36DF91FBED91}"/>
    <cellStyle name="Normal 7 2 2 3 3" xfId="4308" xr:uid="{00000000-0005-0000-0000-0000A0100000}"/>
    <cellStyle name="Normal 7 2 2 3 3 2" xfId="9629" xr:uid="{743F2F5B-2645-4073-BBDB-CA014EDFB2B2}"/>
    <cellStyle name="Normal 7 2 2 3 4" xfId="4309" xr:uid="{00000000-0005-0000-0000-0000A1100000}"/>
    <cellStyle name="Normal 7 2 2 3 4 2" xfId="9630" xr:uid="{97ECD68D-D5EC-45B9-A33F-8BCEAB0F5AFB}"/>
    <cellStyle name="Normal 7 2 2 3 5" xfId="9625" xr:uid="{9A6A318D-1CE7-43B8-9721-0613DD37C48F}"/>
    <cellStyle name="Normal 7 2 2 4" xfId="4310" xr:uid="{00000000-0005-0000-0000-0000A2100000}"/>
    <cellStyle name="Normal 7 2 2 4 2" xfId="4311" xr:uid="{00000000-0005-0000-0000-0000A3100000}"/>
    <cellStyle name="Normal 7 2 2 4 2 2" xfId="4312" xr:uid="{00000000-0005-0000-0000-0000A4100000}"/>
    <cellStyle name="Normal 7 2 2 4 2 2 2" xfId="9633" xr:uid="{5139BE43-3D98-4D9C-81AB-C42C38905F69}"/>
    <cellStyle name="Normal 7 2 2 4 2 3" xfId="9632" xr:uid="{9CB8CF2E-2320-4149-9F9D-40E319169BB2}"/>
    <cellStyle name="Normal 7 2 2 4 3" xfId="4313" xr:uid="{00000000-0005-0000-0000-0000A5100000}"/>
    <cellStyle name="Normal 7 2 2 4 3 2" xfId="9634" xr:uid="{924DC6EB-586C-4524-919F-346B8225984D}"/>
    <cellStyle name="Normal 7 2 2 4 4" xfId="4314" xr:uid="{00000000-0005-0000-0000-0000A6100000}"/>
    <cellStyle name="Normal 7 2 2 4 4 2" xfId="9635" xr:uid="{5ECAC8F6-971C-4F95-A830-847D8F0021F8}"/>
    <cellStyle name="Normal 7 2 2 4 5" xfId="9631" xr:uid="{AD22863E-4147-4B5C-953D-9A4308C8CF0A}"/>
    <cellStyle name="Normal 7 2 2 5" xfId="4315" xr:uid="{00000000-0005-0000-0000-0000A7100000}"/>
    <cellStyle name="Normal 7 2 2 5 2" xfId="4316" xr:uid="{00000000-0005-0000-0000-0000A8100000}"/>
    <cellStyle name="Normal 7 2 2 5 2 2" xfId="9637" xr:uid="{60AD8BFF-B715-44A2-A214-4EEBD12867FD}"/>
    <cellStyle name="Normal 7 2 2 5 3" xfId="9636" xr:uid="{51D4D263-6840-4B78-9593-86A56A1E2608}"/>
    <cellStyle name="Normal 7 2 2 6" xfId="4317" xr:uid="{00000000-0005-0000-0000-0000A9100000}"/>
    <cellStyle name="Normal 7 2 2 6 2" xfId="4318" xr:uid="{00000000-0005-0000-0000-0000AA100000}"/>
    <cellStyle name="Normal 7 2 2 6 2 2" xfId="9639" xr:uid="{E98C454C-7913-4ED9-96BA-FD48162C3622}"/>
    <cellStyle name="Normal 7 2 2 6 3" xfId="9638" xr:uid="{99875719-5D55-4763-A9D3-C5D83EA663AF}"/>
    <cellStyle name="Normal 7 2 2 7" xfId="4319" xr:uid="{00000000-0005-0000-0000-0000AB100000}"/>
    <cellStyle name="Normal 7 2 2 7 2" xfId="4320" xr:uid="{00000000-0005-0000-0000-0000AC100000}"/>
    <cellStyle name="Normal 7 2 2 7 2 2" xfId="9641" xr:uid="{71ADF66D-E919-4382-8BB7-6595E9CBAB9B}"/>
    <cellStyle name="Normal 7 2 2 7 3" xfId="9640" xr:uid="{535106C7-13E5-4F42-BE13-72B462127BCF}"/>
    <cellStyle name="Normal 7 2 2 8" xfId="4321" xr:uid="{00000000-0005-0000-0000-0000AD100000}"/>
    <cellStyle name="Normal 7 2 2 8 2" xfId="9642" xr:uid="{06648DF8-752E-4EB1-A029-EDB303D8736D}"/>
    <cellStyle name="Normal 7 2 2 9" xfId="4322" xr:uid="{00000000-0005-0000-0000-0000AE100000}"/>
    <cellStyle name="Normal 7 2 2 9 2" xfId="9643" xr:uid="{80400F9E-50A9-4662-A7E8-B02521C9AF3E}"/>
    <cellStyle name="Normal 7 2 3" xfId="188" xr:uid="{00000000-0005-0000-0000-0000AF100000}"/>
    <cellStyle name="Normal 7 2 3 2" xfId="4323" xr:uid="{00000000-0005-0000-0000-0000B0100000}"/>
    <cellStyle name="Normal 7 2 3 2 2" xfId="4324" xr:uid="{00000000-0005-0000-0000-0000B1100000}"/>
    <cellStyle name="Normal 7 2 3 2 2 2" xfId="4325" xr:uid="{00000000-0005-0000-0000-0000B2100000}"/>
    <cellStyle name="Normal 7 2 3 2 2 2 2" xfId="9646" xr:uid="{E523FEB2-7FB9-48F8-93C1-DB1260484F17}"/>
    <cellStyle name="Normal 7 2 3 2 2 3" xfId="4326" xr:uid="{00000000-0005-0000-0000-0000B3100000}"/>
    <cellStyle name="Normal 7 2 3 2 2 3 2" xfId="9647" xr:uid="{84E3CE82-3F80-4EC6-BF1E-0C9A8727FEBA}"/>
    <cellStyle name="Normal 7 2 3 2 2 4" xfId="9645" xr:uid="{1B738913-41B9-4CAE-A1EC-1FA73B62CB9E}"/>
    <cellStyle name="Normal 7 2 3 2 3" xfId="4327" xr:uid="{00000000-0005-0000-0000-0000B4100000}"/>
    <cellStyle name="Normal 7 2 3 2 3 2" xfId="9648" xr:uid="{6C7BBDE4-EEB3-4CE5-95E7-9F0FEA1970E1}"/>
    <cellStyle name="Normal 7 2 3 2 4" xfId="4328" xr:uid="{00000000-0005-0000-0000-0000B5100000}"/>
    <cellStyle name="Normal 7 2 3 2 4 2" xfId="9649" xr:uid="{30A6201A-CB74-461D-8781-42F1B4F3DFDD}"/>
    <cellStyle name="Normal 7 2 3 2 5" xfId="9644" xr:uid="{FBA99F3B-A96B-4EAB-9397-F4C48B5E3424}"/>
    <cellStyle name="Normal 7 2 3 3" xfId="4329" xr:uid="{00000000-0005-0000-0000-0000B6100000}"/>
    <cellStyle name="Normal 7 2 3 3 2" xfId="4330" xr:uid="{00000000-0005-0000-0000-0000B7100000}"/>
    <cellStyle name="Normal 7 2 3 3 2 2" xfId="4331" xr:uid="{00000000-0005-0000-0000-0000B8100000}"/>
    <cellStyle name="Normal 7 2 3 3 2 2 2" xfId="9652" xr:uid="{C42BC464-B88A-4348-8D8B-F2B22B80569C}"/>
    <cellStyle name="Normal 7 2 3 3 2 3" xfId="9651" xr:uid="{1F933F50-1D7E-43AF-B9A4-CC23F19E293D}"/>
    <cellStyle name="Normal 7 2 3 3 3" xfId="4332" xr:uid="{00000000-0005-0000-0000-0000B9100000}"/>
    <cellStyle name="Normal 7 2 3 3 3 2" xfId="9653" xr:uid="{F92B27A2-E69C-4D28-AC7E-6CF7550FC2F5}"/>
    <cellStyle name="Normal 7 2 3 3 4" xfId="4333" xr:uid="{00000000-0005-0000-0000-0000BA100000}"/>
    <cellStyle name="Normal 7 2 3 3 4 2" xfId="9654" xr:uid="{65486D47-A69C-4928-9989-62BA0063EAE2}"/>
    <cellStyle name="Normal 7 2 3 3 5" xfId="9650" xr:uid="{BF30A212-DC01-441A-AC16-4E1FAC30EBF2}"/>
    <cellStyle name="Normal 7 2 3 4" xfId="4334" xr:uid="{00000000-0005-0000-0000-0000BB100000}"/>
    <cellStyle name="Normal 7 2 3 4 2" xfId="4335" xr:uid="{00000000-0005-0000-0000-0000BC100000}"/>
    <cellStyle name="Normal 7 2 3 4 2 2" xfId="9656" xr:uid="{C4F7ABF2-4E5B-41E2-803E-3F6EA563477C}"/>
    <cellStyle name="Normal 7 2 3 4 3" xfId="9655" xr:uid="{8B32FF70-3866-437F-8131-CE766917B684}"/>
    <cellStyle name="Normal 7 2 3 5" xfId="4336" xr:uid="{00000000-0005-0000-0000-0000BD100000}"/>
    <cellStyle name="Normal 7 2 3 5 2" xfId="4337" xr:uid="{00000000-0005-0000-0000-0000BE100000}"/>
    <cellStyle name="Normal 7 2 3 5 2 2" xfId="9658" xr:uid="{AE5C406F-BEBF-4203-B7C1-A2CA08A3A2FA}"/>
    <cellStyle name="Normal 7 2 3 5 3" xfId="9657" xr:uid="{18D298F1-1E21-424A-8C44-3FC5B28DA093}"/>
    <cellStyle name="Normal 7 2 3 6" xfId="4338" xr:uid="{00000000-0005-0000-0000-0000BF100000}"/>
    <cellStyle name="Normal 7 2 3 6 2" xfId="4339" xr:uid="{00000000-0005-0000-0000-0000C0100000}"/>
    <cellStyle name="Normal 7 2 3 6 2 2" xfId="9660" xr:uid="{D9133B2B-7ACC-49D9-8CAF-CD2CD4B60D96}"/>
    <cellStyle name="Normal 7 2 3 6 3" xfId="9659" xr:uid="{E1F5F541-5BD4-4419-972D-CDD215316E15}"/>
    <cellStyle name="Normal 7 2 3 7" xfId="4340" xr:uid="{00000000-0005-0000-0000-0000C1100000}"/>
    <cellStyle name="Normal 7 2 3 7 2" xfId="9661" xr:uid="{AD44A716-5E61-407E-A2A2-4378E0928108}"/>
    <cellStyle name="Normal 7 2 3 8" xfId="4341" xr:uid="{00000000-0005-0000-0000-0000C2100000}"/>
    <cellStyle name="Normal 7 2 3 8 2" xfId="9662" xr:uid="{8986259E-D10D-4F98-AEBB-03D0D83B20D2}"/>
    <cellStyle name="Normal 7 2 3 9" xfId="5522" xr:uid="{82AF51DF-8E0B-4A04-BE41-8C9E7B415E13}"/>
    <cellStyle name="Normal 7 2 4" xfId="4342" xr:uid="{00000000-0005-0000-0000-0000C3100000}"/>
    <cellStyle name="Normal 7 2 4 2" xfId="4343" xr:uid="{00000000-0005-0000-0000-0000C4100000}"/>
    <cellStyle name="Normal 7 2 4 2 2" xfId="4344" xr:uid="{00000000-0005-0000-0000-0000C5100000}"/>
    <cellStyle name="Normal 7 2 4 2 2 2" xfId="9665" xr:uid="{5E33792F-F821-494F-B3FD-DBF0252A5219}"/>
    <cellStyle name="Normal 7 2 4 2 3" xfId="4345" xr:uid="{00000000-0005-0000-0000-0000C6100000}"/>
    <cellStyle name="Normal 7 2 4 2 3 2" xfId="9666" xr:uid="{0BAFAF7D-A2CD-4E40-8B52-D961F3F63883}"/>
    <cellStyle name="Normal 7 2 4 2 4" xfId="9664" xr:uid="{1A2E598C-82BC-41D0-B74F-A27B39D36F36}"/>
    <cellStyle name="Normal 7 2 4 3" xfId="4346" xr:uid="{00000000-0005-0000-0000-0000C7100000}"/>
    <cellStyle name="Normal 7 2 4 3 2" xfId="9667" xr:uid="{E48BDB87-1E83-4ACC-B576-10D8EA8B7A15}"/>
    <cellStyle name="Normal 7 2 4 4" xfId="4347" xr:uid="{00000000-0005-0000-0000-0000C8100000}"/>
    <cellStyle name="Normal 7 2 4 4 2" xfId="9668" xr:uid="{7A3AC6C1-0C53-4021-8F1E-43C14FA632F5}"/>
    <cellStyle name="Normal 7 2 4 5" xfId="9663" xr:uid="{8798AECC-394F-4B3E-88A7-70E158FBDA85}"/>
    <cellStyle name="Normal 7 2 5" xfId="4348" xr:uid="{00000000-0005-0000-0000-0000C9100000}"/>
    <cellStyle name="Normal 7 2 5 2" xfId="4349" xr:uid="{00000000-0005-0000-0000-0000CA100000}"/>
    <cellStyle name="Normal 7 2 5 2 2" xfId="4350" xr:uid="{00000000-0005-0000-0000-0000CB100000}"/>
    <cellStyle name="Normal 7 2 5 2 2 2" xfId="9671" xr:uid="{F0E1DE29-5674-46D0-973B-6C5C33C18FAB}"/>
    <cellStyle name="Normal 7 2 5 2 3" xfId="9670" xr:uid="{0F20BCCE-C374-4762-BC8C-1C8AE00A8213}"/>
    <cellStyle name="Normal 7 2 5 3" xfId="4351" xr:uid="{00000000-0005-0000-0000-0000CC100000}"/>
    <cellStyle name="Normal 7 2 5 3 2" xfId="9672" xr:uid="{E1E8FA19-679C-4A28-9CAF-9A1B3BFE6CD2}"/>
    <cellStyle name="Normal 7 2 5 4" xfId="4352" xr:uid="{00000000-0005-0000-0000-0000CD100000}"/>
    <cellStyle name="Normal 7 2 5 4 2" xfId="9673" xr:uid="{14F51711-77FD-41DA-87DA-3F96B445158D}"/>
    <cellStyle name="Normal 7 2 5 5" xfId="9669" xr:uid="{8F405562-0D27-4646-A231-8BA7FF868B88}"/>
    <cellStyle name="Normal 7 2 6" xfId="4353" xr:uid="{00000000-0005-0000-0000-0000CE100000}"/>
    <cellStyle name="Normal 7 2 6 2" xfId="4354" xr:uid="{00000000-0005-0000-0000-0000CF100000}"/>
    <cellStyle name="Normal 7 2 6 2 2" xfId="9675" xr:uid="{1514D8E8-EF00-42FC-B768-8F41C2CBAB39}"/>
    <cellStyle name="Normal 7 2 6 3" xfId="9674" xr:uid="{C6755D34-6D28-45D6-9C21-24FC4F9D9701}"/>
    <cellStyle name="Normal 7 2 7" xfId="4355" xr:uid="{00000000-0005-0000-0000-0000D0100000}"/>
    <cellStyle name="Normal 7 2 7 2" xfId="4356" xr:uid="{00000000-0005-0000-0000-0000D1100000}"/>
    <cellStyle name="Normal 7 2 7 2 2" xfId="9677" xr:uid="{7AFE36C0-0510-42FC-8C5E-A971E9B690D2}"/>
    <cellStyle name="Normal 7 2 7 3" xfId="9676" xr:uid="{1E1575F9-2B9D-4AE9-AD94-C280FCE7BBAD}"/>
    <cellStyle name="Normal 7 2 8" xfId="4357" xr:uid="{00000000-0005-0000-0000-0000D2100000}"/>
    <cellStyle name="Normal 7 2 8 2" xfId="4358" xr:uid="{00000000-0005-0000-0000-0000D3100000}"/>
    <cellStyle name="Normal 7 2 8 2 2" xfId="9679" xr:uid="{4308A746-2954-4730-9178-F29CEE2D69C4}"/>
    <cellStyle name="Normal 7 2 8 3" xfId="9678" xr:uid="{73B193A8-2D02-4365-B38D-393C2B9BADBF}"/>
    <cellStyle name="Normal 7 2 9" xfId="4359" xr:uid="{00000000-0005-0000-0000-0000D4100000}"/>
    <cellStyle name="Normal 7 2 9 2" xfId="9680" xr:uid="{D40B8064-7BDA-4C0D-A5AC-CCF1BCA81491}"/>
    <cellStyle name="Normal 7 3" xfId="189" xr:uid="{00000000-0005-0000-0000-0000D5100000}"/>
    <cellStyle name="Normal 7 3 10" xfId="5523" xr:uid="{F48B9E3F-8F77-46C6-A10C-91991D2CC488}"/>
    <cellStyle name="Normal 7 3 2" xfId="190" xr:uid="{00000000-0005-0000-0000-0000D6100000}"/>
    <cellStyle name="Normal 7 3 2 2" xfId="4360" xr:uid="{00000000-0005-0000-0000-0000D7100000}"/>
    <cellStyle name="Normal 7 3 2 2 2" xfId="4361" xr:uid="{00000000-0005-0000-0000-0000D8100000}"/>
    <cellStyle name="Normal 7 3 2 2 2 2" xfId="4362" xr:uid="{00000000-0005-0000-0000-0000D9100000}"/>
    <cellStyle name="Normal 7 3 2 2 2 2 2" xfId="9683" xr:uid="{93B31CE5-B376-4CEF-BDEB-12C16F56FBEA}"/>
    <cellStyle name="Normal 7 3 2 2 2 3" xfId="4363" xr:uid="{00000000-0005-0000-0000-0000DA100000}"/>
    <cellStyle name="Normal 7 3 2 2 2 3 2" xfId="9684" xr:uid="{2E0E9E15-35DA-467B-9C5F-B9BAEF5F849C}"/>
    <cellStyle name="Normal 7 3 2 2 2 4" xfId="9682" xr:uid="{DC6EA043-C07E-4638-B8B9-F199404B31B8}"/>
    <cellStyle name="Normal 7 3 2 2 3" xfId="4364" xr:uid="{00000000-0005-0000-0000-0000DB100000}"/>
    <cellStyle name="Normal 7 3 2 2 3 2" xfId="9685" xr:uid="{7EA51076-31DC-4560-8973-7082752BECFF}"/>
    <cellStyle name="Normal 7 3 2 2 4" xfId="4365" xr:uid="{00000000-0005-0000-0000-0000DC100000}"/>
    <cellStyle name="Normal 7 3 2 2 4 2" xfId="9686" xr:uid="{D475E42D-7502-4F05-AB72-F56778852343}"/>
    <cellStyle name="Normal 7 3 2 2 5" xfId="9681" xr:uid="{F0486968-FD13-4D72-AB74-3A5D09734F9D}"/>
    <cellStyle name="Normal 7 3 2 3" xfId="4366" xr:uid="{00000000-0005-0000-0000-0000DD100000}"/>
    <cellStyle name="Normal 7 3 2 3 2" xfId="4367" xr:uid="{00000000-0005-0000-0000-0000DE100000}"/>
    <cellStyle name="Normal 7 3 2 3 2 2" xfId="4368" xr:uid="{00000000-0005-0000-0000-0000DF100000}"/>
    <cellStyle name="Normal 7 3 2 3 2 2 2" xfId="9689" xr:uid="{1ED1EA0D-D516-4ECB-8437-0A98E70316D8}"/>
    <cellStyle name="Normal 7 3 2 3 2 3" xfId="9688" xr:uid="{0D84B409-44C2-4F58-97AA-0C04C22F93C6}"/>
    <cellStyle name="Normal 7 3 2 3 3" xfId="4369" xr:uid="{00000000-0005-0000-0000-0000E0100000}"/>
    <cellStyle name="Normal 7 3 2 3 3 2" xfId="9690" xr:uid="{AFB9DD6C-2097-4AE0-A1A8-CC0052F484FA}"/>
    <cellStyle name="Normal 7 3 2 3 4" xfId="4370" xr:uid="{00000000-0005-0000-0000-0000E1100000}"/>
    <cellStyle name="Normal 7 3 2 3 4 2" xfId="9691" xr:uid="{63DEBB51-78C4-4785-A280-7C29E33B3F56}"/>
    <cellStyle name="Normal 7 3 2 3 5" xfId="9687" xr:uid="{18721810-3543-42E8-8358-11129FED0B93}"/>
    <cellStyle name="Normal 7 3 2 4" xfId="4371" xr:uid="{00000000-0005-0000-0000-0000E2100000}"/>
    <cellStyle name="Normal 7 3 2 4 2" xfId="4372" xr:uid="{00000000-0005-0000-0000-0000E3100000}"/>
    <cellStyle name="Normal 7 3 2 4 2 2" xfId="9693" xr:uid="{B287AFCB-871E-4BA0-8F85-FF5A3BB661E1}"/>
    <cellStyle name="Normal 7 3 2 4 3" xfId="9692" xr:uid="{FCAFD94D-FAAA-4A2E-B0F2-2A9E5ABD6FE0}"/>
    <cellStyle name="Normal 7 3 2 5" xfId="4373" xr:uid="{00000000-0005-0000-0000-0000E4100000}"/>
    <cellStyle name="Normal 7 3 2 5 2" xfId="4374" xr:uid="{00000000-0005-0000-0000-0000E5100000}"/>
    <cellStyle name="Normal 7 3 2 5 2 2" xfId="9695" xr:uid="{9126073D-8AAF-4281-9C18-DB56A39E16E0}"/>
    <cellStyle name="Normal 7 3 2 5 3" xfId="9694" xr:uid="{7E6384CB-8FE6-4E6D-B845-9F2A5D388263}"/>
    <cellStyle name="Normal 7 3 2 6" xfId="4375" xr:uid="{00000000-0005-0000-0000-0000E6100000}"/>
    <cellStyle name="Normal 7 3 2 6 2" xfId="4376" xr:uid="{00000000-0005-0000-0000-0000E7100000}"/>
    <cellStyle name="Normal 7 3 2 6 2 2" xfId="9697" xr:uid="{F62CB791-57E4-4895-8A9D-803ED47D16C4}"/>
    <cellStyle name="Normal 7 3 2 6 3" xfId="9696" xr:uid="{77BA2FA3-3F00-42B7-9A18-52B01D038971}"/>
    <cellStyle name="Normal 7 3 2 7" xfId="4377" xr:uid="{00000000-0005-0000-0000-0000E8100000}"/>
    <cellStyle name="Normal 7 3 2 7 2" xfId="9698" xr:uid="{3D9F9C39-F733-4376-943A-09391D211325}"/>
    <cellStyle name="Normal 7 3 2 8" xfId="4378" xr:uid="{00000000-0005-0000-0000-0000E9100000}"/>
    <cellStyle name="Normal 7 3 2 8 2" xfId="9699" xr:uid="{4CB86146-3C64-4D1E-9C8A-B42D9FBB1155}"/>
    <cellStyle name="Normal 7 3 2 9" xfId="5524" xr:uid="{D246DFCF-1CCB-4CFE-A39F-CB4110E0056B}"/>
    <cellStyle name="Normal 7 3 3" xfId="4379" xr:uid="{00000000-0005-0000-0000-0000EA100000}"/>
    <cellStyle name="Normal 7 3 3 2" xfId="4380" xr:uid="{00000000-0005-0000-0000-0000EB100000}"/>
    <cellStyle name="Normal 7 3 3 2 2" xfId="4381" xr:uid="{00000000-0005-0000-0000-0000EC100000}"/>
    <cellStyle name="Normal 7 3 3 2 2 2" xfId="9702" xr:uid="{EECBCDC7-FF0C-4EC0-8B31-4E836DB9F4DF}"/>
    <cellStyle name="Normal 7 3 3 2 3" xfId="4382" xr:uid="{00000000-0005-0000-0000-0000ED100000}"/>
    <cellStyle name="Normal 7 3 3 2 3 2" xfId="9703" xr:uid="{D485C9D3-8B56-4349-81CF-61F9463EEDF9}"/>
    <cellStyle name="Normal 7 3 3 2 4" xfId="9701" xr:uid="{2296F5F6-994D-41C5-9DB5-C58E46CAD927}"/>
    <cellStyle name="Normal 7 3 3 3" xfId="4383" xr:uid="{00000000-0005-0000-0000-0000EE100000}"/>
    <cellStyle name="Normal 7 3 3 3 2" xfId="9704" xr:uid="{5035EF06-8B2A-4063-B85E-D3C273B9C64D}"/>
    <cellStyle name="Normal 7 3 3 4" xfId="4384" xr:uid="{00000000-0005-0000-0000-0000EF100000}"/>
    <cellStyle name="Normal 7 3 3 4 2" xfId="9705" xr:uid="{DF798DBC-4659-40AA-9AC2-341D226455A3}"/>
    <cellStyle name="Normal 7 3 3 5" xfId="9700" xr:uid="{0E9D6049-E798-493F-9225-7FEF7514DC51}"/>
    <cellStyle name="Normal 7 3 4" xfId="4385" xr:uid="{00000000-0005-0000-0000-0000F0100000}"/>
    <cellStyle name="Normal 7 3 4 2" xfId="4386" xr:uid="{00000000-0005-0000-0000-0000F1100000}"/>
    <cellStyle name="Normal 7 3 4 2 2" xfId="4387" xr:uid="{00000000-0005-0000-0000-0000F2100000}"/>
    <cellStyle name="Normal 7 3 4 2 2 2" xfId="9708" xr:uid="{8C7D2631-B940-4C0E-B75D-AA7E826655B7}"/>
    <cellStyle name="Normal 7 3 4 2 3" xfId="9707" xr:uid="{92A05E49-5E1C-4D71-BA13-28CD7EEB40A0}"/>
    <cellStyle name="Normal 7 3 4 3" xfId="4388" xr:uid="{00000000-0005-0000-0000-0000F3100000}"/>
    <cellStyle name="Normal 7 3 4 3 2" xfId="9709" xr:uid="{A7BD43E6-9E39-43CE-9E2F-E2C229B965DC}"/>
    <cellStyle name="Normal 7 3 4 4" xfId="4389" xr:uid="{00000000-0005-0000-0000-0000F4100000}"/>
    <cellStyle name="Normal 7 3 4 4 2" xfId="9710" xr:uid="{79B9D3B9-ED2E-428A-A8D5-091F858A8E06}"/>
    <cellStyle name="Normal 7 3 4 5" xfId="9706" xr:uid="{60193B09-E6EC-4B46-9397-766FDCF3F37A}"/>
    <cellStyle name="Normal 7 3 5" xfId="4390" xr:uid="{00000000-0005-0000-0000-0000F5100000}"/>
    <cellStyle name="Normal 7 3 5 2" xfId="4391" xr:uid="{00000000-0005-0000-0000-0000F6100000}"/>
    <cellStyle name="Normal 7 3 5 2 2" xfId="9712" xr:uid="{3FFF07B5-33A1-46E1-8834-B4942F9A2828}"/>
    <cellStyle name="Normal 7 3 5 3" xfId="9711" xr:uid="{BFA7AEFC-3052-41D5-9BEF-F1697F4A49CB}"/>
    <cellStyle name="Normal 7 3 6" xfId="4392" xr:uid="{00000000-0005-0000-0000-0000F7100000}"/>
    <cellStyle name="Normal 7 3 6 2" xfId="4393" xr:uid="{00000000-0005-0000-0000-0000F8100000}"/>
    <cellStyle name="Normal 7 3 6 2 2" xfId="9714" xr:uid="{A19E4E6F-7962-4859-BE38-ECD670262A39}"/>
    <cellStyle name="Normal 7 3 6 3" xfId="9713" xr:uid="{18F968AD-E0DB-4B16-9611-6B44ABB5450E}"/>
    <cellStyle name="Normal 7 3 7" xfId="4394" xr:uid="{00000000-0005-0000-0000-0000F9100000}"/>
    <cellStyle name="Normal 7 3 7 2" xfId="4395" xr:uid="{00000000-0005-0000-0000-0000FA100000}"/>
    <cellStyle name="Normal 7 3 7 2 2" xfId="9716" xr:uid="{A4881BE1-1F61-4752-A1AE-4E40F3CE655A}"/>
    <cellStyle name="Normal 7 3 7 3" xfId="9715" xr:uid="{CB1EE8C6-CA35-4CC9-993E-21AC5993A7B4}"/>
    <cellStyle name="Normal 7 3 8" xfId="4396" xr:uid="{00000000-0005-0000-0000-0000FB100000}"/>
    <cellStyle name="Normal 7 3 8 2" xfId="9717" xr:uid="{16B62540-2844-4E9E-AE97-C4FFEADA2EDD}"/>
    <cellStyle name="Normal 7 3 9" xfId="4397" xr:uid="{00000000-0005-0000-0000-0000FC100000}"/>
    <cellStyle name="Normal 7 3 9 2" xfId="9718" xr:uid="{B9268E67-CB78-456E-935E-B9EB48DF0069}"/>
    <cellStyle name="Normal 7 4" xfId="191" xr:uid="{00000000-0005-0000-0000-0000FD100000}"/>
    <cellStyle name="Normal 7 4 10" xfId="5525" xr:uid="{60CEDA9B-3819-4805-8AB3-5080EA694C42}"/>
    <cellStyle name="Normal 7 4 2" xfId="4398" xr:uid="{00000000-0005-0000-0000-0000FE100000}"/>
    <cellStyle name="Normal 7 4 2 2" xfId="4399" xr:uid="{00000000-0005-0000-0000-0000FF100000}"/>
    <cellStyle name="Normal 7 4 2 2 2" xfId="4400" xr:uid="{00000000-0005-0000-0000-000000110000}"/>
    <cellStyle name="Normal 7 4 2 2 2 2" xfId="4401" xr:uid="{00000000-0005-0000-0000-000001110000}"/>
    <cellStyle name="Normal 7 4 2 2 2 2 2" xfId="9722" xr:uid="{E67D0791-C27B-425B-B85A-AE4B27E56B02}"/>
    <cellStyle name="Normal 7 4 2 2 2 3" xfId="4402" xr:uid="{00000000-0005-0000-0000-000002110000}"/>
    <cellStyle name="Normal 7 4 2 2 2 3 2" xfId="9723" xr:uid="{BEBBDF4E-09CC-4B88-9979-B0C733D9C3AD}"/>
    <cellStyle name="Normal 7 4 2 2 2 4" xfId="9721" xr:uid="{966BE5AE-6DBC-4A7B-AB81-193C831B413F}"/>
    <cellStyle name="Normal 7 4 2 2 3" xfId="4403" xr:uid="{00000000-0005-0000-0000-000003110000}"/>
    <cellStyle name="Normal 7 4 2 2 3 2" xfId="9724" xr:uid="{167B5923-A8B4-4AA4-9DA9-0C4CC3469D79}"/>
    <cellStyle name="Normal 7 4 2 2 4" xfId="4404" xr:uid="{00000000-0005-0000-0000-000004110000}"/>
    <cellStyle name="Normal 7 4 2 2 4 2" xfId="9725" xr:uid="{46E0DEFC-DEBF-49D6-BCD1-1C7D9BC39E2F}"/>
    <cellStyle name="Normal 7 4 2 2 5" xfId="9720" xr:uid="{647F4033-811C-4FD4-B01C-9E710441E9AC}"/>
    <cellStyle name="Normal 7 4 2 3" xfId="4405" xr:uid="{00000000-0005-0000-0000-000005110000}"/>
    <cellStyle name="Normal 7 4 2 3 2" xfId="4406" xr:uid="{00000000-0005-0000-0000-000006110000}"/>
    <cellStyle name="Normal 7 4 2 3 2 2" xfId="4407" xr:uid="{00000000-0005-0000-0000-000007110000}"/>
    <cellStyle name="Normal 7 4 2 3 2 2 2" xfId="9728" xr:uid="{2E844AF4-1D18-4203-A211-2610E3BE4AC4}"/>
    <cellStyle name="Normal 7 4 2 3 2 3" xfId="9727" xr:uid="{242C8923-3B86-4F32-A01E-3019B916A6F6}"/>
    <cellStyle name="Normal 7 4 2 3 3" xfId="4408" xr:uid="{00000000-0005-0000-0000-000008110000}"/>
    <cellStyle name="Normal 7 4 2 3 3 2" xfId="9729" xr:uid="{24274172-7538-44FC-A102-CC47E07E31C2}"/>
    <cellStyle name="Normal 7 4 2 3 4" xfId="4409" xr:uid="{00000000-0005-0000-0000-000009110000}"/>
    <cellStyle name="Normal 7 4 2 3 4 2" xfId="9730" xr:uid="{383EDADE-982B-4047-A1BE-A2171D7D346A}"/>
    <cellStyle name="Normal 7 4 2 3 5" xfId="9726" xr:uid="{DF615E12-71DD-43F2-94A1-96C5970A2310}"/>
    <cellStyle name="Normal 7 4 2 4" xfId="4410" xr:uid="{00000000-0005-0000-0000-00000A110000}"/>
    <cellStyle name="Normal 7 4 2 4 2" xfId="4411" xr:uid="{00000000-0005-0000-0000-00000B110000}"/>
    <cellStyle name="Normal 7 4 2 4 2 2" xfId="9732" xr:uid="{4C68382E-7FC5-4BF9-BA93-5813C6C21941}"/>
    <cellStyle name="Normal 7 4 2 4 3" xfId="9731" xr:uid="{BD29EFF3-1521-4C81-9E95-8B9761F70DD5}"/>
    <cellStyle name="Normal 7 4 2 5" xfId="4412" xr:uid="{00000000-0005-0000-0000-00000C110000}"/>
    <cellStyle name="Normal 7 4 2 5 2" xfId="9733" xr:uid="{BC65123C-8CFE-4CEB-B37C-66069E2B1D68}"/>
    <cellStyle name="Normal 7 4 2 6" xfId="4413" xr:uid="{00000000-0005-0000-0000-00000D110000}"/>
    <cellStyle name="Normal 7 4 2 6 2" xfId="9734" xr:uid="{836DFCAB-685F-4784-838B-5DAA14FB0852}"/>
    <cellStyle name="Normal 7 4 2 7" xfId="9719" xr:uid="{3CB0FAA6-C431-42B8-8AE1-41E4C362E183}"/>
    <cellStyle name="Normal 7 4 3" xfId="4414" xr:uid="{00000000-0005-0000-0000-00000E110000}"/>
    <cellStyle name="Normal 7 4 3 2" xfId="4415" xr:uid="{00000000-0005-0000-0000-00000F110000}"/>
    <cellStyle name="Normal 7 4 3 2 2" xfId="4416" xr:uid="{00000000-0005-0000-0000-000010110000}"/>
    <cellStyle name="Normal 7 4 3 2 2 2" xfId="9737" xr:uid="{40CC61A0-632F-4E25-A06D-5595AEFF8B4D}"/>
    <cellStyle name="Normal 7 4 3 2 3" xfId="4417" xr:uid="{00000000-0005-0000-0000-000011110000}"/>
    <cellStyle name="Normal 7 4 3 2 3 2" xfId="9738" xr:uid="{3EF658CE-245F-43BB-9F0E-C804FAE4B2B1}"/>
    <cellStyle name="Normal 7 4 3 2 4" xfId="9736" xr:uid="{4317B7D0-3756-4913-81FE-F08B5C0D7BC6}"/>
    <cellStyle name="Normal 7 4 3 3" xfId="4418" xr:uid="{00000000-0005-0000-0000-000012110000}"/>
    <cellStyle name="Normal 7 4 3 3 2" xfId="9739" xr:uid="{2E217446-70F8-46B2-9FCD-2226E8FE6520}"/>
    <cellStyle name="Normal 7 4 3 4" xfId="4419" xr:uid="{00000000-0005-0000-0000-000013110000}"/>
    <cellStyle name="Normal 7 4 3 4 2" xfId="9740" xr:uid="{21BA32DA-B17A-4B39-A708-56C569115C09}"/>
    <cellStyle name="Normal 7 4 3 5" xfId="9735" xr:uid="{02A5CD2B-0065-4958-9969-29330F5FBA58}"/>
    <cellStyle name="Normal 7 4 4" xfId="4420" xr:uid="{00000000-0005-0000-0000-000014110000}"/>
    <cellStyle name="Normal 7 4 4 2" xfId="4421" xr:uid="{00000000-0005-0000-0000-000015110000}"/>
    <cellStyle name="Normal 7 4 4 2 2" xfId="4422" xr:uid="{00000000-0005-0000-0000-000016110000}"/>
    <cellStyle name="Normal 7 4 4 2 2 2" xfId="9743" xr:uid="{8544EDFA-FD75-4A72-BE0E-6A16E8846845}"/>
    <cellStyle name="Normal 7 4 4 2 3" xfId="9742" xr:uid="{1C7C25CB-D4CE-4967-9FA7-DC04040318D3}"/>
    <cellStyle name="Normal 7 4 4 3" xfId="4423" xr:uid="{00000000-0005-0000-0000-000017110000}"/>
    <cellStyle name="Normal 7 4 4 3 2" xfId="9744" xr:uid="{AAD348FA-06C8-48B0-B792-0711BAABB6CA}"/>
    <cellStyle name="Normal 7 4 4 4" xfId="4424" xr:uid="{00000000-0005-0000-0000-000018110000}"/>
    <cellStyle name="Normal 7 4 4 4 2" xfId="9745" xr:uid="{C69E07D3-9967-4778-B992-029F60AEA826}"/>
    <cellStyle name="Normal 7 4 4 5" xfId="9741" xr:uid="{DD3BDC01-46F5-4FE0-B3DA-333F1EEF8BF5}"/>
    <cellStyle name="Normal 7 4 5" xfId="4425" xr:uid="{00000000-0005-0000-0000-000019110000}"/>
    <cellStyle name="Normal 7 4 5 2" xfId="4426" xr:uid="{00000000-0005-0000-0000-00001A110000}"/>
    <cellStyle name="Normal 7 4 5 2 2" xfId="9747" xr:uid="{2D46B7C9-4DE7-4951-AD3A-4E2F90D621DD}"/>
    <cellStyle name="Normal 7 4 5 3" xfId="9746" xr:uid="{21C34A2E-4BE2-42BD-8C33-F42BE49DE267}"/>
    <cellStyle name="Normal 7 4 6" xfId="4427" xr:uid="{00000000-0005-0000-0000-00001B110000}"/>
    <cellStyle name="Normal 7 4 6 2" xfId="4428" xr:uid="{00000000-0005-0000-0000-00001C110000}"/>
    <cellStyle name="Normal 7 4 6 2 2" xfId="9749" xr:uid="{3B9202F4-2411-4E70-9C77-7BFD614BF19E}"/>
    <cellStyle name="Normal 7 4 6 3" xfId="9748" xr:uid="{11576B23-C619-4566-9DAD-FE64293D4DB9}"/>
    <cellStyle name="Normal 7 4 7" xfId="4429" xr:uid="{00000000-0005-0000-0000-00001D110000}"/>
    <cellStyle name="Normal 7 4 7 2" xfId="4430" xr:uid="{00000000-0005-0000-0000-00001E110000}"/>
    <cellStyle name="Normal 7 4 7 2 2" xfId="9751" xr:uid="{59053927-DDF8-4A87-9A87-C63BBF9E21E5}"/>
    <cellStyle name="Normal 7 4 7 3" xfId="9750" xr:uid="{471B91B6-61A0-4F98-BC9F-30D5518B658B}"/>
    <cellStyle name="Normal 7 4 8" xfId="4431" xr:uid="{00000000-0005-0000-0000-00001F110000}"/>
    <cellStyle name="Normal 7 4 8 2" xfId="9752" xr:uid="{6F490833-3BD4-4859-95FE-1F2CB4F3EB2B}"/>
    <cellStyle name="Normal 7 4 9" xfId="4432" xr:uid="{00000000-0005-0000-0000-000020110000}"/>
    <cellStyle name="Normal 7 4 9 2" xfId="9753" xr:uid="{96855AA8-5231-495E-9448-B5BDDD413EBC}"/>
    <cellStyle name="Normal 7 5" xfId="230" xr:uid="{00000000-0005-0000-0000-000021110000}"/>
    <cellStyle name="Normal 7 5 2" xfId="4433" xr:uid="{00000000-0005-0000-0000-000022110000}"/>
    <cellStyle name="Normal 7 5 2 2" xfId="4434" xr:uid="{00000000-0005-0000-0000-000023110000}"/>
    <cellStyle name="Normal 7 5 2 2 2" xfId="9755" xr:uid="{C80EBC3C-7891-49FB-8AB1-1C31AE4CE7CD}"/>
    <cellStyle name="Normal 7 5 2 3" xfId="9754" xr:uid="{17F87809-561B-4918-AA34-677F1663438C}"/>
    <cellStyle name="Normal 7 5 3" xfId="4435" xr:uid="{00000000-0005-0000-0000-000024110000}"/>
    <cellStyle name="Normal 7 5 3 2" xfId="4436" xr:uid="{00000000-0005-0000-0000-000025110000}"/>
    <cellStyle name="Normal 7 5 3 2 2" xfId="9757" xr:uid="{20AFF709-C3BE-4BB4-8746-A65E08378894}"/>
    <cellStyle name="Normal 7 5 3 3" xfId="9756" xr:uid="{78091FF4-D2BA-4335-98DE-3F2DCF2CCDFB}"/>
    <cellStyle name="Normal 7 5 4" xfId="4437" xr:uid="{00000000-0005-0000-0000-000026110000}"/>
    <cellStyle name="Normal 7 5 4 2" xfId="9758" xr:uid="{67F8898C-0B1E-42E5-8909-685E45784D09}"/>
    <cellStyle name="Normal 7 5 5" xfId="5564" xr:uid="{2DC73C32-586C-4592-BA4D-36A59B2DFABB}"/>
    <cellStyle name="Normal 7 6" xfId="4438" xr:uid="{00000000-0005-0000-0000-000027110000}"/>
    <cellStyle name="Normal 7 7" xfId="4439" xr:uid="{00000000-0005-0000-0000-000028110000}"/>
    <cellStyle name="Normal 7 7 2" xfId="4440" xr:uid="{00000000-0005-0000-0000-000029110000}"/>
    <cellStyle name="Normal 7 7 2 2" xfId="9760" xr:uid="{84AB9598-DE82-48AF-BD72-4AD64A3CD743}"/>
    <cellStyle name="Normal 7 7 3" xfId="9759" xr:uid="{5791281E-C309-4C9E-BC06-BCBDB17D066D}"/>
    <cellStyle name="Normal 7 8" xfId="4441" xr:uid="{00000000-0005-0000-0000-00002A110000}"/>
    <cellStyle name="Normal 7 8 2" xfId="4442" xr:uid="{00000000-0005-0000-0000-00002B110000}"/>
    <cellStyle name="Normal 7 8 2 2" xfId="9762" xr:uid="{30B97D8D-BB69-40BC-A418-585FA61B1203}"/>
    <cellStyle name="Normal 7 8 3" xfId="9761" xr:uid="{DAFFBF6C-189F-434D-B756-D41EADC62B58}"/>
    <cellStyle name="Normal 7 9" xfId="4443" xr:uid="{00000000-0005-0000-0000-00002C110000}"/>
    <cellStyle name="Normal 7 9 2" xfId="9763" xr:uid="{705D4181-98A6-4735-BF1E-FEBFD3F3894D}"/>
    <cellStyle name="Normal 8" xfId="192" xr:uid="{00000000-0005-0000-0000-00002D110000}"/>
    <cellStyle name="Normal 8 10" xfId="4444" xr:uid="{00000000-0005-0000-0000-00002E110000}"/>
    <cellStyle name="Normal 8 10 2" xfId="9764" xr:uid="{472C5D8D-61D4-4BB3-A536-79E396843320}"/>
    <cellStyle name="Normal 8 11" xfId="4445" xr:uid="{00000000-0005-0000-0000-00002F110000}"/>
    <cellStyle name="Normal 8 11 2" xfId="9765" xr:uid="{AD574D18-C230-4213-8F0D-7E92EC018392}"/>
    <cellStyle name="Normal 8 12" xfId="5526" xr:uid="{C9FD4E7A-93F1-4920-BE61-E01A8645191F}"/>
    <cellStyle name="Normal 8 2" xfId="193" xr:uid="{00000000-0005-0000-0000-000030110000}"/>
    <cellStyle name="Normal 8 2 10" xfId="4446" xr:uid="{00000000-0005-0000-0000-000031110000}"/>
    <cellStyle name="Normal 8 2 10 2" xfId="9766" xr:uid="{18FF594C-CE8B-4C9A-ACA3-A9D28D449B88}"/>
    <cellStyle name="Normal 8 2 11" xfId="5527" xr:uid="{20D89AC7-B198-47AC-BC0C-211F18008FF1}"/>
    <cellStyle name="Normal 8 2 2" xfId="194" xr:uid="{00000000-0005-0000-0000-000032110000}"/>
    <cellStyle name="Normal 8 2 2 10" xfId="5528" xr:uid="{CD9998B1-A1AB-4334-977B-3718592C05E8}"/>
    <cellStyle name="Normal 8 2 2 2" xfId="4447" xr:uid="{00000000-0005-0000-0000-000033110000}"/>
    <cellStyle name="Normal 8 2 2 2 2" xfId="4448" xr:uid="{00000000-0005-0000-0000-000034110000}"/>
    <cellStyle name="Normal 8 2 2 2 2 2" xfId="4449" xr:uid="{00000000-0005-0000-0000-000035110000}"/>
    <cellStyle name="Normal 8 2 2 2 2 2 2" xfId="4450" xr:uid="{00000000-0005-0000-0000-000036110000}"/>
    <cellStyle name="Normal 8 2 2 2 2 2 2 2" xfId="9770" xr:uid="{76F3B55D-DD24-441F-877E-E7569AEC1C46}"/>
    <cellStyle name="Normal 8 2 2 2 2 2 3" xfId="4451" xr:uid="{00000000-0005-0000-0000-000037110000}"/>
    <cellStyle name="Normal 8 2 2 2 2 2 3 2" xfId="9771" xr:uid="{FC3B0B1A-9DBA-4CDA-A282-1DC1E19EB408}"/>
    <cellStyle name="Normal 8 2 2 2 2 2 4" xfId="9769" xr:uid="{D7B3C044-5810-42A0-A308-DDA83590FB8A}"/>
    <cellStyle name="Normal 8 2 2 2 2 3" xfId="4452" xr:uid="{00000000-0005-0000-0000-000038110000}"/>
    <cellStyle name="Normal 8 2 2 2 2 3 2" xfId="9772" xr:uid="{EEA6D66F-828B-4D0E-8E40-ED6BC99029C9}"/>
    <cellStyle name="Normal 8 2 2 2 2 4" xfId="4453" xr:uid="{00000000-0005-0000-0000-000039110000}"/>
    <cellStyle name="Normal 8 2 2 2 2 4 2" xfId="9773" xr:uid="{08B266AA-1DDD-4BFB-9AD9-3D9491537A46}"/>
    <cellStyle name="Normal 8 2 2 2 2 5" xfId="9768" xr:uid="{CCF06C2C-58AF-469C-AEE0-74BD359E70BB}"/>
    <cellStyle name="Normal 8 2 2 2 3" xfId="4454" xr:uid="{00000000-0005-0000-0000-00003A110000}"/>
    <cellStyle name="Normal 8 2 2 2 3 2" xfId="4455" xr:uid="{00000000-0005-0000-0000-00003B110000}"/>
    <cellStyle name="Normal 8 2 2 2 3 2 2" xfId="4456" xr:uid="{00000000-0005-0000-0000-00003C110000}"/>
    <cellStyle name="Normal 8 2 2 2 3 2 2 2" xfId="9776" xr:uid="{CC183118-AC90-4F65-83E4-812FD51D4B6C}"/>
    <cellStyle name="Normal 8 2 2 2 3 2 3" xfId="9775" xr:uid="{94E0B5F9-76B6-4E31-9F17-89BD679A6277}"/>
    <cellStyle name="Normal 8 2 2 2 3 3" xfId="4457" xr:uid="{00000000-0005-0000-0000-00003D110000}"/>
    <cellStyle name="Normal 8 2 2 2 3 3 2" xfId="9777" xr:uid="{381F82CF-2A50-44F9-955F-D66B7B130C82}"/>
    <cellStyle name="Normal 8 2 2 2 3 4" xfId="4458" xr:uid="{00000000-0005-0000-0000-00003E110000}"/>
    <cellStyle name="Normal 8 2 2 2 3 4 2" xfId="9778" xr:uid="{A567F997-606D-4A8C-A4E5-38B40A968612}"/>
    <cellStyle name="Normal 8 2 2 2 3 5" xfId="9774" xr:uid="{7F17760C-1353-4853-8D83-BBEB047DEFC0}"/>
    <cellStyle name="Normal 8 2 2 2 4" xfId="4459" xr:uid="{00000000-0005-0000-0000-00003F110000}"/>
    <cellStyle name="Normal 8 2 2 2 4 2" xfId="4460" xr:uid="{00000000-0005-0000-0000-000040110000}"/>
    <cellStyle name="Normal 8 2 2 2 4 2 2" xfId="9780" xr:uid="{30D37981-4E53-43DA-9F55-4CA233C2636C}"/>
    <cellStyle name="Normal 8 2 2 2 4 3" xfId="9779" xr:uid="{F3E44D59-E210-49B2-A52B-19E8CB4B31FB}"/>
    <cellStyle name="Normal 8 2 2 2 5" xfId="4461" xr:uid="{00000000-0005-0000-0000-000041110000}"/>
    <cellStyle name="Normal 8 2 2 2 5 2" xfId="9781" xr:uid="{73FEE945-F745-46F4-B9E3-87E32F538D19}"/>
    <cellStyle name="Normal 8 2 2 2 6" xfId="4462" xr:uid="{00000000-0005-0000-0000-000042110000}"/>
    <cellStyle name="Normal 8 2 2 2 6 2" xfId="9782" xr:uid="{02C77DA0-F303-49C9-B6E0-4AF9BC385729}"/>
    <cellStyle name="Normal 8 2 2 2 7" xfId="9767" xr:uid="{D2631DAF-8BC7-41EB-A72F-F6453C6AF92E}"/>
    <cellStyle name="Normal 8 2 2 3" xfId="4463" xr:uid="{00000000-0005-0000-0000-000043110000}"/>
    <cellStyle name="Normal 8 2 2 3 2" xfId="4464" xr:uid="{00000000-0005-0000-0000-000044110000}"/>
    <cellStyle name="Normal 8 2 2 3 2 2" xfId="4465" xr:uid="{00000000-0005-0000-0000-000045110000}"/>
    <cellStyle name="Normal 8 2 2 3 2 2 2" xfId="9785" xr:uid="{4F63C4FB-4194-4732-A9F0-1FA93F49CCDD}"/>
    <cellStyle name="Normal 8 2 2 3 2 3" xfId="4466" xr:uid="{00000000-0005-0000-0000-000046110000}"/>
    <cellStyle name="Normal 8 2 2 3 2 3 2" xfId="9786" xr:uid="{34008CD1-E99E-40FB-AA45-D5DDD6428830}"/>
    <cellStyle name="Normal 8 2 2 3 2 4" xfId="9784" xr:uid="{6E8C93AA-F240-4F4E-A8D0-73569F62AAFA}"/>
    <cellStyle name="Normal 8 2 2 3 3" xfId="4467" xr:uid="{00000000-0005-0000-0000-000047110000}"/>
    <cellStyle name="Normal 8 2 2 3 3 2" xfId="9787" xr:uid="{874FF8B7-327C-42DD-BCD3-A023E81B8385}"/>
    <cellStyle name="Normal 8 2 2 3 4" xfId="4468" xr:uid="{00000000-0005-0000-0000-000048110000}"/>
    <cellStyle name="Normal 8 2 2 3 4 2" xfId="9788" xr:uid="{56F18F47-EA0C-4302-8B79-DFCD04525EF0}"/>
    <cellStyle name="Normal 8 2 2 3 5" xfId="9783" xr:uid="{17830AD9-8CE6-40E6-8EEF-5C54F7818A60}"/>
    <cellStyle name="Normal 8 2 2 4" xfId="4469" xr:uid="{00000000-0005-0000-0000-000049110000}"/>
    <cellStyle name="Normal 8 2 2 4 2" xfId="4470" xr:uid="{00000000-0005-0000-0000-00004A110000}"/>
    <cellStyle name="Normal 8 2 2 4 2 2" xfId="4471" xr:uid="{00000000-0005-0000-0000-00004B110000}"/>
    <cellStyle name="Normal 8 2 2 4 2 2 2" xfId="9791" xr:uid="{867B2857-C3C7-4B32-B9DE-A84E5DFA9C56}"/>
    <cellStyle name="Normal 8 2 2 4 2 3" xfId="9790" xr:uid="{0F72627D-3CCF-4A84-9C10-CC780E39771D}"/>
    <cellStyle name="Normal 8 2 2 4 3" xfId="4472" xr:uid="{00000000-0005-0000-0000-00004C110000}"/>
    <cellStyle name="Normal 8 2 2 4 3 2" xfId="9792" xr:uid="{A1EA4D33-8E3A-44E2-8D73-119F5268829A}"/>
    <cellStyle name="Normal 8 2 2 4 4" xfId="4473" xr:uid="{00000000-0005-0000-0000-00004D110000}"/>
    <cellStyle name="Normal 8 2 2 4 4 2" xfId="9793" xr:uid="{3A0DE9BB-7E07-4610-913B-3780389983CF}"/>
    <cellStyle name="Normal 8 2 2 4 5" xfId="9789" xr:uid="{E0B7EA85-F00A-442E-8994-4C8477F41B8A}"/>
    <cellStyle name="Normal 8 2 2 5" xfId="4474" xr:uid="{00000000-0005-0000-0000-00004E110000}"/>
    <cellStyle name="Normal 8 2 2 5 2" xfId="4475" xr:uid="{00000000-0005-0000-0000-00004F110000}"/>
    <cellStyle name="Normal 8 2 2 5 2 2" xfId="9795" xr:uid="{C3FF096A-6674-4791-9312-8C84EA090A26}"/>
    <cellStyle name="Normal 8 2 2 5 3" xfId="9794" xr:uid="{75C1EC6D-1625-4F92-ABBF-10EAE00B90FE}"/>
    <cellStyle name="Normal 8 2 2 6" xfId="4476" xr:uid="{00000000-0005-0000-0000-000050110000}"/>
    <cellStyle name="Normal 8 2 2 6 2" xfId="4477" xr:uid="{00000000-0005-0000-0000-000051110000}"/>
    <cellStyle name="Normal 8 2 2 6 2 2" xfId="9797" xr:uid="{3A7BBB84-14F4-4688-9D77-7A8DE4C379D7}"/>
    <cellStyle name="Normal 8 2 2 6 3" xfId="9796" xr:uid="{F83F3E74-5E8A-47CF-8AF7-EDB3E3AB8412}"/>
    <cellStyle name="Normal 8 2 2 7" xfId="4478" xr:uid="{00000000-0005-0000-0000-000052110000}"/>
    <cellStyle name="Normal 8 2 2 7 2" xfId="4479" xr:uid="{00000000-0005-0000-0000-000053110000}"/>
    <cellStyle name="Normal 8 2 2 7 2 2" xfId="9799" xr:uid="{7C9AAEAC-6F57-4376-AC7A-2CC136146C1C}"/>
    <cellStyle name="Normal 8 2 2 7 3" xfId="9798" xr:uid="{8E6E4E30-DC74-4583-B2F6-E48E52DF67DE}"/>
    <cellStyle name="Normal 8 2 2 8" xfId="4480" xr:uid="{00000000-0005-0000-0000-000054110000}"/>
    <cellStyle name="Normal 8 2 2 8 2" xfId="9800" xr:uid="{D63AA0F3-16CF-484B-8489-92670D46FD4C}"/>
    <cellStyle name="Normal 8 2 2 9" xfId="4481" xr:uid="{00000000-0005-0000-0000-000055110000}"/>
    <cellStyle name="Normal 8 2 2 9 2" xfId="9801" xr:uid="{9A9DEB48-ECA5-4C55-9D02-08C7931A83F8}"/>
    <cellStyle name="Normal 8 2 3" xfId="4482" xr:uid="{00000000-0005-0000-0000-000056110000}"/>
    <cellStyle name="Normal 8 2 3 2" xfId="4483" xr:uid="{00000000-0005-0000-0000-000057110000}"/>
    <cellStyle name="Normal 8 2 3 2 2" xfId="4484" xr:uid="{00000000-0005-0000-0000-000058110000}"/>
    <cellStyle name="Normal 8 2 3 2 2 2" xfId="4485" xr:uid="{00000000-0005-0000-0000-000059110000}"/>
    <cellStyle name="Normal 8 2 3 2 2 2 2" xfId="9805" xr:uid="{74EC16B8-9040-4DCD-9785-55990C4DF6B3}"/>
    <cellStyle name="Normal 8 2 3 2 2 3" xfId="4486" xr:uid="{00000000-0005-0000-0000-00005A110000}"/>
    <cellStyle name="Normal 8 2 3 2 2 3 2" xfId="9806" xr:uid="{D55FFC32-FC5B-482E-8557-081015F31536}"/>
    <cellStyle name="Normal 8 2 3 2 2 4" xfId="9804" xr:uid="{F46C5861-6544-4BA2-9C09-93CF7FDA86F6}"/>
    <cellStyle name="Normal 8 2 3 2 3" xfId="4487" xr:uid="{00000000-0005-0000-0000-00005B110000}"/>
    <cellStyle name="Normal 8 2 3 2 3 2" xfId="9807" xr:uid="{2FDD8A44-F31B-4087-9848-1E7F2F1241E1}"/>
    <cellStyle name="Normal 8 2 3 2 4" xfId="4488" xr:uid="{00000000-0005-0000-0000-00005C110000}"/>
    <cellStyle name="Normal 8 2 3 2 4 2" xfId="9808" xr:uid="{1DCC67CE-D2EF-4D2C-9EC6-796C3EE3DE79}"/>
    <cellStyle name="Normal 8 2 3 2 5" xfId="9803" xr:uid="{932C744B-D814-4467-8F65-734FD2912840}"/>
    <cellStyle name="Normal 8 2 3 3" xfId="4489" xr:uid="{00000000-0005-0000-0000-00005D110000}"/>
    <cellStyle name="Normal 8 2 3 3 2" xfId="4490" xr:uid="{00000000-0005-0000-0000-00005E110000}"/>
    <cellStyle name="Normal 8 2 3 3 2 2" xfId="4491" xr:uid="{00000000-0005-0000-0000-00005F110000}"/>
    <cellStyle name="Normal 8 2 3 3 2 2 2" xfId="9811" xr:uid="{0A814F68-708D-4FAC-BD89-BD52C6EEC6FB}"/>
    <cellStyle name="Normal 8 2 3 3 2 3" xfId="9810" xr:uid="{F1AE13CD-398B-4EA3-9B10-F4BD2E13C5C0}"/>
    <cellStyle name="Normal 8 2 3 3 3" xfId="4492" xr:uid="{00000000-0005-0000-0000-000060110000}"/>
    <cellStyle name="Normal 8 2 3 3 3 2" xfId="9812" xr:uid="{D9BD0A04-AF22-4D0E-AD2A-2C3AD868E065}"/>
    <cellStyle name="Normal 8 2 3 3 4" xfId="4493" xr:uid="{00000000-0005-0000-0000-000061110000}"/>
    <cellStyle name="Normal 8 2 3 3 4 2" xfId="9813" xr:uid="{433C1330-679A-4E60-A329-853BF7D4D62D}"/>
    <cellStyle name="Normal 8 2 3 3 5" xfId="9809" xr:uid="{C0172A7D-FF00-4F51-9154-BD9BDAA8EF2E}"/>
    <cellStyle name="Normal 8 2 3 4" xfId="4494" xr:uid="{00000000-0005-0000-0000-000062110000}"/>
    <cellStyle name="Normal 8 2 3 4 2" xfId="4495" xr:uid="{00000000-0005-0000-0000-000063110000}"/>
    <cellStyle name="Normal 8 2 3 4 2 2" xfId="9815" xr:uid="{991A92D9-80EF-46D2-96F9-4BF622E9BB8C}"/>
    <cellStyle name="Normal 8 2 3 4 3" xfId="9814" xr:uid="{01E1149C-40A2-493D-A9A1-AE3C024F8B7A}"/>
    <cellStyle name="Normal 8 2 3 5" xfId="4496" xr:uid="{00000000-0005-0000-0000-000064110000}"/>
    <cellStyle name="Normal 8 2 3 5 2" xfId="9816" xr:uid="{C66629D8-0697-4C49-9401-FA547AF5FCC9}"/>
    <cellStyle name="Normal 8 2 3 6" xfId="4497" xr:uid="{00000000-0005-0000-0000-000065110000}"/>
    <cellStyle name="Normal 8 2 3 6 2" xfId="9817" xr:uid="{E456675C-3AAC-4B61-8917-E746E7631398}"/>
    <cellStyle name="Normal 8 2 3 7" xfId="9802" xr:uid="{F3BFF476-0515-41B8-A5E2-784E229F946B}"/>
    <cellStyle name="Normal 8 2 4" xfId="4498" xr:uid="{00000000-0005-0000-0000-000066110000}"/>
    <cellStyle name="Normal 8 2 4 2" xfId="4499" xr:uid="{00000000-0005-0000-0000-000067110000}"/>
    <cellStyle name="Normal 8 2 4 2 2" xfId="4500" xr:uid="{00000000-0005-0000-0000-000068110000}"/>
    <cellStyle name="Normal 8 2 4 2 2 2" xfId="9820" xr:uid="{3EBDA728-A3ED-40B9-AB80-BCFE85EB4E26}"/>
    <cellStyle name="Normal 8 2 4 2 3" xfId="4501" xr:uid="{00000000-0005-0000-0000-000069110000}"/>
    <cellStyle name="Normal 8 2 4 2 3 2" xfId="9821" xr:uid="{73F80711-1B77-4257-87B8-C50D210646B1}"/>
    <cellStyle name="Normal 8 2 4 2 4" xfId="9819" xr:uid="{F64077E7-F52B-49C1-B7CC-861337FD39C9}"/>
    <cellStyle name="Normal 8 2 4 3" xfId="4502" xr:uid="{00000000-0005-0000-0000-00006A110000}"/>
    <cellStyle name="Normal 8 2 4 3 2" xfId="9822" xr:uid="{C8273927-D439-4C3C-9D0C-D3CF6A6AF2EA}"/>
    <cellStyle name="Normal 8 2 4 4" xfId="4503" xr:uid="{00000000-0005-0000-0000-00006B110000}"/>
    <cellStyle name="Normal 8 2 4 4 2" xfId="9823" xr:uid="{65357DD7-CF8D-4A6D-82C1-8B6DCACB7134}"/>
    <cellStyle name="Normal 8 2 4 5" xfId="9818" xr:uid="{6111FFA4-0743-4F8E-97AD-A1472990D70A}"/>
    <cellStyle name="Normal 8 2 5" xfId="4504" xr:uid="{00000000-0005-0000-0000-00006C110000}"/>
    <cellStyle name="Normal 8 2 5 2" xfId="4505" xr:uid="{00000000-0005-0000-0000-00006D110000}"/>
    <cellStyle name="Normal 8 2 5 2 2" xfId="4506" xr:uid="{00000000-0005-0000-0000-00006E110000}"/>
    <cellStyle name="Normal 8 2 5 2 2 2" xfId="9826" xr:uid="{0782270A-3C70-49A4-8DBB-5AC45EF6BB8A}"/>
    <cellStyle name="Normal 8 2 5 2 3" xfId="9825" xr:uid="{8682DC6E-10EE-4B87-AC68-4C56ECEEA739}"/>
    <cellStyle name="Normal 8 2 5 3" xfId="4507" xr:uid="{00000000-0005-0000-0000-00006F110000}"/>
    <cellStyle name="Normal 8 2 5 3 2" xfId="9827" xr:uid="{99F568A4-8938-4A3C-96A2-6BB08DB6544F}"/>
    <cellStyle name="Normal 8 2 5 4" xfId="4508" xr:uid="{00000000-0005-0000-0000-000070110000}"/>
    <cellStyle name="Normal 8 2 5 4 2" xfId="9828" xr:uid="{1B29CB89-DFDB-4F5B-B9E1-A26980B6C1D2}"/>
    <cellStyle name="Normal 8 2 5 5" xfId="9824" xr:uid="{204CF6AB-D5F0-4D6E-8B11-BC08713BCFA6}"/>
    <cellStyle name="Normal 8 2 6" xfId="4509" xr:uid="{00000000-0005-0000-0000-000071110000}"/>
    <cellStyle name="Normal 8 2 6 2" xfId="4510" xr:uid="{00000000-0005-0000-0000-000072110000}"/>
    <cellStyle name="Normal 8 2 6 2 2" xfId="9830" xr:uid="{B26FB757-0977-4D28-81B7-8CCA9B1D6DBE}"/>
    <cellStyle name="Normal 8 2 6 3" xfId="4511" xr:uid="{00000000-0005-0000-0000-000073110000}"/>
    <cellStyle name="Normal 8 2 6 3 2" xfId="9831" xr:uid="{EBD11AD0-F2BC-4258-B156-3893133F316B}"/>
    <cellStyle name="Normal 8 2 6 4" xfId="9829" xr:uid="{CA0849F6-9390-47A2-8E64-A39018BDDAB0}"/>
    <cellStyle name="Normal 8 2 7" xfId="4512" xr:uid="{00000000-0005-0000-0000-000074110000}"/>
    <cellStyle name="Normal 8 2 7 2" xfId="4513" xr:uid="{00000000-0005-0000-0000-000075110000}"/>
    <cellStyle name="Normal 8 2 7 2 2" xfId="9833" xr:uid="{3519962C-0ECC-4A69-8B52-3EF145F6FA14}"/>
    <cellStyle name="Normal 8 2 7 3" xfId="9832" xr:uid="{0EE129DD-0E9F-48A4-8831-BA6CB5A26A9A}"/>
    <cellStyle name="Normal 8 2 8" xfId="4514" xr:uid="{00000000-0005-0000-0000-000076110000}"/>
    <cellStyle name="Normal 8 2 8 2" xfId="4515" xr:uid="{00000000-0005-0000-0000-000077110000}"/>
    <cellStyle name="Normal 8 2 8 2 2" xfId="9835" xr:uid="{A1EB57E9-4B24-4B24-AACF-E61FC67BFF48}"/>
    <cellStyle name="Normal 8 2 8 3" xfId="9834" xr:uid="{4F73A2FD-88DA-4C8F-9228-034C1CD7075C}"/>
    <cellStyle name="Normal 8 2 9" xfId="4516" xr:uid="{00000000-0005-0000-0000-000078110000}"/>
    <cellStyle name="Normal 8 2 9 2" xfId="9836" xr:uid="{008938E1-7F60-4614-99ED-BC59DD155869}"/>
    <cellStyle name="Normal 8 3" xfId="195" xr:uid="{00000000-0005-0000-0000-000079110000}"/>
    <cellStyle name="Normal 8 3 10" xfId="5529" xr:uid="{1240EFEF-B512-4469-B600-66E2C144761B}"/>
    <cellStyle name="Normal 8 3 2" xfId="4517" xr:uid="{00000000-0005-0000-0000-00007A110000}"/>
    <cellStyle name="Normal 8 3 2 2" xfId="4518" xr:uid="{00000000-0005-0000-0000-00007B110000}"/>
    <cellStyle name="Normal 8 3 2 2 2" xfId="4519" xr:uid="{00000000-0005-0000-0000-00007C110000}"/>
    <cellStyle name="Normal 8 3 2 2 2 2" xfId="4520" xr:uid="{00000000-0005-0000-0000-00007D110000}"/>
    <cellStyle name="Normal 8 3 2 2 2 2 2" xfId="9840" xr:uid="{09283CD3-C5CD-48F5-9732-593F9EA51CD3}"/>
    <cellStyle name="Normal 8 3 2 2 2 3" xfId="4521" xr:uid="{00000000-0005-0000-0000-00007E110000}"/>
    <cellStyle name="Normal 8 3 2 2 2 3 2" xfId="9841" xr:uid="{41FE5D00-FB6C-4925-B0B0-B7A8CD4CB1A0}"/>
    <cellStyle name="Normal 8 3 2 2 2 4" xfId="9839" xr:uid="{2BB0CEF5-05A5-4E86-960B-4F58E6BAA857}"/>
    <cellStyle name="Normal 8 3 2 2 3" xfId="4522" xr:uid="{00000000-0005-0000-0000-00007F110000}"/>
    <cellStyle name="Normal 8 3 2 2 3 2" xfId="9842" xr:uid="{8D3EF9F7-E49C-4858-A0FF-9493599D8DD9}"/>
    <cellStyle name="Normal 8 3 2 2 4" xfId="4523" xr:uid="{00000000-0005-0000-0000-000080110000}"/>
    <cellStyle name="Normal 8 3 2 2 4 2" xfId="9843" xr:uid="{6D082A08-B151-42FF-8DE3-6E843FF7BBDD}"/>
    <cellStyle name="Normal 8 3 2 2 5" xfId="9838" xr:uid="{19032844-5EA8-4944-8863-0B0833BBA73A}"/>
    <cellStyle name="Normal 8 3 2 3" xfId="4524" xr:uid="{00000000-0005-0000-0000-000081110000}"/>
    <cellStyle name="Normal 8 3 2 3 2" xfId="4525" xr:uid="{00000000-0005-0000-0000-000082110000}"/>
    <cellStyle name="Normal 8 3 2 3 2 2" xfId="4526" xr:uid="{00000000-0005-0000-0000-000083110000}"/>
    <cellStyle name="Normal 8 3 2 3 2 2 2" xfId="9846" xr:uid="{121E2FB1-BB1E-434B-97B4-937721693213}"/>
    <cellStyle name="Normal 8 3 2 3 2 3" xfId="9845" xr:uid="{EA31499E-7EA7-4569-ABA2-26075B8D46BB}"/>
    <cellStyle name="Normal 8 3 2 3 3" xfId="4527" xr:uid="{00000000-0005-0000-0000-000084110000}"/>
    <cellStyle name="Normal 8 3 2 3 3 2" xfId="9847" xr:uid="{F2BBD02B-2C62-42A3-8DB2-0E500E90CFE8}"/>
    <cellStyle name="Normal 8 3 2 3 4" xfId="4528" xr:uid="{00000000-0005-0000-0000-000085110000}"/>
    <cellStyle name="Normal 8 3 2 3 4 2" xfId="9848" xr:uid="{831F2E03-F0C1-4387-93D3-9FD01DD64322}"/>
    <cellStyle name="Normal 8 3 2 3 5" xfId="9844" xr:uid="{669B4BEA-1C13-4302-AD3C-7294CBFA20B9}"/>
    <cellStyle name="Normal 8 3 2 4" xfId="4529" xr:uid="{00000000-0005-0000-0000-000086110000}"/>
    <cellStyle name="Normal 8 3 2 4 2" xfId="4530" xr:uid="{00000000-0005-0000-0000-000087110000}"/>
    <cellStyle name="Normal 8 3 2 4 2 2" xfId="9850" xr:uid="{6EA35EFF-CD21-4446-817F-36B8F1BCDC5B}"/>
    <cellStyle name="Normal 8 3 2 4 3" xfId="9849" xr:uid="{C70255EF-6C3F-41E5-A334-F884DFA4D1C6}"/>
    <cellStyle name="Normal 8 3 2 5" xfId="4531" xr:uid="{00000000-0005-0000-0000-000088110000}"/>
    <cellStyle name="Normal 8 3 2 5 2" xfId="9851" xr:uid="{6B9416BD-169A-4BEE-9248-2545164D99E9}"/>
    <cellStyle name="Normal 8 3 2 6" xfId="4532" xr:uid="{00000000-0005-0000-0000-000089110000}"/>
    <cellStyle name="Normal 8 3 2 6 2" xfId="9852" xr:uid="{F80D5F89-12FB-4C18-AA3F-8337B7E7B26A}"/>
    <cellStyle name="Normal 8 3 2 7" xfId="9837" xr:uid="{20CA6928-AAFE-434D-931D-8033198A5C73}"/>
    <cellStyle name="Normal 8 3 3" xfId="4533" xr:uid="{00000000-0005-0000-0000-00008A110000}"/>
    <cellStyle name="Normal 8 3 3 2" xfId="4534" xr:uid="{00000000-0005-0000-0000-00008B110000}"/>
    <cellStyle name="Normal 8 3 3 2 2" xfId="4535" xr:uid="{00000000-0005-0000-0000-00008C110000}"/>
    <cellStyle name="Normal 8 3 3 2 2 2" xfId="9855" xr:uid="{2F449DA3-9F70-4C33-9DF8-6AA32472DA1B}"/>
    <cellStyle name="Normal 8 3 3 2 3" xfId="4536" xr:uid="{00000000-0005-0000-0000-00008D110000}"/>
    <cellStyle name="Normal 8 3 3 2 3 2" xfId="9856" xr:uid="{7C8F5D5D-1EDF-4F1A-B8DF-81763D31BCDA}"/>
    <cellStyle name="Normal 8 3 3 2 4" xfId="9854" xr:uid="{BC8A3B0C-727C-4608-B5AE-51EA94C04544}"/>
    <cellStyle name="Normal 8 3 3 3" xfId="4537" xr:uid="{00000000-0005-0000-0000-00008E110000}"/>
    <cellStyle name="Normal 8 3 3 3 2" xfId="9857" xr:uid="{0C0DE24D-FE3E-460A-B02D-778E2A112917}"/>
    <cellStyle name="Normal 8 3 3 4" xfId="4538" xr:uid="{00000000-0005-0000-0000-00008F110000}"/>
    <cellStyle name="Normal 8 3 3 4 2" xfId="9858" xr:uid="{D20C37FE-55FE-4A34-AC70-F4B41A36DD19}"/>
    <cellStyle name="Normal 8 3 3 5" xfId="9853" xr:uid="{198EDD75-C5D8-492E-8591-EAF02284672B}"/>
    <cellStyle name="Normal 8 3 4" xfId="4539" xr:uid="{00000000-0005-0000-0000-000090110000}"/>
    <cellStyle name="Normal 8 3 4 2" xfId="4540" xr:uid="{00000000-0005-0000-0000-000091110000}"/>
    <cellStyle name="Normal 8 3 4 2 2" xfId="4541" xr:uid="{00000000-0005-0000-0000-000092110000}"/>
    <cellStyle name="Normal 8 3 4 2 2 2" xfId="9861" xr:uid="{1DFFF88C-EBB7-4CF9-8FCE-C473C58E8712}"/>
    <cellStyle name="Normal 8 3 4 2 3" xfId="9860" xr:uid="{C923A88D-F41D-4CDD-9E24-C911645D2F8F}"/>
    <cellStyle name="Normal 8 3 4 3" xfId="4542" xr:uid="{00000000-0005-0000-0000-000093110000}"/>
    <cellStyle name="Normal 8 3 4 3 2" xfId="9862" xr:uid="{95E7D260-AA50-402C-A251-9720407F9F4C}"/>
    <cellStyle name="Normal 8 3 4 4" xfId="4543" xr:uid="{00000000-0005-0000-0000-000094110000}"/>
    <cellStyle name="Normal 8 3 4 4 2" xfId="9863" xr:uid="{879E9085-8D6A-451C-B387-4ABF26A6D546}"/>
    <cellStyle name="Normal 8 3 4 5" xfId="9859" xr:uid="{5415741E-D700-45EF-BFB4-BC97375052D1}"/>
    <cellStyle name="Normal 8 3 5" xfId="4544" xr:uid="{00000000-0005-0000-0000-000095110000}"/>
    <cellStyle name="Normal 8 3 5 2" xfId="4545" xr:uid="{00000000-0005-0000-0000-000096110000}"/>
    <cellStyle name="Normal 8 3 5 2 2" xfId="9865" xr:uid="{4504D1F3-C572-4D52-B323-EE9AF9FC56A5}"/>
    <cellStyle name="Normal 8 3 5 3" xfId="9864" xr:uid="{9302CD86-362C-4B6A-8385-2B9DBD16AC44}"/>
    <cellStyle name="Normal 8 3 6" xfId="4546" xr:uid="{00000000-0005-0000-0000-000097110000}"/>
    <cellStyle name="Normal 8 3 6 2" xfId="4547" xr:uid="{00000000-0005-0000-0000-000098110000}"/>
    <cellStyle name="Normal 8 3 6 2 2" xfId="9867" xr:uid="{CAFC0C51-2E59-4BF6-B6E5-20FF45D18634}"/>
    <cellStyle name="Normal 8 3 6 3" xfId="9866" xr:uid="{692691B0-1313-48FD-8C37-779056A02300}"/>
    <cellStyle name="Normal 8 3 7" xfId="4548" xr:uid="{00000000-0005-0000-0000-000099110000}"/>
    <cellStyle name="Normal 8 3 7 2" xfId="4549" xr:uid="{00000000-0005-0000-0000-00009A110000}"/>
    <cellStyle name="Normal 8 3 7 2 2" xfId="9869" xr:uid="{ECF7FA86-8931-4F23-B489-DE4802EFC457}"/>
    <cellStyle name="Normal 8 3 7 3" xfId="9868" xr:uid="{9BDE28C3-EF89-425C-B7EC-E1E6211D3A26}"/>
    <cellStyle name="Normal 8 3 8" xfId="4550" xr:uid="{00000000-0005-0000-0000-00009B110000}"/>
    <cellStyle name="Normal 8 3 8 2" xfId="9870" xr:uid="{681311DF-6946-4194-92DC-AB5EA642E332}"/>
    <cellStyle name="Normal 8 3 9" xfId="4551" xr:uid="{00000000-0005-0000-0000-00009C110000}"/>
    <cellStyle name="Normal 8 3 9 2" xfId="9871" xr:uid="{E60AA209-5325-4FB7-B251-64AF1296B2F5}"/>
    <cellStyle name="Normal 8 4" xfId="4552" xr:uid="{00000000-0005-0000-0000-00009D110000}"/>
    <cellStyle name="Normal 8 4 2" xfId="4553" xr:uid="{00000000-0005-0000-0000-00009E110000}"/>
    <cellStyle name="Normal 8 4 2 2" xfId="4554" xr:uid="{00000000-0005-0000-0000-00009F110000}"/>
    <cellStyle name="Normal 8 4 2 2 2" xfId="4555" xr:uid="{00000000-0005-0000-0000-0000A0110000}"/>
    <cellStyle name="Normal 8 4 2 2 2 2" xfId="9875" xr:uid="{0A544858-CEFA-4DCA-994B-540851A321FE}"/>
    <cellStyle name="Normal 8 4 2 2 3" xfId="4556" xr:uid="{00000000-0005-0000-0000-0000A1110000}"/>
    <cellStyle name="Normal 8 4 2 2 3 2" xfId="9876" xr:uid="{E245E996-5989-4B16-A57F-0CEC9102B2A6}"/>
    <cellStyle name="Normal 8 4 2 2 4" xfId="9874" xr:uid="{B5DC62D3-99E2-4607-8199-A4E6136F22D6}"/>
    <cellStyle name="Normal 8 4 2 3" xfId="4557" xr:uid="{00000000-0005-0000-0000-0000A2110000}"/>
    <cellStyle name="Normal 8 4 2 3 2" xfId="9877" xr:uid="{3EBC133F-BA42-4342-B5C8-D7112DA2976F}"/>
    <cellStyle name="Normal 8 4 2 4" xfId="4558" xr:uid="{00000000-0005-0000-0000-0000A3110000}"/>
    <cellStyle name="Normal 8 4 2 4 2" xfId="9878" xr:uid="{72FBB5E2-F3FF-4D51-9B6F-F774A6909185}"/>
    <cellStyle name="Normal 8 4 2 5" xfId="9873" xr:uid="{4AA81F81-B6CF-4351-9869-F19AC622B262}"/>
    <cellStyle name="Normal 8 4 3" xfId="4559" xr:uid="{00000000-0005-0000-0000-0000A4110000}"/>
    <cellStyle name="Normal 8 4 3 2" xfId="4560" xr:uid="{00000000-0005-0000-0000-0000A5110000}"/>
    <cellStyle name="Normal 8 4 3 2 2" xfId="4561" xr:uid="{00000000-0005-0000-0000-0000A6110000}"/>
    <cellStyle name="Normal 8 4 3 2 2 2" xfId="9881" xr:uid="{1C2FF822-F0F1-4413-8E9C-33F00C2FDDDD}"/>
    <cellStyle name="Normal 8 4 3 2 3" xfId="9880" xr:uid="{E7A553D5-8101-46CD-8F19-A74E0AFD112D}"/>
    <cellStyle name="Normal 8 4 3 3" xfId="4562" xr:uid="{00000000-0005-0000-0000-0000A7110000}"/>
    <cellStyle name="Normal 8 4 3 3 2" xfId="9882" xr:uid="{22021B84-72CD-426B-BA31-CB71404331ED}"/>
    <cellStyle name="Normal 8 4 3 4" xfId="4563" xr:uid="{00000000-0005-0000-0000-0000A8110000}"/>
    <cellStyle name="Normal 8 4 3 4 2" xfId="9883" xr:uid="{4534DFA2-604E-4794-8636-A8D027D182F3}"/>
    <cellStyle name="Normal 8 4 3 5" xfId="9879" xr:uid="{4AA8A24A-D897-48CF-99D2-B2A5ECDD64B5}"/>
    <cellStyle name="Normal 8 4 4" xfId="4564" xr:uid="{00000000-0005-0000-0000-0000A9110000}"/>
    <cellStyle name="Normal 8 4 4 2" xfId="4565" xr:uid="{00000000-0005-0000-0000-0000AA110000}"/>
    <cellStyle name="Normal 8 4 4 2 2" xfId="9885" xr:uid="{585AEB1C-5E97-4125-89DE-4CC3C6D3B88A}"/>
    <cellStyle name="Normal 8 4 4 3" xfId="9884" xr:uid="{47F8C52F-1869-4C98-86B2-4AFA2B5554B5}"/>
    <cellStyle name="Normal 8 4 5" xfId="4566" xr:uid="{00000000-0005-0000-0000-0000AB110000}"/>
    <cellStyle name="Normal 8 4 5 2" xfId="9886" xr:uid="{115AFA24-DD8D-4A0A-BFB3-CE0174BA8EE0}"/>
    <cellStyle name="Normal 8 4 6" xfId="4567" xr:uid="{00000000-0005-0000-0000-0000AC110000}"/>
    <cellStyle name="Normal 8 4 6 2" xfId="9887" xr:uid="{F15F2E8F-5C68-44CE-9C3B-7D16425DCAAC}"/>
    <cellStyle name="Normal 8 4 7" xfId="9872" xr:uid="{FD335E87-AE7A-4004-AEF1-574FE1ECA336}"/>
    <cellStyle name="Normal 8 5" xfId="4568" xr:uid="{00000000-0005-0000-0000-0000AD110000}"/>
    <cellStyle name="Normal 8 5 2" xfId="4569" xr:uid="{00000000-0005-0000-0000-0000AE110000}"/>
    <cellStyle name="Normal 8 5 2 2" xfId="4570" xr:uid="{00000000-0005-0000-0000-0000AF110000}"/>
    <cellStyle name="Normal 8 5 2 2 2" xfId="9890" xr:uid="{AE6DEEA2-0A4E-42DC-8271-23FB590AA413}"/>
    <cellStyle name="Normal 8 5 2 3" xfId="4571" xr:uid="{00000000-0005-0000-0000-0000B0110000}"/>
    <cellStyle name="Normal 8 5 2 3 2" xfId="9891" xr:uid="{1E3DA608-DF26-4766-AC13-558464CA2255}"/>
    <cellStyle name="Normal 8 5 2 4" xfId="9889" xr:uid="{260F05FF-F3E4-400A-BA7E-4F142E64182B}"/>
    <cellStyle name="Normal 8 5 3" xfId="4572" xr:uid="{00000000-0005-0000-0000-0000B1110000}"/>
    <cellStyle name="Normal 8 5 3 2" xfId="9892" xr:uid="{0E25FB3E-5B3B-4745-96C5-B60ECACB7309}"/>
    <cellStyle name="Normal 8 5 4" xfId="4573" xr:uid="{00000000-0005-0000-0000-0000B2110000}"/>
    <cellStyle name="Normal 8 5 4 2" xfId="9893" xr:uid="{9CD11AAB-AA5E-4295-B0D2-0EAD4D743EDE}"/>
    <cellStyle name="Normal 8 5 5" xfId="9888" xr:uid="{E395C4E2-B380-4E5C-9E3A-9243730AD43A}"/>
    <cellStyle name="Normal 8 6" xfId="4574" xr:uid="{00000000-0005-0000-0000-0000B3110000}"/>
    <cellStyle name="Normal 8 6 2" xfId="4575" xr:uid="{00000000-0005-0000-0000-0000B4110000}"/>
    <cellStyle name="Normal 8 6 2 2" xfId="4576" xr:uid="{00000000-0005-0000-0000-0000B5110000}"/>
    <cellStyle name="Normal 8 6 2 2 2" xfId="9896" xr:uid="{42CC0077-A19E-4BF2-A4E2-EFDDCDCC27BD}"/>
    <cellStyle name="Normal 8 6 2 3" xfId="9895" xr:uid="{CD803D67-4F3E-479C-A165-030403400C24}"/>
    <cellStyle name="Normal 8 6 3" xfId="4577" xr:uid="{00000000-0005-0000-0000-0000B6110000}"/>
    <cellStyle name="Normal 8 6 3 2" xfId="9897" xr:uid="{C3E7C824-796A-4722-A375-B5EE05F7DA7A}"/>
    <cellStyle name="Normal 8 6 4" xfId="4578" xr:uid="{00000000-0005-0000-0000-0000B7110000}"/>
    <cellStyle name="Normal 8 6 4 2" xfId="9898" xr:uid="{43FA684D-A37B-406E-A235-216DBB4AA556}"/>
    <cellStyle name="Normal 8 6 5" xfId="9894" xr:uid="{09226B38-4131-4750-820C-73203AA5E3E6}"/>
    <cellStyle name="Normal 8 7" xfId="4579" xr:uid="{00000000-0005-0000-0000-0000B8110000}"/>
    <cellStyle name="Normal 8 7 2" xfId="4580" xr:uid="{00000000-0005-0000-0000-0000B9110000}"/>
    <cellStyle name="Normal 8 7 2 2" xfId="9900" xr:uid="{F1B51B24-331A-4E34-915D-908B552C2E74}"/>
    <cellStyle name="Normal 8 7 3" xfId="4581" xr:uid="{00000000-0005-0000-0000-0000BA110000}"/>
    <cellStyle name="Normal 8 7 3 2" xfId="9901" xr:uid="{C5B98BD5-8D5B-4CFB-944F-A8F8E7B72D4F}"/>
    <cellStyle name="Normal 8 7 4" xfId="9899" xr:uid="{FAF509AD-33D9-475D-BCA3-B0FCDFEC89D4}"/>
    <cellStyle name="Normal 8 8" xfId="4582" xr:uid="{00000000-0005-0000-0000-0000BB110000}"/>
    <cellStyle name="Normal 8 8 2" xfId="4583" xr:uid="{00000000-0005-0000-0000-0000BC110000}"/>
    <cellStyle name="Normal 8 8 2 2" xfId="9903" xr:uid="{86A09750-7000-4566-8201-563CEBCA36C5}"/>
    <cellStyle name="Normal 8 8 3" xfId="9902" xr:uid="{D9BF9198-5657-4866-9723-DA54414EB7D0}"/>
    <cellStyle name="Normal 8 9" xfId="4584" xr:uid="{00000000-0005-0000-0000-0000BD110000}"/>
    <cellStyle name="Normal 8 9 2" xfId="4585" xr:uid="{00000000-0005-0000-0000-0000BE110000}"/>
    <cellStyle name="Normal 8 9 2 2" xfId="9905" xr:uid="{730E6AD1-3B63-4D10-8592-200323DCAB2A}"/>
    <cellStyle name="Normal 8 9 3" xfId="9904" xr:uid="{E2FCCBD6-2230-4952-B373-31976365FA1A}"/>
    <cellStyle name="Normal 9" xfId="196" xr:uid="{00000000-0005-0000-0000-0000BF110000}"/>
    <cellStyle name="Normal 9 10" xfId="5530" xr:uid="{6BB89B6B-9EB0-4BF8-ABC8-F20439E37506}"/>
    <cellStyle name="Normal 9 2" xfId="197" xr:uid="{00000000-0005-0000-0000-0000C0110000}"/>
    <cellStyle name="Normal 9 2 2" xfId="4586" xr:uid="{00000000-0005-0000-0000-0000C1110000}"/>
    <cellStyle name="Normal 9 2 2 2" xfId="4587" xr:uid="{00000000-0005-0000-0000-0000C2110000}"/>
    <cellStyle name="Normal 9 2 2 2 2" xfId="4588" xr:uid="{00000000-0005-0000-0000-0000C3110000}"/>
    <cellStyle name="Normal 9 2 2 2 2 2" xfId="9908" xr:uid="{32C08BEE-6AD8-49C1-9152-49951D2EDA89}"/>
    <cellStyle name="Normal 9 2 2 2 3" xfId="4589" xr:uid="{00000000-0005-0000-0000-0000C4110000}"/>
    <cellStyle name="Normal 9 2 2 2 3 2" xfId="9909" xr:uid="{425A9B36-5B80-4638-A75F-9DA7D38E9087}"/>
    <cellStyle name="Normal 9 2 2 2 4" xfId="9907" xr:uid="{8A7DB84B-971C-4184-8E48-D27047B86262}"/>
    <cellStyle name="Normal 9 2 2 3" xfId="4590" xr:uid="{00000000-0005-0000-0000-0000C5110000}"/>
    <cellStyle name="Normal 9 2 2 3 2" xfId="9910" xr:uid="{EDFCB635-6234-460F-9F85-C03037151B16}"/>
    <cellStyle name="Normal 9 2 2 4" xfId="4591" xr:uid="{00000000-0005-0000-0000-0000C6110000}"/>
    <cellStyle name="Normal 9 2 2 4 2" xfId="9911" xr:uid="{3F2E67C4-B305-43DA-8E52-3E262EF490DD}"/>
    <cellStyle name="Normal 9 2 2 5" xfId="9906" xr:uid="{0B66869F-CE22-4DA0-9760-FE5F68C814A7}"/>
    <cellStyle name="Normal 9 2 3" xfId="4592" xr:uid="{00000000-0005-0000-0000-0000C7110000}"/>
    <cellStyle name="Normal 9 2 3 2" xfId="4593" xr:uid="{00000000-0005-0000-0000-0000C8110000}"/>
    <cellStyle name="Normal 9 2 3 2 2" xfId="4594" xr:uid="{00000000-0005-0000-0000-0000C9110000}"/>
    <cellStyle name="Normal 9 2 3 2 2 2" xfId="9914" xr:uid="{95A2024A-7524-408A-8F25-328A3C123FFA}"/>
    <cellStyle name="Normal 9 2 3 2 3" xfId="9913" xr:uid="{A7C82561-64BB-40CE-AA18-B791D2812BDB}"/>
    <cellStyle name="Normal 9 2 3 3" xfId="4595" xr:uid="{00000000-0005-0000-0000-0000CA110000}"/>
    <cellStyle name="Normal 9 2 3 3 2" xfId="9915" xr:uid="{F2D35EF6-EF80-4177-9FA2-DE3934A193F5}"/>
    <cellStyle name="Normal 9 2 3 4" xfId="4596" xr:uid="{00000000-0005-0000-0000-0000CB110000}"/>
    <cellStyle name="Normal 9 2 3 4 2" xfId="9916" xr:uid="{B425EE22-3752-446C-AC23-0DC8388C54C1}"/>
    <cellStyle name="Normal 9 2 3 5" xfId="9912" xr:uid="{99C7E10A-8197-41EC-A61D-61F5423F9F6F}"/>
    <cellStyle name="Normal 9 2 4" xfId="4597" xr:uid="{00000000-0005-0000-0000-0000CC110000}"/>
    <cellStyle name="Normal 9 2 4 2" xfId="4598" xr:uid="{00000000-0005-0000-0000-0000CD110000}"/>
    <cellStyle name="Normal 9 2 4 2 2" xfId="9918" xr:uid="{4BF033B7-EE83-4ACE-9561-56512B810D25}"/>
    <cellStyle name="Normal 9 2 4 3" xfId="9917" xr:uid="{39501E41-D061-4AD2-AF10-7F51B6CF36F7}"/>
    <cellStyle name="Normal 9 2 5" xfId="4599" xr:uid="{00000000-0005-0000-0000-0000CE110000}"/>
    <cellStyle name="Normal 9 2 5 2" xfId="4600" xr:uid="{00000000-0005-0000-0000-0000CF110000}"/>
    <cellStyle name="Normal 9 2 5 2 2" xfId="9920" xr:uid="{E056948B-BAEE-446D-BBE3-3BC330671C31}"/>
    <cellStyle name="Normal 9 2 5 3" xfId="9919" xr:uid="{7F33D46B-5AE9-4567-B3D4-C9347A9CE6EE}"/>
    <cellStyle name="Normal 9 2 6" xfId="4601" xr:uid="{00000000-0005-0000-0000-0000D0110000}"/>
    <cellStyle name="Normal 9 2 6 2" xfId="4602" xr:uid="{00000000-0005-0000-0000-0000D1110000}"/>
    <cellStyle name="Normal 9 2 6 2 2" xfId="9922" xr:uid="{F38A9504-5754-4240-9660-41FB6C8BAB77}"/>
    <cellStyle name="Normal 9 2 6 3" xfId="9921" xr:uid="{F487ADF0-FF5D-42C2-A8B9-7ABF1EBAA2BE}"/>
    <cellStyle name="Normal 9 2 7" xfId="4603" xr:uid="{00000000-0005-0000-0000-0000D2110000}"/>
    <cellStyle name="Normal 9 2 7 2" xfId="9923" xr:uid="{7A760E05-42DD-4148-8408-36F555B81F26}"/>
    <cellStyle name="Normal 9 2 8" xfId="4604" xr:uid="{00000000-0005-0000-0000-0000D3110000}"/>
    <cellStyle name="Normal 9 2 8 2" xfId="9924" xr:uid="{8D99FDEC-A12E-46C5-A93B-BA5BF95C80CE}"/>
    <cellStyle name="Normal 9 2 9" xfId="5531" xr:uid="{B4D18179-9723-49E5-90C6-F00D5B2EE946}"/>
    <cellStyle name="Normal 9 3" xfId="4605" xr:uid="{00000000-0005-0000-0000-0000D4110000}"/>
    <cellStyle name="Normal 9 3 2" xfId="4606" xr:uid="{00000000-0005-0000-0000-0000D5110000}"/>
    <cellStyle name="Normal 9 3 2 2" xfId="4607" xr:uid="{00000000-0005-0000-0000-0000D6110000}"/>
    <cellStyle name="Normal 9 3 2 2 2" xfId="9927" xr:uid="{6B6779D3-E548-4557-A3DB-DDA638A85F5E}"/>
    <cellStyle name="Normal 9 3 2 3" xfId="4608" xr:uid="{00000000-0005-0000-0000-0000D7110000}"/>
    <cellStyle name="Normal 9 3 2 3 2" xfId="9928" xr:uid="{CF429B1F-9945-48B3-91D5-CE32EE5FF91B}"/>
    <cellStyle name="Normal 9 3 2 4" xfId="9926" xr:uid="{544D3164-B43B-4335-BC60-387E6814E230}"/>
    <cellStyle name="Normal 9 3 3" xfId="4609" xr:uid="{00000000-0005-0000-0000-0000D8110000}"/>
    <cellStyle name="Normal 9 3 3 2" xfId="9929" xr:uid="{FF86A72F-2740-4772-95BB-BCF8A8B07C67}"/>
    <cellStyle name="Normal 9 3 4" xfId="4610" xr:uid="{00000000-0005-0000-0000-0000D9110000}"/>
    <cellStyle name="Normal 9 3 4 2" xfId="9930" xr:uid="{9E3F1B33-56D9-4692-80BC-BF76AEEA4F6A}"/>
    <cellStyle name="Normal 9 3 5" xfId="9925" xr:uid="{FFB91F11-4E04-49E4-AC33-607980B54CA0}"/>
    <cellStyle name="Normal 9 4" xfId="4611" xr:uid="{00000000-0005-0000-0000-0000DA110000}"/>
    <cellStyle name="Normal 9 4 2" xfId="4612" xr:uid="{00000000-0005-0000-0000-0000DB110000}"/>
    <cellStyle name="Normal 9 4 2 2" xfId="4613" xr:uid="{00000000-0005-0000-0000-0000DC110000}"/>
    <cellStyle name="Normal 9 4 2 2 2" xfId="9933" xr:uid="{8363ABA5-5A3A-4952-996A-5E8D00676217}"/>
    <cellStyle name="Normal 9 4 2 3" xfId="9932" xr:uid="{FF0845B0-AB14-4CE2-8908-2FE874951769}"/>
    <cellStyle name="Normal 9 4 3" xfId="4614" xr:uid="{00000000-0005-0000-0000-0000DD110000}"/>
    <cellStyle name="Normal 9 4 3 2" xfId="9934" xr:uid="{A535E123-1D4A-4671-A821-190D8BF3954A}"/>
    <cellStyle name="Normal 9 4 4" xfId="4615" xr:uid="{00000000-0005-0000-0000-0000DE110000}"/>
    <cellStyle name="Normal 9 4 4 2" xfId="9935" xr:uid="{FA9046A0-BDBF-4939-9DFC-5CEE631275C4}"/>
    <cellStyle name="Normal 9 4 5" xfId="9931" xr:uid="{383C4140-F45B-475D-B45B-96B6A8FA4806}"/>
    <cellStyle name="Normal 9 5" xfId="4616" xr:uid="{00000000-0005-0000-0000-0000DF110000}"/>
    <cellStyle name="Normal 9 5 2" xfId="4617" xr:uid="{00000000-0005-0000-0000-0000E0110000}"/>
    <cellStyle name="Normal 9 5 2 2" xfId="9937" xr:uid="{6C894B56-6BB9-48E5-A4B7-53F21587C957}"/>
    <cellStyle name="Normal 9 5 3" xfId="9936" xr:uid="{DBFC7062-0BFF-484D-8474-542369E30E6B}"/>
    <cellStyle name="Normal 9 6" xfId="4618" xr:uid="{00000000-0005-0000-0000-0000E1110000}"/>
    <cellStyle name="Normal 9 6 2" xfId="4619" xr:uid="{00000000-0005-0000-0000-0000E2110000}"/>
    <cellStyle name="Normal 9 6 2 2" xfId="9939" xr:uid="{35E826CE-4E0B-431D-8944-2DF4343F81C7}"/>
    <cellStyle name="Normal 9 6 3" xfId="9938" xr:uid="{32D4BF99-4D14-4897-9154-15EE0B69A0A4}"/>
    <cellStyle name="Normal 9 7" xfId="4620" xr:uid="{00000000-0005-0000-0000-0000E3110000}"/>
    <cellStyle name="Normal 9 7 2" xfId="4621" xr:uid="{00000000-0005-0000-0000-0000E4110000}"/>
    <cellStyle name="Normal 9 7 2 2" xfId="9941" xr:uid="{E159380E-763A-4643-8792-1791FDB8EEAA}"/>
    <cellStyle name="Normal 9 7 3" xfId="9940" xr:uid="{4DA5E887-85AA-45AB-9A80-9584ADB30FAB}"/>
    <cellStyle name="Normal 9 8" xfId="4622" xr:uid="{00000000-0005-0000-0000-0000E5110000}"/>
    <cellStyle name="Normal 9 8 2" xfId="9942" xr:uid="{A94B16AF-009E-47AB-9F41-C88B3084C998}"/>
    <cellStyle name="Normal 9 9" xfId="4623" xr:uid="{00000000-0005-0000-0000-0000E6110000}"/>
    <cellStyle name="Normal 9 9 2" xfId="9943" xr:uid="{3E81EB0D-43B9-46F4-AA14-6E720910D011}"/>
    <cellStyle name="Normal_AFRPG3" xfId="5" xr:uid="{00000000-0005-0000-0000-0000E7110000}"/>
    <cellStyle name="Normal_AFRPG41" xfId="6" xr:uid="{00000000-0005-0000-0000-0000E8110000}"/>
    <cellStyle name="Normal_AFRPG47" xfId="7" xr:uid="{00000000-0005-0000-0000-0000E9110000}"/>
    <cellStyle name="Normal_AFRPG56" xfId="8" xr:uid="{00000000-0005-0000-0000-0000EA110000}"/>
    <cellStyle name="Normal_AFRPG59" xfId="9" xr:uid="{00000000-0005-0000-0000-0000EB110000}"/>
    <cellStyle name="Normal_AFRPG63" xfId="10" xr:uid="{00000000-0005-0000-0000-0000EC110000}"/>
    <cellStyle name="Normal_AFRPG64" xfId="11" xr:uid="{00000000-0005-0000-0000-0000ED110000}"/>
    <cellStyle name="Normal_COVER" xfId="12" xr:uid="{00000000-0005-0000-0000-0000EE110000}"/>
    <cellStyle name="Normal_THRESHOLD CALCULATOR v3" xfId="13" xr:uid="{00000000-0005-0000-0000-0000EF110000}"/>
    <cellStyle name="Percent 2" xfId="198" xr:uid="{00000000-0005-0000-0000-0000F0110000}"/>
    <cellStyle name="Percent 2 10" xfId="4624" xr:uid="{00000000-0005-0000-0000-0000F1110000}"/>
    <cellStyle name="Percent 2 10 2" xfId="4625" xr:uid="{00000000-0005-0000-0000-0000F2110000}"/>
    <cellStyle name="Percent 2 10 2 2" xfId="9945" xr:uid="{E098C93B-B6AE-4D39-B15C-F13EB73DFA08}"/>
    <cellStyle name="Percent 2 10 3" xfId="4626" xr:uid="{00000000-0005-0000-0000-0000F3110000}"/>
    <cellStyle name="Percent 2 10 3 2" xfId="9946" xr:uid="{192874A8-567F-47E9-B2B0-956AC24A79FD}"/>
    <cellStyle name="Percent 2 10 4" xfId="9944" xr:uid="{1A6BAE4F-EBF2-4B60-8F8D-DFC322048556}"/>
    <cellStyle name="Percent 2 11" xfId="4627" xr:uid="{00000000-0005-0000-0000-0000F4110000}"/>
    <cellStyle name="Percent 2 11 2" xfId="4628" xr:uid="{00000000-0005-0000-0000-0000F5110000}"/>
    <cellStyle name="Percent 2 11 2 2" xfId="9948" xr:uid="{DEA76EF2-9A86-4431-AF6E-7D500B8E397D}"/>
    <cellStyle name="Percent 2 11 3" xfId="9947" xr:uid="{F15B16F3-A5A7-4DDA-ACDE-6B109370B5CE}"/>
    <cellStyle name="Percent 2 12" xfId="4629" xr:uid="{00000000-0005-0000-0000-0000F6110000}"/>
    <cellStyle name="Percent 2 12 2" xfId="4630" xr:uid="{00000000-0005-0000-0000-0000F7110000}"/>
    <cellStyle name="Percent 2 12 2 2" xfId="9950" xr:uid="{D15CDC5B-ACDD-4452-A59A-FE506C3CD4DB}"/>
    <cellStyle name="Percent 2 12 3" xfId="9949" xr:uid="{6290ACBB-EB3E-401B-A242-E0E1BD98A2D2}"/>
    <cellStyle name="Percent 2 13" xfId="4631" xr:uid="{00000000-0005-0000-0000-0000F8110000}"/>
    <cellStyle name="Percent 2 13 2" xfId="9951" xr:uid="{10331B13-9BB6-4E75-8B25-A37DACC129C7}"/>
    <cellStyle name="Percent 2 14" xfId="4632" xr:uid="{00000000-0005-0000-0000-0000F9110000}"/>
    <cellStyle name="Percent 2 14 2" xfId="9952" xr:uid="{C1EF3A39-549F-4B49-B8EF-453A0F70FDA1}"/>
    <cellStyle name="Percent 2 15" xfId="5532" xr:uid="{38CCDE22-B94C-4BF0-B6CA-9BB91F3ECF3C}"/>
    <cellStyle name="Percent 2 2" xfId="199" xr:uid="{00000000-0005-0000-0000-0000FA110000}"/>
    <cellStyle name="Percent 2 2 10" xfId="4633" xr:uid="{00000000-0005-0000-0000-0000FB110000}"/>
    <cellStyle name="Percent 2 2 10 2" xfId="4634" xr:uid="{00000000-0005-0000-0000-0000FC110000}"/>
    <cellStyle name="Percent 2 2 10 2 2" xfId="9954" xr:uid="{B98B4436-A8EA-456B-A810-9CE941606290}"/>
    <cellStyle name="Percent 2 2 10 3" xfId="9953" xr:uid="{49978268-A57F-4C2D-BCA4-26739AF3AFFF}"/>
    <cellStyle name="Percent 2 2 11" xfId="4635" xr:uid="{00000000-0005-0000-0000-0000FD110000}"/>
    <cellStyle name="Percent 2 2 11 2" xfId="4636" xr:uid="{00000000-0005-0000-0000-0000FE110000}"/>
    <cellStyle name="Percent 2 2 11 2 2" xfId="9956" xr:uid="{E74191B5-C4F0-4CA4-B1E3-F37A5865FDB4}"/>
    <cellStyle name="Percent 2 2 11 3" xfId="9955" xr:uid="{D46AF291-BBF8-44A5-B073-A5C30EDD6F11}"/>
    <cellStyle name="Percent 2 2 12" xfId="4637" xr:uid="{00000000-0005-0000-0000-0000FF110000}"/>
    <cellStyle name="Percent 2 2 12 2" xfId="9957" xr:uid="{8376BEF5-6D3B-4295-B4A5-FC60D258955B}"/>
    <cellStyle name="Percent 2 2 13" xfId="4638" xr:uid="{00000000-0005-0000-0000-000000120000}"/>
    <cellStyle name="Percent 2 2 13 2" xfId="9958" xr:uid="{8697FE99-281F-48ED-8B04-C21B1B905640}"/>
    <cellStyle name="Percent 2 2 14" xfId="5533" xr:uid="{4FAD59EE-909B-4FCC-9F57-315017478FF2}"/>
    <cellStyle name="Percent 2 2 2" xfId="200" xr:uid="{00000000-0005-0000-0000-000001120000}"/>
    <cellStyle name="Percent 2 2 2 10" xfId="4639" xr:uid="{00000000-0005-0000-0000-000002120000}"/>
    <cellStyle name="Percent 2 2 2 10 2" xfId="9959" xr:uid="{9C64CB98-86F6-474E-836E-BB6FE99FC908}"/>
    <cellStyle name="Percent 2 2 2 11" xfId="4640" xr:uid="{00000000-0005-0000-0000-000003120000}"/>
    <cellStyle name="Percent 2 2 2 11 2" xfId="9960" xr:uid="{1AC660BD-77F2-4E62-832B-3ED8C3DC8FB1}"/>
    <cellStyle name="Percent 2 2 2 12" xfId="5534" xr:uid="{978793FD-753E-451E-84C1-FF4C437052A3}"/>
    <cellStyle name="Percent 2 2 2 2" xfId="201" xr:uid="{00000000-0005-0000-0000-000004120000}"/>
    <cellStyle name="Percent 2 2 2 2 10" xfId="4641" xr:uid="{00000000-0005-0000-0000-000005120000}"/>
    <cellStyle name="Percent 2 2 2 2 10 2" xfId="9961" xr:uid="{C6C6602E-D26E-4813-8151-27356DF57601}"/>
    <cellStyle name="Percent 2 2 2 2 11" xfId="5535" xr:uid="{4A3F4FE1-856A-43F7-B7B8-68BF75DEB16B}"/>
    <cellStyle name="Percent 2 2 2 2 2" xfId="202" xr:uid="{00000000-0005-0000-0000-000006120000}"/>
    <cellStyle name="Percent 2 2 2 2 2 10" xfId="5536" xr:uid="{275CBEE9-DD18-4387-BFE4-460B9B4E2EB0}"/>
    <cellStyle name="Percent 2 2 2 2 2 2" xfId="203" xr:uid="{00000000-0005-0000-0000-000007120000}"/>
    <cellStyle name="Percent 2 2 2 2 2 2 2" xfId="4642" xr:uid="{00000000-0005-0000-0000-000008120000}"/>
    <cellStyle name="Percent 2 2 2 2 2 2 2 2" xfId="4643" xr:uid="{00000000-0005-0000-0000-000009120000}"/>
    <cellStyle name="Percent 2 2 2 2 2 2 2 2 2" xfId="4644" xr:uid="{00000000-0005-0000-0000-00000A120000}"/>
    <cellStyle name="Percent 2 2 2 2 2 2 2 2 2 2" xfId="9964" xr:uid="{DC391DAC-F3F8-4081-ABB6-56615067B4FC}"/>
    <cellStyle name="Percent 2 2 2 2 2 2 2 2 3" xfId="4645" xr:uid="{00000000-0005-0000-0000-00000B120000}"/>
    <cellStyle name="Percent 2 2 2 2 2 2 2 2 3 2" xfId="9965" xr:uid="{F1678509-326B-43CB-B182-ED23501C4E79}"/>
    <cellStyle name="Percent 2 2 2 2 2 2 2 2 4" xfId="9963" xr:uid="{CC20F93E-2926-4765-B4FD-E1BCDB98CADA}"/>
    <cellStyle name="Percent 2 2 2 2 2 2 2 3" xfId="4646" xr:uid="{00000000-0005-0000-0000-00000C120000}"/>
    <cellStyle name="Percent 2 2 2 2 2 2 2 3 2" xfId="9966" xr:uid="{C22A49FA-2C3C-4732-A691-92B7211CEFD8}"/>
    <cellStyle name="Percent 2 2 2 2 2 2 2 4" xfId="4647" xr:uid="{00000000-0005-0000-0000-00000D120000}"/>
    <cellStyle name="Percent 2 2 2 2 2 2 2 4 2" xfId="9967" xr:uid="{E324FF29-A7C4-4B75-BDFA-484DFF3B554B}"/>
    <cellStyle name="Percent 2 2 2 2 2 2 2 5" xfId="9962" xr:uid="{DCFB3436-B5AE-4010-A726-72FDEE82E5A4}"/>
    <cellStyle name="Percent 2 2 2 2 2 2 3" xfId="4648" xr:uid="{00000000-0005-0000-0000-00000E120000}"/>
    <cellStyle name="Percent 2 2 2 2 2 2 3 2" xfId="4649" xr:uid="{00000000-0005-0000-0000-00000F120000}"/>
    <cellStyle name="Percent 2 2 2 2 2 2 3 2 2" xfId="4650" xr:uid="{00000000-0005-0000-0000-000010120000}"/>
    <cellStyle name="Percent 2 2 2 2 2 2 3 2 2 2" xfId="9970" xr:uid="{63CDE02E-7BFB-4AE9-A4DF-56A5AC14B463}"/>
    <cellStyle name="Percent 2 2 2 2 2 2 3 2 3" xfId="9969" xr:uid="{83EF8F51-AAAB-4B28-AA87-D7635C72A9A4}"/>
    <cellStyle name="Percent 2 2 2 2 2 2 3 3" xfId="4651" xr:uid="{00000000-0005-0000-0000-000011120000}"/>
    <cellStyle name="Percent 2 2 2 2 2 2 3 3 2" xfId="9971" xr:uid="{80A8486B-E00D-44E2-A9EE-E71DEBEEBED0}"/>
    <cellStyle name="Percent 2 2 2 2 2 2 3 4" xfId="4652" xr:uid="{00000000-0005-0000-0000-000012120000}"/>
    <cellStyle name="Percent 2 2 2 2 2 2 3 4 2" xfId="9972" xr:uid="{1F66817C-3D6D-4365-AF18-DD1667E4C7DC}"/>
    <cellStyle name="Percent 2 2 2 2 2 2 3 5" xfId="9968" xr:uid="{52909A16-CABA-4E9B-B8B9-8A2984CFA526}"/>
    <cellStyle name="Percent 2 2 2 2 2 2 4" xfId="4653" xr:uid="{00000000-0005-0000-0000-000013120000}"/>
    <cellStyle name="Percent 2 2 2 2 2 2 4 2" xfId="4654" xr:uid="{00000000-0005-0000-0000-000014120000}"/>
    <cellStyle name="Percent 2 2 2 2 2 2 4 2 2" xfId="9974" xr:uid="{92174CA4-519C-4C86-918D-4F2B304403AC}"/>
    <cellStyle name="Percent 2 2 2 2 2 2 4 3" xfId="9973" xr:uid="{2F4260C4-7C6B-42AE-BBB2-493FB82D6846}"/>
    <cellStyle name="Percent 2 2 2 2 2 2 5" xfId="4655" xr:uid="{00000000-0005-0000-0000-000015120000}"/>
    <cellStyle name="Percent 2 2 2 2 2 2 5 2" xfId="4656" xr:uid="{00000000-0005-0000-0000-000016120000}"/>
    <cellStyle name="Percent 2 2 2 2 2 2 5 2 2" xfId="9976" xr:uid="{4FA0C54F-DB85-48FB-9D55-0355FE3ECDC0}"/>
    <cellStyle name="Percent 2 2 2 2 2 2 5 3" xfId="9975" xr:uid="{36F433D8-F3E6-4965-B655-CC780F1367F4}"/>
    <cellStyle name="Percent 2 2 2 2 2 2 6" xfId="4657" xr:uid="{00000000-0005-0000-0000-000017120000}"/>
    <cellStyle name="Percent 2 2 2 2 2 2 6 2" xfId="4658" xr:uid="{00000000-0005-0000-0000-000018120000}"/>
    <cellStyle name="Percent 2 2 2 2 2 2 6 2 2" xfId="9978" xr:uid="{67099099-34D3-4544-A15F-F56C93FED093}"/>
    <cellStyle name="Percent 2 2 2 2 2 2 6 3" xfId="9977" xr:uid="{AC4FC51F-F0E5-4813-B92C-4EC30B0C3C73}"/>
    <cellStyle name="Percent 2 2 2 2 2 2 7" xfId="4659" xr:uid="{00000000-0005-0000-0000-000019120000}"/>
    <cellStyle name="Percent 2 2 2 2 2 2 7 2" xfId="9979" xr:uid="{307A3941-5DB6-4E04-BB26-21679AFE3DD4}"/>
    <cellStyle name="Percent 2 2 2 2 2 2 8" xfId="4660" xr:uid="{00000000-0005-0000-0000-00001A120000}"/>
    <cellStyle name="Percent 2 2 2 2 2 2 8 2" xfId="9980" xr:uid="{9CC7B4B4-B077-43ED-BF35-D6194F64BE53}"/>
    <cellStyle name="Percent 2 2 2 2 2 2 9" xfId="5537" xr:uid="{99BB1424-1DC8-4B12-A6A2-8FDCCDD94C8A}"/>
    <cellStyle name="Percent 2 2 2 2 2 3" xfId="4661" xr:uid="{00000000-0005-0000-0000-00001B120000}"/>
    <cellStyle name="Percent 2 2 2 2 2 3 2" xfId="4662" xr:uid="{00000000-0005-0000-0000-00001C120000}"/>
    <cellStyle name="Percent 2 2 2 2 2 3 2 2" xfId="4663" xr:uid="{00000000-0005-0000-0000-00001D120000}"/>
    <cellStyle name="Percent 2 2 2 2 2 3 2 2 2" xfId="9983" xr:uid="{A01C0DA0-A709-4779-B53A-24468EEB7192}"/>
    <cellStyle name="Percent 2 2 2 2 2 3 2 3" xfId="4664" xr:uid="{00000000-0005-0000-0000-00001E120000}"/>
    <cellStyle name="Percent 2 2 2 2 2 3 2 3 2" xfId="9984" xr:uid="{1164FF93-FD21-41AA-99E4-7A9894D9CFD2}"/>
    <cellStyle name="Percent 2 2 2 2 2 3 2 4" xfId="9982" xr:uid="{7CA06C04-E576-4B81-8CE3-F22FD194B080}"/>
    <cellStyle name="Percent 2 2 2 2 2 3 3" xfId="4665" xr:uid="{00000000-0005-0000-0000-00001F120000}"/>
    <cellStyle name="Percent 2 2 2 2 2 3 3 2" xfId="9985" xr:uid="{16B92F30-334E-4153-B6AD-32CD62750974}"/>
    <cellStyle name="Percent 2 2 2 2 2 3 4" xfId="4666" xr:uid="{00000000-0005-0000-0000-000020120000}"/>
    <cellStyle name="Percent 2 2 2 2 2 3 4 2" xfId="9986" xr:uid="{53293610-CF09-4695-B992-1E2047DEA4E5}"/>
    <cellStyle name="Percent 2 2 2 2 2 3 5" xfId="9981" xr:uid="{422B051F-35C3-448B-ACDB-5D479A70EA43}"/>
    <cellStyle name="Percent 2 2 2 2 2 4" xfId="4667" xr:uid="{00000000-0005-0000-0000-000021120000}"/>
    <cellStyle name="Percent 2 2 2 2 2 4 2" xfId="4668" xr:uid="{00000000-0005-0000-0000-000022120000}"/>
    <cellStyle name="Percent 2 2 2 2 2 4 2 2" xfId="4669" xr:uid="{00000000-0005-0000-0000-000023120000}"/>
    <cellStyle name="Percent 2 2 2 2 2 4 2 2 2" xfId="9989" xr:uid="{8B94882D-9BE9-4A1A-9F59-AF0D21FC311A}"/>
    <cellStyle name="Percent 2 2 2 2 2 4 2 3" xfId="9988" xr:uid="{D4C53C66-8597-4A72-80B4-057791238536}"/>
    <cellStyle name="Percent 2 2 2 2 2 4 3" xfId="4670" xr:uid="{00000000-0005-0000-0000-000024120000}"/>
    <cellStyle name="Percent 2 2 2 2 2 4 3 2" xfId="9990" xr:uid="{82C91122-C953-44CA-8ECF-D023A6BAB6E6}"/>
    <cellStyle name="Percent 2 2 2 2 2 4 4" xfId="4671" xr:uid="{00000000-0005-0000-0000-000025120000}"/>
    <cellStyle name="Percent 2 2 2 2 2 4 4 2" xfId="9991" xr:uid="{D01D410F-8C02-4D44-BEF4-38968EBF4E5C}"/>
    <cellStyle name="Percent 2 2 2 2 2 4 5" xfId="9987" xr:uid="{FF91BE28-BB57-41EB-AF59-C6B6F7672200}"/>
    <cellStyle name="Percent 2 2 2 2 2 5" xfId="4672" xr:uid="{00000000-0005-0000-0000-000026120000}"/>
    <cellStyle name="Percent 2 2 2 2 2 5 2" xfId="4673" xr:uid="{00000000-0005-0000-0000-000027120000}"/>
    <cellStyle name="Percent 2 2 2 2 2 5 2 2" xfId="9993" xr:uid="{69E83FB5-3085-40F7-90F6-A995068F153B}"/>
    <cellStyle name="Percent 2 2 2 2 2 5 3" xfId="9992" xr:uid="{3CC0175C-93AD-4815-80C5-9EF0E13CAD43}"/>
    <cellStyle name="Percent 2 2 2 2 2 6" xfId="4674" xr:uid="{00000000-0005-0000-0000-000028120000}"/>
    <cellStyle name="Percent 2 2 2 2 2 6 2" xfId="4675" xr:uid="{00000000-0005-0000-0000-000029120000}"/>
    <cellStyle name="Percent 2 2 2 2 2 6 2 2" xfId="9995" xr:uid="{5295AADE-53AE-4A11-AD74-F58414DE0ACB}"/>
    <cellStyle name="Percent 2 2 2 2 2 6 3" xfId="9994" xr:uid="{03F77981-01B6-42E1-8638-A74D4FDF439B}"/>
    <cellStyle name="Percent 2 2 2 2 2 7" xfId="4676" xr:uid="{00000000-0005-0000-0000-00002A120000}"/>
    <cellStyle name="Percent 2 2 2 2 2 7 2" xfId="4677" xr:uid="{00000000-0005-0000-0000-00002B120000}"/>
    <cellStyle name="Percent 2 2 2 2 2 7 2 2" xfId="9997" xr:uid="{B04B91E4-63AB-49A9-A7A3-04BDD9EAFF02}"/>
    <cellStyle name="Percent 2 2 2 2 2 7 3" xfId="9996" xr:uid="{2913F1FD-7CA9-4106-951C-6815115C1A0B}"/>
    <cellStyle name="Percent 2 2 2 2 2 8" xfId="4678" xr:uid="{00000000-0005-0000-0000-00002C120000}"/>
    <cellStyle name="Percent 2 2 2 2 2 8 2" xfId="9998" xr:uid="{A84B1E12-6BAC-4D17-8716-8F204260DBED}"/>
    <cellStyle name="Percent 2 2 2 2 2 9" xfId="4679" xr:uid="{00000000-0005-0000-0000-00002D120000}"/>
    <cellStyle name="Percent 2 2 2 2 2 9 2" xfId="9999" xr:uid="{4520367D-B572-4D07-8F4F-823D0BE76877}"/>
    <cellStyle name="Percent 2 2 2 2 3" xfId="204" xr:uid="{00000000-0005-0000-0000-00002E120000}"/>
    <cellStyle name="Percent 2 2 2 2 3 2" xfId="4680" xr:uid="{00000000-0005-0000-0000-00002F120000}"/>
    <cellStyle name="Percent 2 2 2 2 3 2 2" xfId="4681" xr:uid="{00000000-0005-0000-0000-000030120000}"/>
    <cellStyle name="Percent 2 2 2 2 3 2 2 2" xfId="4682" xr:uid="{00000000-0005-0000-0000-000031120000}"/>
    <cellStyle name="Percent 2 2 2 2 3 2 2 2 2" xfId="10002" xr:uid="{79A63A30-7DCD-4E36-9E22-FD63E1B041E9}"/>
    <cellStyle name="Percent 2 2 2 2 3 2 2 3" xfId="4683" xr:uid="{00000000-0005-0000-0000-000032120000}"/>
    <cellStyle name="Percent 2 2 2 2 3 2 2 3 2" xfId="10003" xr:uid="{9E871B1A-388E-4AF3-B080-D4E230164D11}"/>
    <cellStyle name="Percent 2 2 2 2 3 2 2 4" xfId="10001" xr:uid="{1B46E676-53A7-4DE9-AB08-B921250AB48A}"/>
    <cellStyle name="Percent 2 2 2 2 3 2 3" xfId="4684" xr:uid="{00000000-0005-0000-0000-000033120000}"/>
    <cellStyle name="Percent 2 2 2 2 3 2 3 2" xfId="10004" xr:uid="{AD5F8620-11CB-4179-9457-1281AE673141}"/>
    <cellStyle name="Percent 2 2 2 2 3 2 4" xfId="4685" xr:uid="{00000000-0005-0000-0000-000034120000}"/>
    <cellStyle name="Percent 2 2 2 2 3 2 4 2" xfId="10005" xr:uid="{27013B97-4241-4DA0-8062-9A3BA272607F}"/>
    <cellStyle name="Percent 2 2 2 2 3 2 5" xfId="10000" xr:uid="{A403A0AA-7FF3-43CA-B546-5F95BAE29841}"/>
    <cellStyle name="Percent 2 2 2 2 3 3" xfId="4686" xr:uid="{00000000-0005-0000-0000-000035120000}"/>
    <cellStyle name="Percent 2 2 2 2 3 3 2" xfId="4687" xr:uid="{00000000-0005-0000-0000-000036120000}"/>
    <cellStyle name="Percent 2 2 2 2 3 3 2 2" xfId="4688" xr:uid="{00000000-0005-0000-0000-000037120000}"/>
    <cellStyle name="Percent 2 2 2 2 3 3 2 2 2" xfId="10008" xr:uid="{468DAEDA-7A86-4950-8E47-DCB2B62271A8}"/>
    <cellStyle name="Percent 2 2 2 2 3 3 2 3" xfId="10007" xr:uid="{9DBCAF3D-E40B-48AF-A3EA-CDBF80C00C04}"/>
    <cellStyle name="Percent 2 2 2 2 3 3 3" xfId="4689" xr:uid="{00000000-0005-0000-0000-000038120000}"/>
    <cellStyle name="Percent 2 2 2 2 3 3 3 2" xfId="10009" xr:uid="{294A08E2-09E2-4BE3-A97C-14C838F7937C}"/>
    <cellStyle name="Percent 2 2 2 2 3 3 4" xfId="4690" xr:uid="{00000000-0005-0000-0000-000039120000}"/>
    <cellStyle name="Percent 2 2 2 2 3 3 4 2" xfId="10010" xr:uid="{52DE17BA-3B94-4C89-8BE3-C155E0F8F478}"/>
    <cellStyle name="Percent 2 2 2 2 3 3 5" xfId="10006" xr:uid="{F4339DC0-714D-4C7A-AF69-9442186542DA}"/>
    <cellStyle name="Percent 2 2 2 2 3 4" xfId="4691" xr:uid="{00000000-0005-0000-0000-00003A120000}"/>
    <cellStyle name="Percent 2 2 2 2 3 4 2" xfId="4692" xr:uid="{00000000-0005-0000-0000-00003B120000}"/>
    <cellStyle name="Percent 2 2 2 2 3 4 2 2" xfId="10012" xr:uid="{8BD77E35-4D9E-42A2-9BD5-3CEC789D1A35}"/>
    <cellStyle name="Percent 2 2 2 2 3 4 3" xfId="10011" xr:uid="{A0B78122-A9F2-4AFC-88AD-F63309134EF8}"/>
    <cellStyle name="Percent 2 2 2 2 3 5" xfId="4693" xr:uid="{00000000-0005-0000-0000-00003C120000}"/>
    <cellStyle name="Percent 2 2 2 2 3 5 2" xfId="4694" xr:uid="{00000000-0005-0000-0000-00003D120000}"/>
    <cellStyle name="Percent 2 2 2 2 3 5 2 2" xfId="10014" xr:uid="{E119D654-C99F-47A1-89B2-AA987FF16721}"/>
    <cellStyle name="Percent 2 2 2 2 3 5 3" xfId="10013" xr:uid="{AE5F7EB2-E7DB-466C-98F4-9E6FA46D1D7C}"/>
    <cellStyle name="Percent 2 2 2 2 3 6" xfId="4695" xr:uid="{00000000-0005-0000-0000-00003E120000}"/>
    <cellStyle name="Percent 2 2 2 2 3 6 2" xfId="4696" xr:uid="{00000000-0005-0000-0000-00003F120000}"/>
    <cellStyle name="Percent 2 2 2 2 3 6 2 2" xfId="10016" xr:uid="{5BE331FE-3B6D-4059-9F85-F757381BE7A2}"/>
    <cellStyle name="Percent 2 2 2 2 3 6 3" xfId="10015" xr:uid="{BA32E3BD-2C20-4055-AD22-8C2036AED65C}"/>
    <cellStyle name="Percent 2 2 2 2 3 7" xfId="4697" xr:uid="{00000000-0005-0000-0000-000040120000}"/>
    <cellStyle name="Percent 2 2 2 2 3 7 2" xfId="10017" xr:uid="{7CC1D2D6-25D9-457F-B0CA-4875BA71DE93}"/>
    <cellStyle name="Percent 2 2 2 2 3 8" xfId="4698" xr:uid="{00000000-0005-0000-0000-000041120000}"/>
    <cellStyle name="Percent 2 2 2 2 3 8 2" xfId="10018" xr:uid="{D272E7EA-880D-43EF-81A3-51D1F9F1B772}"/>
    <cellStyle name="Percent 2 2 2 2 3 9" xfId="5538" xr:uid="{63C49835-7E8F-455D-8AB2-CFE237041C12}"/>
    <cellStyle name="Percent 2 2 2 2 4" xfId="4699" xr:uid="{00000000-0005-0000-0000-000042120000}"/>
    <cellStyle name="Percent 2 2 2 2 4 2" xfId="4700" xr:uid="{00000000-0005-0000-0000-000043120000}"/>
    <cellStyle name="Percent 2 2 2 2 4 2 2" xfId="4701" xr:uid="{00000000-0005-0000-0000-000044120000}"/>
    <cellStyle name="Percent 2 2 2 2 4 2 2 2" xfId="10021" xr:uid="{BFEAC007-2E54-4BCE-B5BF-F103178F47A5}"/>
    <cellStyle name="Percent 2 2 2 2 4 2 3" xfId="4702" xr:uid="{00000000-0005-0000-0000-000045120000}"/>
    <cellStyle name="Percent 2 2 2 2 4 2 3 2" xfId="10022" xr:uid="{71362408-172D-42F7-BFBE-C8C5027504CD}"/>
    <cellStyle name="Percent 2 2 2 2 4 2 4" xfId="10020" xr:uid="{263BE057-A378-4208-8A25-2C45F875E280}"/>
    <cellStyle name="Percent 2 2 2 2 4 3" xfId="4703" xr:uid="{00000000-0005-0000-0000-000046120000}"/>
    <cellStyle name="Percent 2 2 2 2 4 3 2" xfId="10023" xr:uid="{DCD1EC03-03F1-4AB5-ABF7-FBDCD943988D}"/>
    <cellStyle name="Percent 2 2 2 2 4 4" xfId="4704" xr:uid="{00000000-0005-0000-0000-000047120000}"/>
    <cellStyle name="Percent 2 2 2 2 4 4 2" xfId="10024" xr:uid="{917918AC-3227-465B-B63A-E63AE75E84FD}"/>
    <cellStyle name="Percent 2 2 2 2 4 5" xfId="10019" xr:uid="{9CE96C46-B298-42A0-AB19-038D2AD8B293}"/>
    <cellStyle name="Percent 2 2 2 2 5" xfId="4705" xr:uid="{00000000-0005-0000-0000-000048120000}"/>
    <cellStyle name="Percent 2 2 2 2 5 2" xfId="4706" xr:uid="{00000000-0005-0000-0000-000049120000}"/>
    <cellStyle name="Percent 2 2 2 2 5 2 2" xfId="4707" xr:uid="{00000000-0005-0000-0000-00004A120000}"/>
    <cellStyle name="Percent 2 2 2 2 5 2 2 2" xfId="10027" xr:uid="{6EB68A00-8BDA-4A7C-8BFD-4E933D5DF6EF}"/>
    <cellStyle name="Percent 2 2 2 2 5 2 3" xfId="10026" xr:uid="{C075DB14-1B26-48A6-AA79-AAC838972F40}"/>
    <cellStyle name="Percent 2 2 2 2 5 3" xfId="4708" xr:uid="{00000000-0005-0000-0000-00004B120000}"/>
    <cellStyle name="Percent 2 2 2 2 5 3 2" xfId="10028" xr:uid="{EDC97455-7DAF-4166-9B61-393FBBD7C0A7}"/>
    <cellStyle name="Percent 2 2 2 2 5 4" xfId="4709" xr:uid="{00000000-0005-0000-0000-00004C120000}"/>
    <cellStyle name="Percent 2 2 2 2 5 4 2" xfId="10029" xr:uid="{FCE2ADA3-D5A3-42D3-8540-1E9094FAF18A}"/>
    <cellStyle name="Percent 2 2 2 2 5 5" xfId="10025" xr:uid="{B30F7804-377E-455C-95B0-FDC4A00A1DE8}"/>
    <cellStyle name="Percent 2 2 2 2 6" xfId="4710" xr:uid="{00000000-0005-0000-0000-00004D120000}"/>
    <cellStyle name="Percent 2 2 2 2 6 2" xfId="4711" xr:uid="{00000000-0005-0000-0000-00004E120000}"/>
    <cellStyle name="Percent 2 2 2 2 6 2 2" xfId="10031" xr:uid="{3406E6C8-9929-4A35-881C-1E3F49319BFA}"/>
    <cellStyle name="Percent 2 2 2 2 6 3" xfId="10030" xr:uid="{5D2612CA-B616-47EB-953D-B932EA407B4A}"/>
    <cellStyle name="Percent 2 2 2 2 7" xfId="4712" xr:uid="{00000000-0005-0000-0000-00004F120000}"/>
    <cellStyle name="Percent 2 2 2 2 7 2" xfId="4713" xr:uid="{00000000-0005-0000-0000-000050120000}"/>
    <cellStyle name="Percent 2 2 2 2 7 2 2" xfId="10033" xr:uid="{6A31E160-F509-4871-8FB8-4622CB3A477B}"/>
    <cellStyle name="Percent 2 2 2 2 7 3" xfId="10032" xr:uid="{74337B97-801C-4888-9754-E64A958B4487}"/>
    <cellStyle name="Percent 2 2 2 2 8" xfId="4714" xr:uid="{00000000-0005-0000-0000-000051120000}"/>
    <cellStyle name="Percent 2 2 2 2 8 2" xfId="4715" xr:uid="{00000000-0005-0000-0000-000052120000}"/>
    <cellStyle name="Percent 2 2 2 2 8 2 2" xfId="10035" xr:uid="{EB8043D2-01B7-419D-B0D2-73647C597E5E}"/>
    <cellStyle name="Percent 2 2 2 2 8 3" xfId="10034" xr:uid="{CB448B88-EC98-4514-B60E-2764143D6DC5}"/>
    <cellStyle name="Percent 2 2 2 2 9" xfId="4716" xr:uid="{00000000-0005-0000-0000-000053120000}"/>
    <cellStyle name="Percent 2 2 2 2 9 2" xfId="10036" xr:uid="{E4EAE23D-E8B9-4C5A-B6C2-9EC297F38D78}"/>
    <cellStyle name="Percent 2 2 2 3" xfId="205" xr:uid="{00000000-0005-0000-0000-000054120000}"/>
    <cellStyle name="Percent 2 2 2 3 10" xfId="5539" xr:uid="{9038B77B-566E-48E2-8F10-6834EA22DEB5}"/>
    <cellStyle name="Percent 2 2 2 3 2" xfId="206" xr:uid="{00000000-0005-0000-0000-000055120000}"/>
    <cellStyle name="Percent 2 2 2 3 2 2" xfId="4717" xr:uid="{00000000-0005-0000-0000-000056120000}"/>
    <cellStyle name="Percent 2 2 2 3 2 2 2" xfId="4718" xr:uid="{00000000-0005-0000-0000-000057120000}"/>
    <cellStyle name="Percent 2 2 2 3 2 2 2 2" xfId="4719" xr:uid="{00000000-0005-0000-0000-000058120000}"/>
    <cellStyle name="Percent 2 2 2 3 2 2 2 2 2" xfId="10039" xr:uid="{0F0C2C36-31D3-48D9-B2BF-957EDC890D0F}"/>
    <cellStyle name="Percent 2 2 2 3 2 2 2 3" xfId="4720" xr:uid="{00000000-0005-0000-0000-000059120000}"/>
    <cellStyle name="Percent 2 2 2 3 2 2 2 3 2" xfId="10040" xr:uid="{B9D7E37D-1C69-47C7-BEE9-5D587C3DAE4F}"/>
    <cellStyle name="Percent 2 2 2 3 2 2 2 4" xfId="10038" xr:uid="{7B11A0EC-4923-4B02-A7D2-34085F30B6CD}"/>
    <cellStyle name="Percent 2 2 2 3 2 2 3" xfId="4721" xr:uid="{00000000-0005-0000-0000-00005A120000}"/>
    <cellStyle name="Percent 2 2 2 3 2 2 3 2" xfId="10041" xr:uid="{26483F3B-E31C-4E6D-A3B1-2AEFA997D18C}"/>
    <cellStyle name="Percent 2 2 2 3 2 2 4" xfId="4722" xr:uid="{00000000-0005-0000-0000-00005B120000}"/>
    <cellStyle name="Percent 2 2 2 3 2 2 4 2" xfId="10042" xr:uid="{A090302F-EE48-48DD-BBA8-D9BEB03F3A21}"/>
    <cellStyle name="Percent 2 2 2 3 2 2 5" xfId="10037" xr:uid="{56C1B69C-C3A5-4656-B73F-E6A02D4C4602}"/>
    <cellStyle name="Percent 2 2 2 3 2 3" xfId="4723" xr:uid="{00000000-0005-0000-0000-00005C120000}"/>
    <cellStyle name="Percent 2 2 2 3 2 3 2" xfId="4724" xr:uid="{00000000-0005-0000-0000-00005D120000}"/>
    <cellStyle name="Percent 2 2 2 3 2 3 2 2" xfId="4725" xr:uid="{00000000-0005-0000-0000-00005E120000}"/>
    <cellStyle name="Percent 2 2 2 3 2 3 2 2 2" xfId="10045" xr:uid="{9B10D31E-7646-4334-AB2D-85103630961B}"/>
    <cellStyle name="Percent 2 2 2 3 2 3 2 3" xfId="10044" xr:uid="{91F8506E-261C-4387-86D8-362F54277269}"/>
    <cellStyle name="Percent 2 2 2 3 2 3 3" xfId="4726" xr:uid="{00000000-0005-0000-0000-00005F120000}"/>
    <cellStyle name="Percent 2 2 2 3 2 3 3 2" xfId="10046" xr:uid="{806808B3-B998-41E8-82B3-288B58837455}"/>
    <cellStyle name="Percent 2 2 2 3 2 3 4" xfId="4727" xr:uid="{00000000-0005-0000-0000-000060120000}"/>
    <cellStyle name="Percent 2 2 2 3 2 3 4 2" xfId="10047" xr:uid="{37D89845-B31C-472B-8591-FCEAB19DE50B}"/>
    <cellStyle name="Percent 2 2 2 3 2 3 5" xfId="10043" xr:uid="{9F7973CC-D30F-4241-99F7-F1186A3BBD8F}"/>
    <cellStyle name="Percent 2 2 2 3 2 4" xfId="4728" xr:uid="{00000000-0005-0000-0000-000061120000}"/>
    <cellStyle name="Percent 2 2 2 3 2 4 2" xfId="4729" xr:uid="{00000000-0005-0000-0000-000062120000}"/>
    <cellStyle name="Percent 2 2 2 3 2 4 2 2" xfId="10049" xr:uid="{EF061F3A-84B6-475E-BADA-65CAE6C09440}"/>
    <cellStyle name="Percent 2 2 2 3 2 4 3" xfId="10048" xr:uid="{052DC47D-7DE3-4CAD-B5E3-8716FF9F77C5}"/>
    <cellStyle name="Percent 2 2 2 3 2 5" xfId="4730" xr:uid="{00000000-0005-0000-0000-000063120000}"/>
    <cellStyle name="Percent 2 2 2 3 2 5 2" xfId="4731" xr:uid="{00000000-0005-0000-0000-000064120000}"/>
    <cellStyle name="Percent 2 2 2 3 2 5 2 2" xfId="10051" xr:uid="{061A649C-51CB-4555-AAA8-E3F543F1D311}"/>
    <cellStyle name="Percent 2 2 2 3 2 5 3" xfId="10050" xr:uid="{328118E6-6602-4FC2-8158-D548790CE2CB}"/>
    <cellStyle name="Percent 2 2 2 3 2 6" xfId="4732" xr:uid="{00000000-0005-0000-0000-000065120000}"/>
    <cellStyle name="Percent 2 2 2 3 2 6 2" xfId="4733" xr:uid="{00000000-0005-0000-0000-000066120000}"/>
    <cellStyle name="Percent 2 2 2 3 2 6 2 2" xfId="10053" xr:uid="{87817FCC-A382-405E-B996-237759E6D2A9}"/>
    <cellStyle name="Percent 2 2 2 3 2 6 3" xfId="10052" xr:uid="{E3A12613-F7D9-453A-963A-A76EED1D38DA}"/>
    <cellStyle name="Percent 2 2 2 3 2 7" xfId="4734" xr:uid="{00000000-0005-0000-0000-000067120000}"/>
    <cellStyle name="Percent 2 2 2 3 2 7 2" xfId="10054" xr:uid="{535D6EC7-C1A3-49CC-8E4B-6F493D007FAA}"/>
    <cellStyle name="Percent 2 2 2 3 2 8" xfId="4735" xr:uid="{00000000-0005-0000-0000-000068120000}"/>
    <cellStyle name="Percent 2 2 2 3 2 8 2" xfId="10055" xr:uid="{DB251212-B2BB-4723-9AB2-CB482C79EC44}"/>
    <cellStyle name="Percent 2 2 2 3 2 9" xfId="5540" xr:uid="{0E746266-6A3A-4F77-9023-A6B2761A5FF3}"/>
    <cellStyle name="Percent 2 2 2 3 3" xfId="4736" xr:uid="{00000000-0005-0000-0000-000069120000}"/>
    <cellStyle name="Percent 2 2 2 3 3 2" xfId="4737" xr:uid="{00000000-0005-0000-0000-00006A120000}"/>
    <cellStyle name="Percent 2 2 2 3 3 2 2" xfId="4738" xr:uid="{00000000-0005-0000-0000-00006B120000}"/>
    <cellStyle name="Percent 2 2 2 3 3 2 2 2" xfId="10058" xr:uid="{55F03AA7-B3D9-4D86-8031-B165496F99E2}"/>
    <cellStyle name="Percent 2 2 2 3 3 2 3" xfId="4739" xr:uid="{00000000-0005-0000-0000-00006C120000}"/>
    <cellStyle name="Percent 2 2 2 3 3 2 3 2" xfId="10059" xr:uid="{D7755B34-A4F3-480E-98DC-FF6C94FBF50A}"/>
    <cellStyle name="Percent 2 2 2 3 3 2 4" xfId="10057" xr:uid="{3EE09B9A-B7FB-442B-BF8F-F8E318D9EAB7}"/>
    <cellStyle name="Percent 2 2 2 3 3 3" xfId="4740" xr:uid="{00000000-0005-0000-0000-00006D120000}"/>
    <cellStyle name="Percent 2 2 2 3 3 3 2" xfId="10060" xr:uid="{62379C98-336D-49C5-BBCE-752BD0387152}"/>
    <cellStyle name="Percent 2 2 2 3 3 4" xfId="4741" xr:uid="{00000000-0005-0000-0000-00006E120000}"/>
    <cellStyle name="Percent 2 2 2 3 3 4 2" xfId="10061" xr:uid="{231EC02E-7056-4E4F-AFD5-FE90222A9A2E}"/>
    <cellStyle name="Percent 2 2 2 3 3 5" xfId="10056" xr:uid="{73A5B587-0E04-41F1-9F74-918B42B6A6DE}"/>
    <cellStyle name="Percent 2 2 2 3 4" xfId="4742" xr:uid="{00000000-0005-0000-0000-00006F120000}"/>
    <cellStyle name="Percent 2 2 2 3 4 2" xfId="4743" xr:uid="{00000000-0005-0000-0000-000070120000}"/>
    <cellStyle name="Percent 2 2 2 3 4 2 2" xfId="4744" xr:uid="{00000000-0005-0000-0000-000071120000}"/>
    <cellStyle name="Percent 2 2 2 3 4 2 2 2" xfId="10064" xr:uid="{9326DFE4-A4ED-410C-9DF5-C601F1A7FC17}"/>
    <cellStyle name="Percent 2 2 2 3 4 2 3" xfId="10063" xr:uid="{2C7FC7E9-F924-40C0-AFC8-318529DE6A78}"/>
    <cellStyle name="Percent 2 2 2 3 4 3" xfId="4745" xr:uid="{00000000-0005-0000-0000-000072120000}"/>
    <cellStyle name="Percent 2 2 2 3 4 3 2" xfId="10065" xr:uid="{D9D055CB-1B3B-4FE7-8382-D7DB93D496DE}"/>
    <cellStyle name="Percent 2 2 2 3 4 4" xfId="4746" xr:uid="{00000000-0005-0000-0000-000073120000}"/>
    <cellStyle name="Percent 2 2 2 3 4 4 2" xfId="10066" xr:uid="{174AB45F-258E-4056-9FE9-2A4C97842C61}"/>
    <cellStyle name="Percent 2 2 2 3 4 5" xfId="10062" xr:uid="{C6E14947-D71D-4EA1-8B8B-DD09D5304EA9}"/>
    <cellStyle name="Percent 2 2 2 3 5" xfId="4747" xr:uid="{00000000-0005-0000-0000-000074120000}"/>
    <cellStyle name="Percent 2 2 2 3 5 2" xfId="4748" xr:uid="{00000000-0005-0000-0000-000075120000}"/>
    <cellStyle name="Percent 2 2 2 3 5 2 2" xfId="10068" xr:uid="{A88BD141-58F3-40F0-86F7-0F460E960AFD}"/>
    <cellStyle name="Percent 2 2 2 3 5 3" xfId="10067" xr:uid="{CEAF93A2-5D84-4CC7-95BF-177F81847BCB}"/>
    <cellStyle name="Percent 2 2 2 3 6" xfId="4749" xr:uid="{00000000-0005-0000-0000-000076120000}"/>
    <cellStyle name="Percent 2 2 2 3 6 2" xfId="4750" xr:uid="{00000000-0005-0000-0000-000077120000}"/>
    <cellStyle name="Percent 2 2 2 3 6 2 2" xfId="10070" xr:uid="{1B981E31-4CEE-4CC3-B2AF-1963EA0ECEDA}"/>
    <cellStyle name="Percent 2 2 2 3 6 3" xfId="10069" xr:uid="{E891A06C-738C-4C2E-993F-770DEB0A79E4}"/>
    <cellStyle name="Percent 2 2 2 3 7" xfId="4751" xr:uid="{00000000-0005-0000-0000-000078120000}"/>
    <cellStyle name="Percent 2 2 2 3 7 2" xfId="4752" xr:uid="{00000000-0005-0000-0000-000079120000}"/>
    <cellStyle name="Percent 2 2 2 3 7 2 2" xfId="10072" xr:uid="{AE00BB6A-6E58-4BBC-A5B0-C682D650768E}"/>
    <cellStyle name="Percent 2 2 2 3 7 3" xfId="10071" xr:uid="{9A4B0F67-9906-4413-9287-34E4A9010265}"/>
    <cellStyle name="Percent 2 2 2 3 8" xfId="4753" xr:uid="{00000000-0005-0000-0000-00007A120000}"/>
    <cellStyle name="Percent 2 2 2 3 8 2" xfId="10073" xr:uid="{E7BE936E-473F-4BAA-A7AF-8FDDE38E2C2A}"/>
    <cellStyle name="Percent 2 2 2 3 9" xfId="4754" xr:uid="{00000000-0005-0000-0000-00007B120000}"/>
    <cellStyle name="Percent 2 2 2 3 9 2" xfId="10074" xr:uid="{45B3767E-433A-4D67-83C3-915064C79C92}"/>
    <cellStyle name="Percent 2 2 2 4" xfId="207" xr:uid="{00000000-0005-0000-0000-00007C120000}"/>
    <cellStyle name="Percent 2 2 2 4 2" xfId="4755" xr:uid="{00000000-0005-0000-0000-00007D120000}"/>
    <cellStyle name="Percent 2 2 2 4 2 2" xfId="4756" xr:uid="{00000000-0005-0000-0000-00007E120000}"/>
    <cellStyle name="Percent 2 2 2 4 2 2 2" xfId="4757" xr:uid="{00000000-0005-0000-0000-00007F120000}"/>
    <cellStyle name="Percent 2 2 2 4 2 2 2 2" xfId="10077" xr:uid="{A42479BD-3FF5-4DBC-9403-EBF55A96D730}"/>
    <cellStyle name="Percent 2 2 2 4 2 2 3" xfId="4758" xr:uid="{00000000-0005-0000-0000-000080120000}"/>
    <cellStyle name="Percent 2 2 2 4 2 2 3 2" xfId="10078" xr:uid="{2D68B8AB-C1BD-4932-9EDE-3971E18A3881}"/>
    <cellStyle name="Percent 2 2 2 4 2 2 4" xfId="10076" xr:uid="{C2FB7099-A3A1-4FA2-9BFE-4FC1F6A5C229}"/>
    <cellStyle name="Percent 2 2 2 4 2 3" xfId="4759" xr:uid="{00000000-0005-0000-0000-000081120000}"/>
    <cellStyle name="Percent 2 2 2 4 2 3 2" xfId="10079" xr:uid="{63ECC96B-3428-4BE0-B593-2122A8055930}"/>
    <cellStyle name="Percent 2 2 2 4 2 4" xfId="4760" xr:uid="{00000000-0005-0000-0000-000082120000}"/>
    <cellStyle name="Percent 2 2 2 4 2 4 2" xfId="10080" xr:uid="{75BA7B64-E69F-45FE-B1A9-A83FB5FE4987}"/>
    <cellStyle name="Percent 2 2 2 4 2 5" xfId="10075" xr:uid="{A8E13E86-49EC-4799-851E-83648A055524}"/>
    <cellStyle name="Percent 2 2 2 4 3" xfId="4761" xr:uid="{00000000-0005-0000-0000-000083120000}"/>
    <cellStyle name="Percent 2 2 2 4 3 2" xfId="4762" xr:uid="{00000000-0005-0000-0000-000084120000}"/>
    <cellStyle name="Percent 2 2 2 4 3 2 2" xfId="4763" xr:uid="{00000000-0005-0000-0000-000085120000}"/>
    <cellStyle name="Percent 2 2 2 4 3 2 2 2" xfId="10083" xr:uid="{2E77F607-1569-4482-B4DA-E9519D4FCE4E}"/>
    <cellStyle name="Percent 2 2 2 4 3 2 3" xfId="10082" xr:uid="{3FAC2588-3C04-4F4C-BC55-4CD06B106BF4}"/>
    <cellStyle name="Percent 2 2 2 4 3 3" xfId="4764" xr:uid="{00000000-0005-0000-0000-000086120000}"/>
    <cellStyle name="Percent 2 2 2 4 3 3 2" xfId="10084" xr:uid="{86878884-07CA-4FFE-81BF-B8F350D8FD07}"/>
    <cellStyle name="Percent 2 2 2 4 3 4" xfId="4765" xr:uid="{00000000-0005-0000-0000-000087120000}"/>
    <cellStyle name="Percent 2 2 2 4 3 4 2" xfId="10085" xr:uid="{FB132513-3683-421D-89A8-0B410C7A85BE}"/>
    <cellStyle name="Percent 2 2 2 4 3 5" xfId="10081" xr:uid="{F3E37E8A-CA2E-4C1F-B74B-DB00ADE9E887}"/>
    <cellStyle name="Percent 2 2 2 4 4" xfId="4766" xr:uid="{00000000-0005-0000-0000-000088120000}"/>
    <cellStyle name="Percent 2 2 2 4 4 2" xfId="4767" xr:uid="{00000000-0005-0000-0000-000089120000}"/>
    <cellStyle name="Percent 2 2 2 4 4 2 2" xfId="10087" xr:uid="{E6AD6E18-EF1E-4CC4-A84F-760B096EDFB8}"/>
    <cellStyle name="Percent 2 2 2 4 4 3" xfId="10086" xr:uid="{AC0DE49E-72D3-415A-B22B-1DBD1EB3A7DF}"/>
    <cellStyle name="Percent 2 2 2 4 5" xfId="4768" xr:uid="{00000000-0005-0000-0000-00008A120000}"/>
    <cellStyle name="Percent 2 2 2 4 5 2" xfId="4769" xr:uid="{00000000-0005-0000-0000-00008B120000}"/>
    <cellStyle name="Percent 2 2 2 4 5 2 2" xfId="10089" xr:uid="{7B14FF31-DFF0-4593-B41A-3F443287091C}"/>
    <cellStyle name="Percent 2 2 2 4 5 3" xfId="10088" xr:uid="{D8B12C77-6444-459F-8E42-DBD9BAE04343}"/>
    <cellStyle name="Percent 2 2 2 4 6" xfId="4770" xr:uid="{00000000-0005-0000-0000-00008C120000}"/>
    <cellStyle name="Percent 2 2 2 4 6 2" xfId="4771" xr:uid="{00000000-0005-0000-0000-00008D120000}"/>
    <cellStyle name="Percent 2 2 2 4 6 2 2" xfId="10091" xr:uid="{A77953AC-CF65-4F67-8B97-683D300335AB}"/>
    <cellStyle name="Percent 2 2 2 4 6 3" xfId="10090" xr:uid="{53137617-B7B6-47C7-80D0-728BEC3FE585}"/>
    <cellStyle name="Percent 2 2 2 4 7" xfId="4772" xr:uid="{00000000-0005-0000-0000-00008E120000}"/>
    <cellStyle name="Percent 2 2 2 4 7 2" xfId="10092" xr:uid="{D2C32966-18ED-480C-A537-FCF513FCEE5F}"/>
    <cellStyle name="Percent 2 2 2 4 8" xfId="4773" xr:uid="{00000000-0005-0000-0000-00008F120000}"/>
    <cellStyle name="Percent 2 2 2 4 8 2" xfId="10093" xr:uid="{DB675C79-178F-40AC-B36B-CCBD1DA321D3}"/>
    <cellStyle name="Percent 2 2 2 4 9" xfId="5541" xr:uid="{FB473A63-C0E5-4B6C-A3D2-D4BB175992EE}"/>
    <cellStyle name="Percent 2 2 2 5" xfId="4774" xr:uid="{00000000-0005-0000-0000-000090120000}"/>
    <cellStyle name="Percent 2 2 2 5 2" xfId="4775" xr:uid="{00000000-0005-0000-0000-000091120000}"/>
    <cellStyle name="Percent 2 2 2 5 2 2" xfId="4776" xr:uid="{00000000-0005-0000-0000-000092120000}"/>
    <cellStyle name="Percent 2 2 2 5 2 2 2" xfId="10096" xr:uid="{6F9B9175-BBAE-439A-9B72-95890AF96129}"/>
    <cellStyle name="Percent 2 2 2 5 2 3" xfId="4777" xr:uid="{00000000-0005-0000-0000-000093120000}"/>
    <cellStyle name="Percent 2 2 2 5 2 3 2" xfId="10097" xr:uid="{1D9F2DFC-E040-43AC-9470-22159EFDD09B}"/>
    <cellStyle name="Percent 2 2 2 5 2 4" xfId="10095" xr:uid="{AA7F07B7-6730-412B-B94A-5CB39DB78C32}"/>
    <cellStyle name="Percent 2 2 2 5 3" xfId="4778" xr:uid="{00000000-0005-0000-0000-000094120000}"/>
    <cellStyle name="Percent 2 2 2 5 3 2" xfId="4779" xr:uid="{00000000-0005-0000-0000-000095120000}"/>
    <cellStyle name="Percent 2 2 2 5 3 2 2" xfId="10099" xr:uid="{BD7DBCDC-82D8-45C6-A586-DB3FD26E23F2}"/>
    <cellStyle name="Percent 2 2 2 5 3 3" xfId="10098" xr:uid="{20B7DCBD-68F2-4032-9F40-F90F916BC203}"/>
    <cellStyle name="Percent 2 2 2 5 4" xfId="4780" xr:uid="{00000000-0005-0000-0000-000096120000}"/>
    <cellStyle name="Percent 2 2 2 5 4 2" xfId="10100" xr:uid="{F9E82BBF-3C29-4CF3-A8B5-0D4F02952E3C}"/>
    <cellStyle name="Percent 2 2 2 5 5" xfId="10094" xr:uid="{953179D3-53A8-4FF3-91CF-35E523F55202}"/>
    <cellStyle name="Percent 2 2 2 6" xfId="4781" xr:uid="{00000000-0005-0000-0000-000097120000}"/>
    <cellStyle name="Percent 2 2 2 6 2" xfId="4782" xr:uid="{00000000-0005-0000-0000-000098120000}"/>
    <cellStyle name="Percent 2 2 2 6 2 2" xfId="4783" xr:uid="{00000000-0005-0000-0000-000099120000}"/>
    <cellStyle name="Percent 2 2 2 6 2 2 2" xfId="10103" xr:uid="{E2789089-ACF3-4C4B-9D02-110C7A1E593B}"/>
    <cellStyle name="Percent 2 2 2 6 2 3" xfId="10102" xr:uid="{599DB45E-D5D4-40A0-AF27-0A94C22C6C5C}"/>
    <cellStyle name="Percent 2 2 2 6 3" xfId="4784" xr:uid="{00000000-0005-0000-0000-00009A120000}"/>
    <cellStyle name="Percent 2 2 2 6 3 2" xfId="10104" xr:uid="{CDA9F9A0-705D-4F9D-BB83-A78C4E157A3C}"/>
    <cellStyle name="Percent 2 2 2 6 4" xfId="4785" xr:uid="{00000000-0005-0000-0000-00009B120000}"/>
    <cellStyle name="Percent 2 2 2 6 4 2" xfId="10105" xr:uid="{FC24DB0A-B041-4658-AAEC-87F2E43115BA}"/>
    <cellStyle name="Percent 2 2 2 6 5" xfId="10101" xr:uid="{CC980C29-8BC2-4113-A026-6DFD8F48A9CF}"/>
    <cellStyle name="Percent 2 2 2 7" xfId="4786" xr:uid="{00000000-0005-0000-0000-00009C120000}"/>
    <cellStyle name="Percent 2 2 2 7 2" xfId="4787" xr:uid="{00000000-0005-0000-0000-00009D120000}"/>
    <cellStyle name="Percent 2 2 2 7 2 2" xfId="10107" xr:uid="{21CADF1F-E1A6-4F0D-A215-B19E2BFA9AEF}"/>
    <cellStyle name="Percent 2 2 2 7 3" xfId="4788" xr:uid="{00000000-0005-0000-0000-00009E120000}"/>
    <cellStyle name="Percent 2 2 2 7 3 2" xfId="10108" xr:uid="{6E05FF68-CFD8-46E0-8CBA-90A9E4036238}"/>
    <cellStyle name="Percent 2 2 2 7 4" xfId="10106" xr:uid="{86FE1082-547B-4BF8-BC95-7D94BB50FC70}"/>
    <cellStyle name="Percent 2 2 2 8" xfId="4789" xr:uid="{00000000-0005-0000-0000-00009F120000}"/>
    <cellStyle name="Percent 2 2 2 8 2" xfId="4790" xr:uid="{00000000-0005-0000-0000-0000A0120000}"/>
    <cellStyle name="Percent 2 2 2 8 2 2" xfId="10110" xr:uid="{19D46BCB-170C-47E7-9448-6496E380C61A}"/>
    <cellStyle name="Percent 2 2 2 8 3" xfId="10109" xr:uid="{A65C7608-1DB9-400D-85A8-ABF07AB5CDA7}"/>
    <cellStyle name="Percent 2 2 2 9" xfId="4791" xr:uid="{00000000-0005-0000-0000-0000A1120000}"/>
    <cellStyle name="Percent 2 2 2 9 2" xfId="4792" xr:uid="{00000000-0005-0000-0000-0000A2120000}"/>
    <cellStyle name="Percent 2 2 2 9 2 2" xfId="10112" xr:uid="{DC2F7748-74C6-4A25-AAE9-18F0B963F9E2}"/>
    <cellStyle name="Percent 2 2 2 9 3" xfId="10111" xr:uid="{BA5438F7-7792-4971-87AF-849F0CDE95FF}"/>
    <cellStyle name="Percent 2 2 3" xfId="208" xr:uid="{00000000-0005-0000-0000-0000A3120000}"/>
    <cellStyle name="Percent 2 2 3 10" xfId="4793" xr:uid="{00000000-0005-0000-0000-0000A4120000}"/>
    <cellStyle name="Percent 2 2 3 10 2" xfId="10113" xr:uid="{DDD80844-3D3A-4BDF-BD36-F5B1A0214B3F}"/>
    <cellStyle name="Percent 2 2 3 11" xfId="5542" xr:uid="{DD4763C1-8E90-4AB4-A00F-D817B9F48C82}"/>
    <cellStyle name="Percent 2 2 3 2" xfId="209" xr:uid="{00000000-0005-0000-0000-0000A5120000}"/>
    <cellStyle name="Percent 2 2 3 2 10" xfId="5543" xr:uid="{2AC6F30E-99E2-4307-A034-44283CCFA4A0}"/>
    <cellStyle name="Percent 2 2 3 2 2" xfId="210" xr:uid="{00000000-0005-0000-0000-0000A6120000}"/>
    <cellStyle name="Percent 2 2 3 2 2 2" xfId="4794" xr:uid="{00000000-0005-0000-0000-0000A7120000}"/>
    <cellStyle name="Percent 2 2 3 2 2 2 2" xfId="4795" xr:uid="{00000000-0005-0000-0000-0000A8120000}"/>
    <cellStyle name="Percent 2 2 3 2 2 2 2 2" xfId="4796" xr:uid="{00000000-0005-0000-0000-0000A9120000}"/>
    <cellStyle name="Percent 2 2 3 2 2 2 2 2 2" xfId="10116" xr:uid="{6A7BB67F-F486-4ECE-B949-E14AB1AFB5BA}"/>
    <cellStyle name="Percent 2 2 3 2 2 2 2 3" xfId="4797" xr:uid="{00000000-0005-0000-0000-0000AA120000}"/>
    <cellStyle name="Percent 2 2 3 2 2 2 2 3 2" xfId="10117" xr:uid="{3B9FFDDD-9E9F-4445-94B4-7C300DB23293}"/>
    <cellStyle name="Percent 2 2 3 2 2 2 2 4" xfId="10115" xr:uid="{81F72A8E-020F-48B1-BA9F-143DF145FDAC}"/>
    <cellStyle name="Percent 2 2 3 2 2 2 3" xfId="4798" xr:uid="{00000000-0005-0000-0000-0000AB120000}"/>
    <cellStyle name="Percent 2 2 3 2 2 2 3 2" xfId="10118" xr:uid="{2E6EA216-7F3E-44DD-81E4-1DBBCEEB33C3}"/>
    <cellStyle name="Percent 2 2 3 2 2 2 4" xfId="4799" xr:uid="{00000000-0005-0000-0000-0000AC120000}"/>
    <cellStyle name="Percent 2 2 3 2 2 2 4 2" xfId="10119" xr:uid="{813CD25F-5027-43FD-9E94-8CE77F764781}"/>
    <cellStyle name="Percent 2 2 3 2 2 2 5" xfId="10114" xr:uid="{ACF85FEC-097D-42A8-9A70-5F006902E717}"/>
    <cellStyle name="Percent 2 2 3 2 2 3" xfId="4800" xr:uid="{00000000-0005-0000-0000-0000AD120000}"/>
    <cellStyle name="Percent 2 2 3 2 2 3 2" xfId="4801" xr:uid="{00000000-0005-0000-0000-0000AE120000}"/>
    <cellStyle name="Percent 2 2 3 2 2 3 2 2" xfId="4802" xr:uid="{00000000-0005-0000-0000-0000AF120000}"/>
    <cellStyle name="Percent 2 2 3 2 2 3 2 2 2" xfId="10122" xr:uid="{9993803C-ACE0-450F-BE6C-22B8B40993A3}"/>
    <cellStyle name="Percent 2 2 3 2 2 3 2 3" xfId="10121" xr:uid="{C25F5AB6-F020-4C8C-9B41-990E3333914F}"/>
    <cellStyle name="Percent 2 2 3 2 2 3 3" xfId="4803" xr:uid="{00000000-0005-0000-0000-0000B0120000}"/>
    <cellStyle name="Percent 2 2 3 2 2 3 3 2" xfId="10123" xr:uid="{8CB4E06A-C1AC-4B26-87CC-09BB5B35748A}"/>
    <cellStyle name="Percent 2 2 3 2 2 3 4" xfId="4804" xr:uid="{00000000-0005-0000-0000-0000B1120000}"/>
    <cellStyle name="Percent 2 2 3 2 2 3 4 2" xfId="10124" xr:uid="{C40CC3D7-D0C8-496C-B186-1131C79CB423}"/>
    <cellStyle name="Percent 2 2 3 2 2 3 5" xfId="10120" xr:uid="{80310498-822A-4BA7-AFFA-7DD8F520BA03}"/>
    <cellStyle name="Percent 2 2 3 2 2 4" xfId="4805" xr:uid="{00000000-0005-0000-0000-0000B2120000}"/>
    <cellStyle name="Percent 2 2 3 2 2 4 2" xfId="4806" xr:uid="{00000000-0005-0000-0000-0000B3120000}"/>
    <cellStyle name="Percent 2 2 3 2 2 4 2 2" xfId="10126" xr:uid="{2E0E7C14-42D8-4B7F-8F88-6018F5963E75}"/>
    <cellStyle name="Percent 2 2 3 2 2 4 3" xfId="10125" xr:uid="{D1D31FBE-2A09-4584-9503-EC1D00434FBC}"/>
    <cellStyle name="Percent 2 2 3 2 2 5" xfId="4807" xr:uid="{00000000-0005-0000-0000-0000B4120000}"/>
    <cellStyle name="Percent 2 2 3 2 2 5 2" xfId="4808" xr:uid="{00000000-0005-0000-0000-0000B5120000}"/>
    <cellStyle name="Percent 2 2 3 2 2 5 2 2" xfId="10128" xr:uid="{FD5D2054-F06D-4846-898F-44E41E702161}"/>
    <cellStyle name="Percent 2 2 3 2 2 5 3" xfId="10127" xr:uid="{A922E4BC-30CF-4475-9DDA-C8170627A203}"/>
    <cellStyle name="Percent 2 2 3 2 2 6" xfId="4809" xr:uid="{00000000-0005-0000-0000-0000B6120000}"/>
    <cellStyle name="Percent 2 2 3 2 2 6 2" xfId="4810" xr:uid="{00000000-0005-0000-0000-0000B7120000}"/>
    <cellStyle name="Percent 2 2 3 2 2 6 2 2" xfId="10130" xr:uid="{8DC05104-ECDA-4031-BAFA-EC7DAA42145D}"/>
    <cellStyle name="Percent 2 2 3 2 2 6 3" xfId="10129" xr:uid="{02C57BD9-3A84-43BC-91C7-29EC4F616E77}"/>
    <cellStyle name="Percent 2 2 3 2 2 7" xfId="4811" xr:uid="{00000000-0005-0000-0000-0000B8120000}"/>
    <cellStyle name="Percent 2 2 3 2 2 7 2" xfId="10131" xr:uid="{5B561A3A-90ED-4669-8B4A-74E1C433BAE3}"/>
    <cellStyle name="Percent 2 2 3 2 2 8" xfId="4812" xr:uid="{00000000-0005-0000-0000-0000B9120000}"/>
    <cellStyle name="Percent 2 2 3 2 2 8 2" xfId="10132" xr:uid="{8F1B1D46-AD7A-4ADA-BD81-D874D5185D59}"/>
    <cellStyle name="Percent 2 2 3 2 2 9" xfId="5544" xr:uid="{EEC7536C-C25D-4147-9A67-AD53E095ED51}"/>
    <cellStyle name="Percent 2 2 3 2 3" xfId="4813" xr:uid="{00000000-0005-0000-0000-0000BA120000}"/>
    <cellStyle name="Percent 2 2 3 2 3 2" xfId="4814" xr:uid="{00000000-0005-0000-0000-0000BB120000}"/>
    <cellStyle name="Percent 2 2 3 2 3 2 2" xfId="4815" xr:uid="{00000000-0005-0000-0000-0000BC120000}"/>
    <cellStyle name="Percent 2 2 3 2 3 2 2 2" xfId="10135" xr:uid="{F09B1901-0CB9-428D-A3BF-1EFD1BC808B0}"/>
    <cellStyle name="Percent 2 2 3 2 3 2 3" xfId="4816" xr:uid="{00000000-0005-0000-0000-0000BD120000}"/>
    <cellStyle name="Percent 2 2 3 2 3 2 3 2" xfId="10136" xr:uid="{3CAAA337-86BF-43FC-8579-5F7A4B9D6BEE}"/>
    <cellStyle name="Percent 2 2 3 2 3 2 4" xfId="10134" xr:uid="{BED002F2-5329-4CA3-B9E2-777EFD77B95B}"/>
    <cellStyle name="Percent 2 2 3 2 3 3" xfId="4817" xr:uid="{00000000-0005-0000-0000-0000BE120000}"/>
    <cellStyle name="Percent 2 2 3 2 3 3 2" xfId="10137" xr:uid="{A7FE3E96-6377-4C30-943F-08325CE7AEC3}"/>
    <cellStyle name="Percent 2 2 3 2 3 4" xfId="4818" xr:uid="{00000000-0005-0000-0000-0000BF120000}"/>
    <cellStyle name="Percent 2 2 3 2 3 4 2" xfId="10138" xr:uid="{39BFE02E-DAE5-4C43-9CD4-249420E93C1E}"/>
    <cellStyle name="Percent 2 2 3 2 3 5" xfId="10133" xr:uid="{9BC857A0-D754-41AD-897A-843F2DE55659}"/>
    <cellStyle name="Percent 2 2 3 2 4" xfId="4819" xr:uid="{00000000-0005-0000-0000-0000C0120000}"/>
    <cellStyle name="Percent 2 2 3 2 4 2" xfId="4820" xr:uid="{00000000-0005-0000-0000-0000C1120000}"/>
    <cellStyle name="Percent 2 2 3 2 4 2 2" xfId="4821" xr:uid="{00000000-0005-0000-0000-0000C2120000}"/>
    <cellStyle name="Percent 2 2 3 2 4 2 2 2" xfId="10141" xr:uid="{1CFD9DDA-55EB-4F46-819A-CD99A30138E8}"/>
    <cellStyle name="Percent 2 2 3 2 4 2 3" xfId="10140" xr:uid="{7E43E3E4-79B4-47F8-97AA-B7D9957C5CA5}"/>
    <cellStyle name="Percent 2 2 3 2 4 3" xfId="4822" xr:uid="{00000000-0005-0000-0000-0000C3120000}"/>
    <cellStyle name="Percent 2 2 3 2 4 3 2" xfId="10142" xr:uid="{F9FBAFCD-A911-4269-8A22-01923090F361}"/>
    <cellStyle name="Percent 2 2 3 2 4 4" xfId="4823" xr:uid="{00000000-0005-0000-0000-0000C4120000}"/>
    <cellStyle name="Percent 2 2 3 2 4 4 2" xfId="10143" xr:uid="{147BA02C-5033-40AF-8E83-EF09B003683D}"/>
    <cellStyle name="Percent 2 2 3 2 4 5" xfId="10139" xr:uid="{20848D51-4045-44FA-BBFC-569AAF0345A1}"/>
    <cellStyle name="Percent 2 2 3 2 5" xfId="4824" xr:uid="{00000000-0005-0000-0000-0000C5120000}"/>
    <cellStyle name="Percent 2 2 3 2 5 2" xfId="4825" xr:uid="{00000000-0005-0000-0000-0000C6120000}"/>
    <cellStyle name="Percent 2 2 3 2 5 2 2" xfId="10145" xr:uid="{F680AA00-5A00-442E-BB8D-1EACD216CF92}"/>
    <cellStyle name="Percent 2 2 3 2 5 3" xfId="10144" xr:uid="{9C76059D-13E7-4645-81A1-28CA628FDB3B}"/>
    <cellStyle name="Percent 2 2 3 2 6" xfId="4826" xr:uid="{00000000-0005-0000-0000-0000C7120000}"/>
    <cellStyle name="Percent 2 2 3 2 6 2" xfId="4827" xr:uid="{00000000-0005-0000-0000-0000C8120000}"/>
    <cellStyle name="Percent 2 2 3 2 6 2 2" xfId="10147" xr:uid="{12527D05-CAC8-41B3-AFC4-934FA1BB7828}"/>
    <cellStyle name="Percent 2 2 3 2 6 3" xfId="10146" xr:uid="{F5C09C2E-5770-473D-ABB0-094DD9EA53DD}"/>
    <cellStyle name="Percent 2 2 3 2 7" xfId="4828" xr:uid="{00000000-0005-0000-0000-0000C9120000}"/>
    <cellStyle name="Percent 2 2 3 2 7 2" xfId="4829" xr:uid="{00000000-0005-0000-0000-0000CA120000}"/>
    <cellStyle name="Percent 2 2 3 2 7 2 2" xfId="10149" xr:uid="{476D79DF-49BD-4BD4-B646-10533FF9BFD9}"/>
    <cellStyle name="Percent 2 2 3 2 7 3" xfId="10148" xr:uid="{A5BD80B6-A91D-4E6B-BBE8-8150D24C7692}"/>
    <cellStyle name="Percent 2 2 3 2 8" xfId="4830" xr:uid="{00000000-0005-0000-0000-0000CB120000}"/>
    <cellStyle name="Percent 2 2 3 2 8 2" xfId="10150" xr:uid="{456B7329-E9BD-4219-9A2C-EA5575CD58BB}"/>
    <cellStyle name="Percent 2 2 3 2 9" xfId="4831" xr:uid="{00000000-0005-0000-0000-0000CC120000}"/>
    <cellStyle name="Percent 2 2 3 2 9 2" xfId="10151" xr:uid="{81FA159A-4B9A-4316-B89C-726970F0E6F9}"/>
    <cellStyle name="Percent 2 2 3 3" xfId="211" xr:uid="{00000000-0005-0000-0000-0000CD120000}"/>
    <cellStyle name="Percent 2 2 3 3 2" xfId="4832" xr:uid="{00000000-0005-0000-0000-0000CE120000}"/>
    <cellStyle name="Percent 2 2 3 3 2 2" xfId="4833" xr:uid="{00000000-0005-0000-0000-0000CF120000}"/>
    <cellStyle name="Percent 2 2 3 3 2 2 2" xfId="4834" xr:uid="{00000000-0005-0000-0000-0000D0120000}"/>
    <cellStyle name="Percent 2 2 3 3 2 2 2 2" xfId="10154" xr:uid="{D94EB720-7743-4ECB-A81A-E847A2693C4A}"/>
    <cellStyle name="Percent 2 2 3 3 2 2 3" xfId="4835" xr:uid="{00000000-0005-0000-0000-0000D1120000}"/>
    <cellStyle name="Percent 2 2 3 3 2 2 3 2" xfId="10155" xr:uid="{D3954730-33A6-433D-8674-5C1A309BE75A}"/>
    <cellStyle name="Percent 2 2 3 3 2 2 4" xfId="10153" xr:uid="{0F311197-6ACF-447D-9541-7A94EC9BE3F4}"/>
    <cellStyle name="Percent 2 2 3 3 2 3" xfId="4836" xr:uid="{00000000-0005-0000-0000-0000D2120000}"/>
    <cellStyle name="Percent 2 2 3 3 2 3 2" xfId="10156" xr:uid="{18220DC2-1050-4B42-A577-15D6834F2AA0}"/>
    <cellStyle name="Percent 2 2 3 3 2 4" xfId="4837" xr:uid="{00000000-0005-0000-0000-0000D3120000}"/>
    <cellStyle name="Percent 2 2 3 3 2 4 2" xfId="10157" xr:uid="{856EA3CC-80DD-4FB2-92DB-CA146FAAAB49}"/>
    <cellStyle name="Percent 2 2 3 3 2 5" xfId="10152" xr:uid="{84679164-A473-4AD0-9E25-99702FD910B6}"/>
    <cellStyle name="Percent 2 2 3 3 3" xfId="4838" xr:uid="{00000000-0005-0000-0000-0000D4120000}"/>
    <cellStyle name="Percent 2 2 3 3 3 2" xfId="4839" xr:uid="{00000000-0005-0000-0000-0000D5120000}"/>
    <cellStyle name="Percent 2 2 3 3 3 2 2" xfId="4840" xr:uid="{00000000-0005-0000-0000-0000D6120000}"/>
    <cellStyle name="Percent 2 2 3 3 3 2 2 2" xfId="10160" xr:uid="{3335D122-B2D3-4E9B-9314-D3E44BCCFA4A}"/>
    <cellStyle name="Percent 2 2 3 3 3 2 3" xfId="10159" xr:uid="{0F54884B-ECA1-4A78-8E3F-3A2E52A6EE6E}"/>
    <cellStyle name="Percent 2 2 3 3 3 3" xfId="4841" xr:uid="{00000000-0005-0000-0000-0000D7120000}"/>
    <cellStyle name="Percent 2 2 3 3 3 3 2" xfId="10161" xr:uid="{EA6E2552-FB0A-4197-86E1-F98B9D6146A5}"/>
    <cellStyle name="Percent 2 2 3 3 3 4" xfId="4842" xr:uid="{00000000-0005-0000-0000-0000D8120000}"/>
    <cellStyle name="Percent 2 2 3 3 3 4 2" xfId="10162" xr:uid="{1247A910-4E28-4EB9-B74F-4B1F50425388}"/>
    <cellStyle name="Percent 2 2 3 3 3 5" xfId="10158" xr:uid="{A18407E5-823F-445B-939B-658AD9DEAD88}"/>
    <cellStyle name="Percent 2 2 3 3 4" xfId="4843" xr:uid="{00000000-0005-0000-0000-0000D9120000}"/>
    <cellStyle name="Percent 2 2 3 3 4 2" xfId="4844" xr:uid="{00000000-0005-0000-0000-0000DA120000}"/>
    <cellStyle name="Percent 2 2 3 3 4 2 2" xfId="10164" xr:uid="{31DA9105-2749-41D2-AEBD-492F6F4104C9}"/>
    <cellStyle name="Percent 2 2 3 3 4 3" xfId="10163" xr:uid="{58113833-3AD0-42CC-B60F-9B938CC4C85C}"/>
    <cellStyle name="Percent 2 2 3 3 5" xfId="4845" xr:uid="{00000000-0005-0000-0000-0000DB120000}"/>
    <cellStyle name="Percent 2 2 3 3 5 2" xfId="4846" xr:uid="{00000000-0005-0000-0000-0000DC120000}"/>
    <cellStyle name="Percent 2 2 3 3 5 2 2" xfId="10166" xr:uid="{D2B831EB-B74B-4B40-A826-747A9191C68F}"/>
    <cellStyle name="Percent 2 2 3 3 5 3" xfId="10165" xr:uid="{91D1F507-15B7-4AB7-B66A-70D588DD5BCD}"/>
    <cellStyle name="Percent 2 2 3 3 6" xfId="4847" xr:uid="{00000000-0005-0000-0000-0000DD120000}"/>
    <cellStyle name="Percent 2 2 3 3 6 2" xfId="4848" xr:uid="{00000000-0005-0000-0000-0000DE120000}"/>
    <cellStyle name="Percent 2 2 3 3 6 2 2" xfId="10168" xr:uid="{C9A1DC99-B965-4D47-AC56-54125CFED15A}"/>
    <cellStyle name="Percent 2 2 3 3 6 3" xfId="10167" xr:uid="{91483A38-887A-4C32-A0A6-9BCFBABE91C9}"/>
    <cellStyle name="Percent 2 2 3 3 7" xfId="4849" xr:uid="{00000000-0005-0000-0000-0000DF120000}"/>
    <cellStyle name="Percent 2 2 3 3 7 2" xfId="10169" xr:uid="{C4015C9B-ECFA-45F8-B09A-1039C1D88C4F}"/>
    <cellStyle name="Percent 2 2 3 3 8" xfId="4850" xr:uid="{00000000-0005-0000-0000-0000E0120000}"/>
    <cellStyle name="Percent 2 2 3 3 8 2" xfId="10170" xr:uid="{AEFA8553-EBDA-4D99-99D0-B47E34207698}"/>
    <cellStyle name="Percent 2 2 3 3 9" xfId="5545" xr:uid="{20AA9A30-798D-49F1-96EC-ABEC69B84CEA}"/>
    <cellStyle name="Percent 2 2 3 4" xfId="4851" xr:uid="{00000000-0005-0000-0000-0000E1120000}"/>
    <cellStyle name="Percent 2 2 3 4 2" xfId="4852" xr:uid="{00000000-0005-0000-0000-0000E2120000}"/>
    <cellStyle name="Percent 2 2 3 4 2 2" xfId="4853" xr:uid="{00000000-0005-0000-0000-0000E3120000}"/>
    <cellStyle name="Percent 2 2 3 4 2 2 2" xfId="10173" xr:uid="{F0F84759-EEF2-49D1-A95C-82A0876BACD0}"/>
    <cellStyle name="Percent 2 2 3 4 2 3" xfId="4854" xr:uid="{00000000-0005-0000-0000-0000E4120000}"/>
    <cellStyle name="Percent 2 2 3 4 2 3 2" xfId="10174" xr:uid="{4C793605-34D7-44C5-B1C6-D10A69F849A9}"/>
    <cellStyle name="Percent 2 2 3 4 2 4" xfId="10172" xr:uid="{9744EA6A-C6AD-4433-9A5F-F5B42878E7A7}"/>
    <cellStyle name="Percent 2 2 3 4 3" xfId="4855" xr:uid="{00000000-0005-0000-0000-0000E5120000}"/>
    <cellStyle name="Percent 2 2 3 4 3 2" xfId="10175" xr:uid="{801D16B9-3A88-4431-8599-792118AA7339}"/>
    <cellStyle name="Percent 2 2 3 4 4" xfId="4856" xr:uid="{00000000-0005-0000-0000-0000E6120000}"/>
    <cellStyle name="Percent 2 2 3 4 4 2" xfId="10176" xr:uid="{8E82A69E-AA5C-4F07-BDB0-18E10101D4FF}"/>
    <cellStyle name="Percent 2 2 3 4 5" xfId="10171" xr:uid="{CE04D6B0-3568-42D1-A265-EA8BF999F6AC}"/>
    <cellStyle name="Percent 2 2 3 5" xfId="4857" xr:uid="{00000000-0005-0000-0000-0000E7120000}"/>
    <cellStyle name="Percent 2 2 3 5 2" xfId="4858" xr:uid="{00000000-0005-0000-0000-0000E8120000}"/>
    <cellStyle name="Percent 2 2 3 5 2 2" xfId="4859" xr:uid="{00000000-0005-0000-0000-0000E9120000}"/>
    <cellStyle name="Percent 2 2 3 5 2 2 2" xfId="10179" xr:uid="{1D9B8FC5-9E51-4DA2-81A7-08A82572AC6D}"/>
    <cellStyle name="Percent 2 2 3 5 2 3" xfId="10178" xr:uid="{32292E01-BAD1-41EA-AB99-EA158E4EB849}"/>
    <cellStyle name="Percent 2 2 3 5 3" xfId="4860" xr:uid="{00000000-0005-0000-0000-0000EA120000}"/>
    <cellStyle name="Percent 2 2 3 5 3 2" xfId="10180" xr:uid="{85D49673-EF0A-46E9-A69D-36D415FEB696}"/>
    <cellStyle name="Percent 2 2 3 5 4" xfId="4861" xr:uid="{00000000-0005-0000-0000-0000EB120000}"/>
    <cellStyle name="Percent 2 2 3 5 4 2" xfId="10181" xr:uid="{981633B0-7908-455F-BB1B-C05A60998EDC}"/>
    <cellStyle name="Percent 2 2 3 5 5" xfId="10177" xr:uid="{C5017B9F-1759-4AFE-AB33-2872A56A1D47}"/>
    <cellStyle name="Percent 2 2 3 6" xfId="4862" xr:uid="{00000000-0005-0000-0000-0000EC120000}"/>
    <cellStyle name="Percent 2 2 3 6 2" xfId="4863" xr:uid="{00000000-0005-0000-0000-0000ED120000}"/>
    <cellStyle name="Percent 2 2 3 6 2 2" xfId="10183" xr:uid="{61A9CF3F-2486-434B-A848-DBC8505C18F7}"/>
    <cellStyle name="Percent 2 2 3 6 3" xfId="10182" xr:uid="{EAB55CC2-DF15-4EF7-96B4-DB927F781860}"/>
    <cellStyle name="Percent 2 2 3 7" xfId="4864" xr:uid="{00000000-0005-0000-0000-0000EE120000}"/>
    <cellStyle name="Percent 2 2 3 7 2" xfId="4865" xr:uid="{00000000-0005-0000-0000-0000EF120000}"/>
    <cellStyle name="Percent 2 2 3 7 2 2" xfId="10185" xr:uid="{E70A2B7A-527C-43A4-8E42-DF52079A7F99}"/>
    <cellStyle name="Percent 2 2 3 7 3" xfId="10184" xr:uid="{585B71C0-25AA-4D9A-9FA2-1F6404E02B4C}"/>
    <cellStyle name="Percent 2 2 3 8" xfId="4866" xr:uid="{00000000-0005-0000-0000-0000F0120000}"/>
    <cellStyle name="Percent 2 2 3 8 2" xfId="4867" xr:uid="{00000000-0005-0000-0000-0000F1120000}"/>
    <cellStyle name="Percent 2 2 3 8 2 2" xfId="10187" xr:uid="{F7E40E85-96AB-4792-B708-11C8CA24A35F}"/>
    <cellStyle name="Percent 2 2 3 8 3" xfId="10186" xr:uid="{30620196-8453-4E88-B4F0-54C24C77D6E4}"/>
    <cellStyle name="Percent 2 2 3 9" xfId="4868" xr:uid="{00000000-0005-0000-0000-0000F2120000}"/>
    <cellStyle name="Percent 2 2 3 9 2" xfId="10188" xr:uid="{17D55713-CA82-45DF-9198-13FFFFD15DA7}"/>
    <cellStyle name="Percent 2 2 4" xfId="212" xr:uid="{00000000-0005-0000-0000-0000F3120000}"/>
    <cellStyle name="Percent 2 2 4 10" xfId="5546" xr:uid="{B720AE77-DF5E-4B1F-A2E0-27BD7FB111F4}"/>
    <cellStyle name="Percent 2 2 4 2" xfId="213" xr:uid="{00000000-0005-0000-0000-0000F4120000}"/>
    <cellStyle name="Percent 2 2 4 2 2" xfId="4869" xr:uid="{00000000-0005-0000-0000-0000F5120000}"/>
    <cellStyle name="Percent 2 2 4 2 2 2" xfId="4870" xr:uid="{00000000-0005-0000-0000-0000F6120000}"/>
    <cellStyle name="Percent 2 2 4 2 2 2 2" xfId="4871" xr:uid="{00000000-0005-0000-0000-0000F7120000}"/>
    <cellStyle name="Percent 2 2 4 2 2 2 2 2" xfId="10191" xr:uid="{51BE2E96-AB40-4183-A160-69D613601571}"/>
    <cellStyle name="Percent 2 2 4 2 2 2 3" xfId="4872" xr:uid="{00000000-0005-0000-0000-0000F8120000}"/>
    <cellStyle name="Percent 2 2 4 2 2 2 3 2" xfId="10192" xr:uid="{7452C438-1906-4C58-B0C0-2AED3A481123}"/>
    <cellStyle name="Percent 2 2 4 2 2 2 4" xfId="10190" xr:uid="{8F592ECA-93A6-452A-91D7-6C9EFE548EE9}"/>
    <cellStyle name="Percent 2 2 4 2 2 3" xfId="4873" xr:uid="{00000000-0005-0000-0000-0000F9120000}"/>
    <cellStyle name="Percent 2 2 4 2 2 3 2" xfId="10193" xr:uid="{43DACC1E-923A-4542-BD2F-D8D685B5E1CE}"/>
    <cellStyle name="Percent 2 2 4 2 2 4" xfId="4874" xr:uid="{00000000-0005-0000-0000-0000FA120000}"/>
    <cellStyle name="Percent 2 2 4 2 2 4 2" xfId="10194" xr:uid="{4F261159-1FF7-46C4-AE90-2DA645839298}"/>
    <cellStyle name="Percent 2 2 4 2 2 5" xfId="10189" xr:uid="{140641FD-09E0-460F-8482-A0FD6DF28367}"/>
    <cellStyle name="Percent 2 2 4 2 3" xfId="4875" xr:uid="{00000000-0005-0000-0000-0000FB120000}"/>
    <cellStyle name="Percent 2 2 4 2 3 2" xfId="4876" xr:uid="{00000000-0005-0000-0000-0000FC120000}"/>
    <cellStyle name="Percent 2 2 4 2 3 2 2" xfId="4877" xr:uid="{00000000-0005-0000-0000-0000FD120000}"/>
    <cellStyle name="Percent 2 2 4 2 3 2 2 2" xfId="10197" xr:uid="{8AF2CA0C-F4EA-495C-9979-1F2D281A5AC8}"/>
    <cellStyle name="Percent 2 2 4 2 3 2 3" xfId="10196" xr:uid="{492FF764-F921-43D7-BC60-81166BC8964B}"/>
    <cellStyle name="Percent 2 2 4 2 3 3" xfId="4878" xr:uid="{00000000-0005-0000-0000-0000FE120000}"/>
    <cellStyle name="Percent 2 2 4 2 3 3 2" xfId="10198" xr:uid="{5311053F-ADDA-455B-8A58-0B48F9444114}"/>
    <cellStyle name="Percent 2 2 4 2 3 4" xfId="4879" xr:uid="{00000000-0005-0000-0000-0000FF120000}"/>
    <cellStyle name="Percent 2 2 4 2 3 4 2" xfId="10199" xr:uid="{DE1B1D73-E083-48EF-87E9-4A8FB9C0112C}"/>
    <cellStyle name="Percent 2 2 4 2 3 5" xfId="10195" xr:uid="{56C2DA50-CA4A-4FA4-B20E-379021620023}"/>
    <cellStyle name="Percent 2 2 4 2 4" xfId="4880" xr:uid="{00000000-0005-0000-0000-000000130000}"/>
    <cellStyle name="Percent 2 2 4 2 4 2" xfId="4881" xr:uid="{00000000-0005-0000-0000-000001130000}"/>
    <cellStyle name="Percent 2 2 4 2 4 2 2" xfId="10201" xr:uid="{3F7838CA-0ABF-4E7D-A0CF-EC4F1179B82D}"/>
    <cellStyle name="Percent 2 2 4 2 4 3" xfId="10200" xr:uid="{6603C68D-249D-45BB-BAA3-FBE7DE68C8E6}"/>
    <cellStyle name="Percent 2 2 4 2 5" xfId="4882" xr:uid="{00000000-0005-0000-0000-000002130000}"/>
    <cellStyle name="Percent 2 2 4 2 5 2" xfId="4883" xr:uid="{00000000-0005-0000-0000-000003130000}"/>
    <cellStyle name="Percent 2 2 4 2 5 2 2" xfId="10203" xr:uid="{FE3A0BAC-8640-4A7E-8ED7-E6476C388F51}"/>
    <cellStyle name="Percent 2 2 4 2 5 3" xfId="10202" xr:uid="{7EDD5D8E-FA3E-4E7E-A240-0C3E5556D864}"/>
    <cellStyle name="Percent 2 2 4 2 6" xfId="4884" xr:uid="{00000000-0005-0000-0000-000004130000}"/>
    <cellStyle name="Percent 2 2 4 2 6 2" xfId="4885" xr:uid="{00000000-0005-0000-0000-000005130000}"/>
    <cellStyle name="Percent 2 2 4 2 6 2 2" xfId="10205" xr:uid="{B22D39DA-C514-4B1C-A330-AD71159E1ABC}"/>
    <cellStyle name="Percent 2 2 4 2 6 3" xfId="10204" xr:uid="{1A6555C0-2E69-4786-8BBC-8E98346DD4DA}"/>
    <cellStyle name="Percent 2 2 4 2 7" xfId="4886" xr:uid="{00000000-0005-0000-0000-000006130000}"/>
    <cellStyle name="Percent 2 2 4 2 7 2" xfId="10206" xr:uid="{22254833-B2E4-4F40-ADF8-9D4FDCDF6D92}"/>
    <cellStyle name="Percent 2 2 4 2 8" xfId="4887" xr:uid="{00000000-0005-0000-0000-000007130000}"/>
    <cellStyle name="Percent 2 2 4 2 8 2" xfId="10207" xr:uid="{B819DE98-5062-43EE-8B87-1FB9A7FCDBAA}"/>
    <cellStyle name="Percent 2 2 4 2 9" xfId="5547" xr:uid="{F8140349-C70B-4E76-92C1-33F83AF2E3B4}"/>
    <cellStyle name="Percent 2 2 4 3" xfId="4888" xr:uid="{00000000-0005-0000-0000-000008130000}"/>
    <cellStyle name="Percent 2 2 4 3 2" xfId="4889" xr:uid="{00000000-0005-0000-0000-000009130000}"/>
    <cellStyle name="Percent 2 2 4 3 2 2" xfId="4890" xr:uid="{00000000-0005-0000-0000-00000A130000}"/>
    <cellStyle name="Percent 2 2 4 3 2 2 2" xfId="10210" xr:uid="{666C52B4-52C0-4864-B5E5-88A1DFC3E5BE}"/>
    <cellStyle name="Percent 2 2 4 3 2 3" xfId="4891" xr:uid="{00000000-0005-0000-0000-00000B130000}"/>
    <cellStyle name="Percent 2 2 4 3 2 3 2" xfId="10211" xr:uid="{9ABC0A91-0651-4264-9684-201C3132E8CF}"/>
    <cellStyle name="Percent 2 2 4 3 2 4" xfId="10209" xr:uid="{FE540DE0-D93C-4996-8331-14B8E681426A}"/>
    <cellStyle name="Percent 2 2 4 3 3" xfId="4892" xr:uid="{00000000-0005-0000-0000-00000C130000}"/>
    <cellStyle name="Percent 2 2 4 3 3 2" xfId="10212" xr:uid="{197CD103-BA35-48E3-ACDA-E6A69B9030A4}"/>
    <cellStyle name="Percent 2 2 4 3 4" xfId="4893" xr:uid="{00000000-0005-0000-0000-00000D130000}"/>
    <cellStyle name="Percent 2 2 4 3 4 2" xfId="10213" xr:uid="{7B3EE780-4520-450E-999D-FF62A85CDD8D}"/>
    <cellStyle name="Percent 2 2 4 3 5" xfId="10208" xr:uid="{4400866F-1ECF-467A-98E5-8C4B1223411E}"/>
    <cellStyle name="Percent 2 2 4 4" xfId="4894" xr:uid="{00000000-0005-0000-0000-00000E130000}"/>
    <cellStyle name="Percent 2 2 4 4 2" xfId="4895" xr:uid="{00000000-0005-0000-0000-00000F130000}"/>
    <cellStyle name="Percent 2 2 4 4 2 2" xfId="4896" xr:uid="{00000000-0005-0000-0000-000010130000}"/>
    <cellStyle name="Percent 2 2 4 4 2 2 2" xfId="10216" xr:uid="{3F0C74CA-B750-4159-9150-39EA6EBA4E9E}"/>
    <cellStyle name="Percent 2 2 4 4 2 3" xfId="10215" xr:uid="{F555E833-08E4-4250-920F-211750934181}"/>
    <cellStyle name="Percent 2 2 4 4 3" xfId="4897" xr:uid="{00000000-0005-0000-0000-000011130000}"/>
    <cellStyle name="Percent 2 2 4 4 3 2" xfId="10217" xr:uid="{A9A14602-C7AF-44A1-974C-882AA867B487}"/>
    <cellStyle name="Percent 2 2 4 4 4" xfId="4898" xr:uid="{00000000-0005-0000-0000-000012130000}"/>
    <cellStyle name="Percent 2 2 4 4 4 2" xfId="10218" xr:uid="{A231D9E5-F6DB-4792-99CD-A89C77770D7A}"/>
    <cellStyle name="Percent 2 2 4 4 5" xfId="10214" xr:uid="{65165AF4-3CE4-478D-83DA-EC9C84FEF9F4}"/>
    <cellStyle name="Percent 2 2 4 5" xfId="4899" xr:uid="{00000000-0005-0000-0000-000013130000}"/>
    <cellStyle name="Percent 2 2 4 5 2" xfId="4900" xr:uid="{00000000-0005-0000-0000-000014130000}"/>
    <cellStyle name="Percent 2 2 4 5 2 2" xfId="10220" xr:uid="{F2A420EE-A7B1-422F-939B-18390F2AFDB3}"/>
    <cellStyle name="Percent 2 2 4 5 3" xfId="10219" xr:uid="{EC94C0CF-2A82-4C08-A22F-C8306F20446E}"/>
    <cellStyle name="Percent 2 2 4 6" xfId="4901" xr:uid="{00000000-0005-0000-0000-000015130000}"/>
    <cellStyle name="Percent 2 2 4 6 2" xfId="4902" xr:uid="{00000000-0005-0000-0000-000016130000}"/>
    <cellStyle name="Percent 2 2 4 6 2 2" xfId="10222" xr:uid="{64F1846B-AC4C-405F-BCEE-76A4B6750550}"/>
    <cellStyle name="Percent 2 2 4 6 3" xfId="10221" xr:uid="{4E2275EF-E98E-40E2-B68C-B2FF5538AE9F}"/>
    <cellStyle name="Percent 2 2 4 7" xfId="4903" xr:uid="{00000000-0005-0000-0000-000017130000}"/>
    <cellStyle name="Percent 2 2 4 7 2" xfId="4904" xr:uid="{00000000-0005-0000-0000-000018130000}"/>
    <cellStyle name="Percent 2 2 4 7 2 2" xfId="10224" xr:uid="{C9168E73-3FAA-47DF-B75A-94972E747060}"/>
    <cellStyle name="Percent 2 2 4 7 3" xfId="10223" xr:uid="{D279555C-AE85-484B-94E5-0A30A3121381}"/>
    <cellStyle name="Percent 2 2 4 8" xfId="4905" xr:uid="{00000000-0005-0000-0000-000019130000}"/>
    <cellStyle name="Percent 2 2 4 8 2" xfId="10225" xr:uid="{0966AC5A-EA8F-4A1A-81CD-CFF57F4ED4BE}"/>
    <cellStyle name="Percent 2 2 4 9" xfId="4906" xr:uid="{00000000-0005-0000-0000-00001A130000}"/>
    <cellStyle name="Percent 2 2 4 9 2" xfId="10226" xr:uid="{6E2C2050-FEF7-46B0-9116-99F6D2AB1DB7}"/>
    <cellStyle name="Percent 2 2 5" xfId="214" xr:uid="{00000000-0005-0000-0000-00001B130000}"/>
    <cellStyle name="Percent 2 2 5 10" xfId="5548" xr:uid="{4D7E8A6B-04F2-46FE-AB91-A0B63BF856A5}"/>
    <cellStyle name="Percent 2 2 5 2" xfId="4907" xr:uid="{00000000-0005-0000-0000-00001C130000}"/>
    <cellStyle name="Percent 2 2 5 2 2" xfId="4908" xr:uid="{00000000-0005-0000-0000-00001D130000}"/>
    <cellStyle name="Percent 2 2 5 2 2 2" xfId="4909" xr:uid="{00000000-0005-0000-0000-00001E130000}"/>
    <cellStyle name="Percent 2 2 5 2 2 2 2" xfId="4910" xr:uid="{00000000-0005-0000-0000-00001F130000}"/>
    <cellStyle name="Percent 2 2 5 2 2 2 2 2" xfId="10230" xr:uid="{ED6E908A-1F60-4A80-AF4E-041095FCAF56}"/>
    <cellStyle name="Percent 2 2 5 2 2 2 3" xfId="4911" xr:uid="{00000000-0005-0000-0000-000020130000}"/>
    <cellStyle name="Percent 2 2 5 2 2 2 3 2" xfId="10231" xr:uid="{5764A3EB-0048-4E9A-A164-835DF288EDD0}"/>
    <cellStyle name="Percent 2 2 5 2 2 2 4" xfId="10229" xr:uid="{79A07314-73D5-4481-BB83-8529ED31CCCF}"/>
    <cellStyle name="Percent 2 2 5 2 2 3" xfId="4912" xr:uid="{00000000-0005-0000-0000-000021130000}"/>
    <cellStyle name="Percent 2 2 5 2 2 3 2" xfId="10232" xr:uid="{ABD41469-4E4B-40A7-8459-5EA4778EEB8E}"/>
    <cellStyle name="Percent 2 2 5 2 2 4" xfId="4913" xr:uid="{00000000-0005-0000-0000-000022130000}"/>
    <cellStyle name="Percent 2 2 5 2 2 4 2" xfId="10233" xr:uid="{36DF489D-2A82-4E78-8EC9-3153BDE1EE7B}"/>
    <cellStyle name="Percent 2 2 5 2 2 5" xfId="10228" xr:uid="{ACC7C0F2-6DB6-4773-8335-29268B077C1E}"/>
    <cellStyle name="Percent 2 2 5 2 3" xfId="4914" xr:uid="{00000000-0005-0000-0000-000023130000}"/>
    <cellStyle name="Percent 2 2 5 2 3 2" xfId="4915" xr:uid="{00000000-0005-0000-0000-000024130000}"/>
    <cellStyle name="Percent 2 2 5 2 3 2 2" xfId="4916" xr:uid="{00000000-0005-0000-0000-000025130000}"/>
    <cellStyle name="Percent 2 2 5 2 3 2 2 2" xfId="10236" xr:uid="{099A0956-6C35-4CB3-AD98-F22296DF42AD}"/>
    <cellStyle name="Percent 2 2 5 2 3 2 3" xfId="10235" xr:uid="{6F5EF37A-88A2-4FC5-9065-9F2AC85B1A7C}"/>
    <cellStyle name="Percent 2 2 5 2 3 3" xfId="4917" xr:uid="{00000000-0005-0000-0000-000026130000}"/>
    <cellStyle name="Percent 2 2 5 2 3 3 2" xfId="10237" xr:uid="{8EDF638F-F850-40FC-A4E7-F1B33E915C7A}"/>
    <cellStyle name="Percent 2 2 5 2 3 4" xfId="4918" xr:uid="{00000000-0005-0000-0000-000027130000}"/>
    <cellStyle name="Percent 2 2 5 2 3 4 2" xfId="10238" xr:uid="{948DC849-C284-478C-8E89-88BB1DB1D6CE}"/>
    <cellStyle name="Percent 2 2 5 2 3 5" xfId="10234" xr:uid="{72A4579B-61BC-4C5C-81C5-38B146F1CEC5}"/>
    <cellStyle name="Percent 2 2 5 2 4" xfId="4919" xr:uid="{00000000-0005-0000-0000-000028130000}"/>
    <cellStyle name="Percent 2 2 5 2 4 2" xfId="4920" xr:uid="{00000000-0005-0000-0000-000029130000}"/>
    <cellStyle name="Percent 2 2 5 2 4 2 2" xfId="10240" xr:uid="{4E6CE847-FF30-430F-B6D3-E4E35D02F5B8}"/>
    <cellStyle name="Percent 2 2 5 2 4 3" xfId="10239" xr:uid="{2EE6E895-E5E6-4A8B-9642-65294677F0D4}"/>
    <cellStyle name="Percent 2 2 5 2 5" xfId="4921" xr:uid="{00000000-0005-0000-0000-00002A130000}"/>
    <cellStyle name="Percent 2 2 5 2 5 2" xfId="10241" xr:uid="{B69FA4E0-6D0D-4374-A436-EB12EDB38968}"/>
    <cellStyle name="Percent 2 2 5 2 6" xfId="4922" xr:uid="{00000000-0005-0000-0000-00002B130000}"/>
    <cellStyle name="Percent 2 2 5 2 6 2" xfId="10242" xr:uid="{3B2A6228-BAD2-4224-BE97-B6297C7411DA}"/>
    <cellStyle name="Percent 2 2 5 2 7" xfId="10227" xr:uid="{732DCBDA-9EA1-48B0-B1AA-03486C859770}"/>
    <cellStyle name="Percent 2 2 5 3" xfId="4923" xr:uid="{00000000-0005-0000-0000-00002C130000}"/>
    <cellStyle name="Percent 2 2 5 3 2" xfId="4924" xr:uid="{00000000-0005-0000-0000-00002D130000}"/>
    <cellStyle name="Percent 2 2 5 3 2 2" xfId="4925" xr:uid="{00000000-0005-0000-0000-00002E130000}"/>
    <cellStyle name="Percent 2 2 5 3 2 2 2" xfId="10245" xr:uid="{6F885953-A77C-43E1-B929-2BF3C9548BED}"/>
    <cellStyle name="Percent 2 2 5 3 2 3" xfId="4926" xr:uid="{00000000-0005-0000-0000-00002F130000}"/>
    <cellStyle name="Percent 2 2 5 3 2 3 2" xfId="10246" xr:uid="{56E7671A-07E5-4425-A4D9-D77D4F8F0827}"/>
    <cellStyle name="Percent 2 2 5 3 2 4" xfId="10244" xr:uid="{7D3E8F7E-83D7-4244-A14A-88080C41F5BE}"/>
    <cellStyle name="Percent 2 2 5 3 3" xfId="4927" xr:uid="{00000000-0005-0000-0000-000030130000}"/>
    <cellStyle name="Percent 2 2 5 3 3 2" xfId="10247" xr:uid="{17B168E0-FB5B-4AC6-A379-FDE1F2361560}"/>
    <cellStyle name="Percent 2 2 5 3 4" xfId="4928" xr:uid="{00000000-0005-0000-0000-000031130000}"/>
    <cellStyle name="Percent 2 2 5 3 4 2" xfId="10248" xr:uid="{9196B91C-01FD-424D-9E24-7D16282D9C7E}"/>
    <cellStyle name="Percent 2 2 5 3 5" xfId="10243" xr:uid="{E04F0849-DA08-4CD1-80E5-429BD4B60C67}"/>
    <cellStyle name="Percent 2 2 5 4" xfId="4929" xr:uid="{00000000-0005-0000-0000-000032130000}"/>
    <cellStyle name="Percent 2 2 5 4 2" xfId="4930" xr:uid="{00000000-0005-0000-0000-000033130000}"/>
    <cellStyle name="Percent 2 2 5 4 2 2" xfId="4931" xr:uid="{00000000-0005-0000-0000-000034130000}"/>
    <cellStyle name="Percent 2 2 5 4 2 2 2" xfId="10251" xr:uid="{B31154B4-6F6B-42CD-A998-3BB6496A9E1B}"/>
    <cellStyle name="Percent 2 2 5 4 2 3" xfId="10250" xr:uid="{9ABEEC64-0715-4F4F-B11B-AB88CAD0226F}"/>
    <cellStyle name="Percent 2 2 5 4 3" xfId="4932" xr:uid="{00000000-0005-0000-0000-000035130000}"/>
    <cellStyle name="Percent 2 2 5 4 3 2" xfId="10252" xr:uid="{DBAFEB73-7EF8-435E-8667-63F0C3FCDA8E}"/>
    <cellStyle name="Percent 2 2 5 4 4" xfId="4933" xr:uid="{00000000-0005-0000-0000-000036130000}"/>
    <cellStyle name="Percent 2 2 5 4 4 2" xfId="10253" xr:uid="{B3AD27C4-8804-4313-BC49-88CD5467A042}"/>
    <cellStyle name="Percent 2 2 5 4 5" xfId="10249" xr:uid="{2622A534-4259-48B1-B185-E4A03DAC9FA1}"/>
    <cellStyle name="Percent 2 2 5 5" xfId="4934" xr:uid="{00000000-0005-0000-0000-000037130000}"/>
    <cellStyle name="Percent 2 2 5 5 2" xfId="4935" xr:uid="{00000000-0005-0000-0000-000038130000}"/>
    <cellStyle name="Percent 2 2 5 5 2 2" xfId="10255" xr:uid="{85D8530C-1FE0-4B90-AE41-6D094CD5575B}"/>
    <cellStyle name="Percent 2 2 5 5 3" xfId="10254" xr:uid="{79630F47-D4E7-4E8F-A477-51C33C0F510F}"/>
    <cellStyle name="Percent 2 2 5 6" xfId="4936" xr:uid="{00000000-0005-0000-0000-000039130000}"/>
    <cellStyle name="Percent 2 2 5 6 2" xfId="4937" xr:uid="{00000000-0005-0000-0000-00003A130000}"/>
    <cellStyle name="Percent 2 2 5 6 2 2" xfId="10257" xr:uid="{5DF1F705-313E-4FA3-9BD7-B0B56A4AB869}"/>
    <cellStyle name="Percent 2 2 5 6 3" xfId="10256" xr:uid="{9A13588F-1181-452F-AD91-A36B2C120650}"/>
    <cellStyle name="Percent 2 2 5 7" xfId="4938" xr:uid="{00000000-0005-0000-0000-00003B130000}"/>
    <cellStyle name="Percent 2 2 5 7 2" xfId="4939" xr:uid="{00000000-0005-0000-0000-00003C130000}"/>
    <cellStyle name="Percent 2 2 5 7 2 2" xfId="10259" xr:uid="{29D618C7-1B6B-4906-B629-0DEE8125E4E9}"/>
    <cellStyle name="Percent 2 2 5 7 3" xfId="10258" xr:uid="{FDDF07B5-DBED-4388-93BB-958EE7BDA746}"/>
    <cellStyle name="Percent 2 2 5 8" xfId="4940" xr:uid="{00000000-0005-0000-0000-00003D130000}"/>
    <cellStyle name="Percent 2 2 5 8 2" xfId="10260" xr:uid="{A60B29C4-6755-4BC9-99C6-70FA85CC2D56}"/>
    <cellStyle name="Percent 2 2 5 9" xfId="4941" xr:uid="{00000000-0005-0000-0000-00003E130000}"/>
    <cellStyle name="Percent 2 2 5 9 2" xfId="10261" xr:uid="{A28DC142-3FCC-4C0F-BA90-40949B5CF387}"/>
    <cellStyle name="Percent 2 2 6" xfId="4942" xr:uid="{00000000-0005-0000-0000-00003F130000}"/>
    <cellStyle name="Percent 2 2 6 2" xfId="4943" xr:uid="{00000000-0005-0000-0000-000040130000}"/>
    <cellStyle name="Percent 2 2 6 2 2" xfId="4944" xr:uid="{00000000-0005-0000-0000-000041130000}"/>
    <cellStyle name="Percent 2 2 6 2 2 2" xfId="4945" xr:uid="{00000000-0005-0000-0000-000042130000}"/>
    <cellStyle name="Percent 2 2 6 2 2 2 2" xfId="10265" xr:uid="{D5D3D78F-6859-4ECA-AD78-F03156B4B8AC}"/>
    <cellStyle name="Percent 2 2 6 2 2 3" xfId="4946" xr:uid="{00000000-0005-0000-0000-000043130000}"/>
    <cellStyle name="Percent 2 2 6 2 2 3 2" xfId="10266" xr:uid="{5FA813D3-2AB9-4BB7-8CE3-70D08BC2300E}"/>
    <cellStyle name="Percent 2 2 6 2 2 4" xfId="10264" xr:uid="{284D91B7-3B20-4D66-A5AC-DBB6027A2F0C}"/>
    <cellStyle name="Percent 2 2 6 2 3" xfId="4947" xr:uid="{00000000-0005-0000-0000-000044130000}"/>
    <cellStyle name="Percent 2 2 6 2 3 2" xfId="10267" xr:uid="{B54F65CA-F92D-42D0-8DB7-0648C502BD8F}"/>
    <cellStyle name="Percent 2 2 6 2 4" xfId="4948" xr:uid="{00000000-0005-0000-0000-000045130000}"/>
    <cellStyle name="Percent 2 2 6 2 4 2" xfId="10268" xr:uid="{3BDAAF53-9EF5-4166-A767-F55308494C54}"/>
    <cellStyle name="Percent 2 2 6 2 5" xfId="10263" xr:uid="{EFB9C1FF-2A6A-461B-8C97-FC27FD2E39BC}"/>
    <cellStyle name="Percent 2 2 6 3" xfId="4949" xr:uid="{00000000-0005-0000-0000-000046130000}"/>
    <cellStyle name="Percent 2 2 6 3 2" xfId="4950" xr:uid="{00000000-0005-0000-0000-000047130000}"/>
    <cellStyle name="Percent 2 2 6 3 2 2" xfId="4951" xr:uid="{00000000-0005-0000-0000-000048130000}"/>
    <cellStyle name="Percent 2 2 6 3 2 2 2" xfId="10271" xr:uid="{8996B014-47DA-42A3-92CB-0CD3D4AA8ABD}"/>
    <cellStyle name="Percent 2 2 6 3 2 3" xfId="10270" xr:uid="{C3F7E0E2-FDA0-462C-A477-1A109BA9161F}"/>
    <cellStyle name="Percent 2 2 6 3 3" xfId="4952" xr:uid="{00000000-0005-0000-0000-000049130000}"/>
    <cellStyle name="Percent 2 2 6 3 3 2" xfId="10272" xr:uid="{1A67A360-0275-4726-A266-4774B7D8BE5E}"/>
    <cellStyle name="Percent 2 2 6 3 4" xfId="4953" xr:uid="{00000000-0005-0000-0000-00004A130000}"/>
    <cellStyle name="Percent 2 2 6 3 4 2" xfId="10273" xr:uid="{735242FE-3E81-4962-9D3A-43E4A0559E76}"/>
    <cellStyle name="Percent 2 2 6 3 5" xfId="10269" xr:uid="{1487A031-D7D7-4DAF-85E5-894CA08FEEF3}"/>
    <cellStyle name="Percent 2 2 6 4" xfId="4954" xr:uid="{00000000-0005-0000-0000-00004B130000}"/>
    <cellStyle name="Percent 2 2 6 4 2" xfId="4955" xr:uid="{00000000-0005-0000-0000-00004C130000}"/>
    <cellStyle name="Percent 2 2 6 4 2 2" xfId="10275" xr:uid="{F336A7F9-58FD-4387-B35F-C2CA058FBF2D}"/>
    <cellStyle name="Percent 2 2 6 4 3" xfId="10274" xr:uid="{8ADC8463-2760-4E93-892E-970349E0AB45}"/>
    <cellStyle name="Percent 2 2 6 5" xfId="4956" xr:uid="{00000000-0005-0000-0000-00004D130000}"/>
    <cellStyle name="Percent 2 2 6 5 2" xfId="10276" xr:uid="{008BBB30-7A76-4577-92BE-5BF77758431B}"/>
    <cellStyle name="Percent 2 2 6 6" xfId="4957" xr:uid="{00000000-0005-0000-0000-00004E130000}"/>
    <cellStyle name="Percent 2 2 6 6 2" xfId="10277" xr:uid="{77B93056-9875-4AA7-81C0-7708DA626A34}"/>
    <cellStyle name="Percent 2 2 6 7" xfId="10262" xr:uid="{F1C426BB-2C23-4F9D-9B79-1010799DD972}"/>
    <cellStyle name="Percent 2 2 7" xfId="4958" xr:uid="{00000000-0005-0000-0000-00004F130000}"/>
    <cellStyle name="Percent 2 2 7 2" xfId="4959" xr:uid="{00000000-0005-0000-0000-000050130000}"/>
    <cellStyle name="Percent 2 2 7 2 2" xfId="4960" xr:uid="{00000000-0005-0000-0000-000051130000}"/>
    <cellStyle name="Percent 2 2 7 2 2 2" xfId="10280" xr:uid="{C5E8A4DD-294F-461C-868E-6CAAD8DEC614}"/>
    <cellStyle name="Percent 2 2 7 2 3" xfId="4961" xr:uid="{00000000-0005-0000-0000-000052130000}"/>
    <cellStyle name="Percent 2 2 7 2 3 2" xfId="10281" xr:uid="{B5EC7E04-DC99-4A1E-8CC8-6EC0B9273DA8}"/>
    <cellStyle name="Percent 2 2 7 2 4" xfId="10279" xr:uid="{529FABEE-13F0-4F9B-BA0C-65836991F1BA}"/>
    <cellStyle name="Percent 2 2 7 3" xfId="4962" xr:uid="{00000000-0005-0000-0000-000053130000}"/>
    <cellStyle name="Percent 2 2 7 3 2" xfId="4963" xr:uid="{00000000-0005-0000-0000-000054130000}"/>
    <cellStyle name="Percent 2 2 7 3 2 2" xfId="10283" xr:uid="{60A2FB2B-68B3-422A-B4EC-18FBC5ACF110}"/>
    <cellStyle name="Percent 2 2 7 3 3" xfId="10282" xr:uid="{5C8DA889-049E-45AB-8623-5B5C45DAACF6}"/>
    <cellStyle name="Percent 2 2 7 4" xfId="4964" xr:uid="{00000000-0005-0000-0000-000055130000}"/>
    <cellStyle name="Percent 2 2 7 4 2" xfId="10284" xr:uid="{5C6F2BD6-1BC7-44C7-BCE2-414EE3DC623C}"/>
    <cellStyle name="Percent 2 2 7 5" xfId="10278" xr:uid="{0DF02302-31E6-4AB1-99A1-C8251245C45D}"/>
    <cellStyle name="Percent 2 2 8" xfId="4965" xr:uid="{00000000-0005-0000-0000-000056130000}"/>
    <cellStyle name="Percent 2 2 8 2" xfId="4966" xr:uid="{00000000-0005-0000-0000-000057130000}"/>
    <cellStyle name="Percent 2 2 8 2 2" xfId="4967" xr:uid="{00000000-0005-0000-0000-000058130000}"/>
    <cellStyle name="Percent 2 2 8 2 2 2" xfId="10287" xr:uid="{FAB38399-DE9E-4F75-A4BE-6C33D497C704}"/>
    <cellStyle name="Percent 2 2 8 2 3" xfId="10286" xr:uid="{E21A46C7-CA47-4C0E-8BF3-5D8857607D60}"/>
    <cellStyle name="Percent 2 2 8 3" xfId="4968" xr:uid="{00000000-0005-0000-0000-000059130000}"/>
    <cellStyle name="Percent 2 2 8 3 2" xfId="10288" xr:uid="{FB788147-4C41-4452-B56F-25531AAB1B60}"/>
    <cellStyle name="Percent 2 2 8 4" xfId="4969" xr:uid="{00000000-0005-0000-0000-00005A130000}"/>
    <cellStyle name="Percent 2 2 8 4 2" xfId="10289" xr:uid="{DBB7E733-F523-4154-9290-0496C9294238}"/>
    <cellStyle name="Percent 2 2 8 5" xfId="10285" xr:uid="{EA04DAD1-0D34-4BDA-8E86-50737AEE7F85}"/>
    <cellStyle name="Percent 2 2 9" xfId="4970" xr:uid="{00000000-0005-0000-0000-00005B130000}"/>
    <cellStyle name="Percent 2 2 9 2" xfId="4971" xr:uid="{00000000-0005-0000-0000-00005C130000}"/>
    <cellStyle name="Percent 2 2 9 2 2" xfId="10291" xr:uid="{38464076-5E41-4545-8C0F-6907B8D41CA4}"/>
    <cellStyle name="Percent 2 2 9 3" xfId="4972" xr:uid="{00000000-0005-0000-0000-00005D130000}"/>
    <cellStyle name="Percent 2 2 9 3 2" xfId="10292" xr:uid="{01A0C9A3-C6ED-48EB-B200-BA0711FADDD9}"/>
    <cellStyle name="Percent 2 2 9 4" xfId="10290" xr:uid="{8B40EF8B-A8BA-4904-86FA-3655A80A76C7}"/>
    <cellStyle name="Percent 2 3" xfId="215" xr:uid="{00000000-0005-0000-0000-00005E130000}"/>
    <cellStyle name="Percent 2 3 10" xfId="4973" xr:uid="{00000000-0005-0000-0000-00005F130000}"/>
    <cellStyle name="Percent 2 3 10 2" xfId="4974" xr:uid="{00000000-0005-0000-0000-000060130000}"/>
    <cellStyle name="Percent 2 3 10 2 2" xfId="10294" xr:uid="{10C04B37-B661-418A-95EC-426D45FB5E17}"/>
    <cellStyle name="Percent 2 3 10 3" xfId="10293" xr:uid="{803F6FA9-FEA3-45F7-87FA-E19C1D4DD3A0}"/>
    <cellStyle name="Percent 2 3 11" xfId="4975" xr:uid="{00000000-0005-0000-0000-000061130000}"/>
    <cellStyle name="Percent 2 3 11 2" xfId="10295" xr:uid="{F2C85CFF-F9F4-463B-B880-917EEF4277AC}"/>
    <cellStyle name="Percent 2 3 12" xfId="4976" xr:uid="{00000000-0005-0000-0000-000062130000}"/>
    <cellStyle name="Percent 2 3 12 2" xfId="10296" xr:uid="{65E1E8F3-CD14-4669-90BD-6CB6AC8A85D1}"/>
    <cellStyle name="Percent 2 3 13" xfId="5549" xr:uid="{4E5DA691-0ECB-41ED-BCAD-E40422420953}"/>
    <cellStyle name="Percent 2 3 2" xfId="216" xr:uid="{00000000-0005-0000-0000-000063130000}"/>
    <cellStyle name="Percent 2 3 2 10" xfId="4977" xr:uid="{00000000-0005-0000-0000-000064130000}"/>
    <cellStyle name="Percent 2 3 2 10 2" xfId="10297" xr:uid="{5BC7A1C3-414B-4480-9264-A84EE2323520}"/>
    <cellStyle name="Percent 2 3 2 11" xfId="5550" xr:uid="{67B07B73-9FCA-408A-8DD9-0F379E312C8B}"/>
    <cellStyle name="Percent 2 3 2 2" xfId="217" xr:uid="{00000000-0005-0000-0000-000065130000}"/>
    <cellStyle name="Percent 2 3 2 2 10" xfId="5551" xr:uid="{12B204D1-B2A0-4349-A3A7-0C7707897222}"/>
    <cellStyle name="Percent 2 3 2 2 2" xfId="218" xr:uid="{00000000-0005-0000-0000-000066130000}"/>
    <cellStyle name="Percent 2 3 2 2 2 2" xfId="4978" xr:uid="{00000000-0005-0000-0000-000067130000}"/>
    <cellStyle name="Percent 2 3 2 2 2 2 2" xfId="4979" xr:uid="{00000000-0005-0000-0000-000068130000}"/>
    <cellStyle name="Percent 2 3 2 2 2 2 2 2" xfId="4980" xr:uid="{00000000-0005-0000-0000-000069130000}"/>
    <cellStyle name="Percent 2 3 2 2 2 2 2 2 2" xfId="10300" xr:uid="{2865B716-3C39-4F2A-8148-3A12C580413C}"/>
    <cellStyle name="Percent 2 3 2 2 2 2 2 3" xfId="4981" xr:uid="{00000000-0005-0000-0000-00006A130000}"/>
    <cellStyle name="Percent 2 3 2 2 2 2 2 3 2" xfId="10301" xr:uid="{62C61484-13A0-4BA7-A884-7055E1D8FC1C}"/>
    <cellStyle name="Percent 2 3 2 2 2 2 2 4" xfId="10299" xr:uid="{9C4C9006-93FC-439D-8E19-728C87846A88}"/>
    <cellStyle name="Percent 2 3 2 2 2 2 3" xfId="4982" xr:uid="{00000000-0005-0000-0000-00006B130000}"/>
    <cellStyle name="Percent 2 3 2 2 2 2 3 2" xfId="10302" xr:uid="{C8DEEFFE-0E22-4A3D-8799-AFB5CFEF10C8}"/>
    <cellStyle name="Percent 2 3 2 2 2 2 4" xfId="4983" xr:uid="{00000000-0005-0000-0000-00006C130000}"/>
    <cellStyle name="Percent 2 3 2 2 2 2 4 2" xfId="10303" xr:uid="{7300406E-6C0B-4DDB-B2A6-749200ED5A9C}"/>
    <cellStyle name="Percent 2 3 2 2 2 2 5" xfId="10298" xr:uid="{2B1FAF31-405A-4AB8-80F2-37679D6E2DCB}"/>
    <cellStyle name="Percent 2 3 2 2 2 3" xfId="4984" xr:uid="{00000000-0005-0000-0000-00006D130000}"/>
    <cellStyle name="Percent 2 3 2 2 2 3 2" xfId="4985" xr:uid="{00000000-0005-0000-0000-00006E130000}"/>
    <cellStyle name="Percent 2 3 2 2 2 3 2 2" xfId="4986" xr:uid="{00000000-0005-0000-0000-00006F130000}"/>
    <cellStyle name="Percent 2 3 2 2 2 3 2 2 2" xfId="10306" xr:uid="{16CC8FBF-7446-46D2-92B1-C952FDA2E9BA}"/>
    <cellStyle name="Percent 2 3 2 2 2 3 2 3" xfId="10305" xr:uid="{97A45462-4A1E-4FA2-970D-A28E39D4E1E1}"/>
    <cellStyle name="Percent 2 3 2 2 2 3 3" xfId="4987" xr:uid="{00000000-0005-0000-0000-000070130000}"/>
    <cellStyle name="Percent 2 3 2 2 2 3 3 2" xfId="10307" xr:uid="{8B15F81E-B70E-440C-9DED-41F0D9767355}"/>
    <cellStyle name="Percent 2 3 2 2 2 3 4" xfId="4988" xr:uid="{00000000-0005-0000-0000-000071130000}"/>
    <cellStyle name="Percent 2 3 2 2 2 3 4 2" xfId="10308" xr:uid="{B8A3E05D-D58A-46AB-97DD-E50788BDFC8E}"/>
    <cellStyle name="Percent 2 3 2 2 2 3 5" xfId="10304" xr:uid="{6C64A762-67EE-4464-8576-0429B77B76C7}"/>
    <cellStyle name="Percent 2 3 2 2 2 4" xfId="4989" xr:uid="{00000000-0005-0000-0000-000072130000}"/>
    <cellStyle name="Percent 2 3 2 2 2 4 2" xfId="4990" xr:uid="{00000000-0005-0000-0000-000073130000}"/>
    <cellStyle name="Percent 2 3 2 2 2 4 2 2" xfId="10310" xr:uid="{B5CD7812-2887-4615-97FA-BEF271E607A6}"/>
    <cellStyle name="Percent 2 3 2 2 2 4 3" xfId="10309" xr:uid="{6DE4F0A9-24FC-4810-99CA-03BF500FDD7E}"/>
    <cellStyle name="Percent 2 3 2 2 2 5" xfId="4991" xr:uid="{00000000-0005-0000-0000-000074130000}"/>
    <cellStyle name="Percent 2 3 2 2 2 5 2" xfId="4992" xr:uid="{00000000-0005-0000-0000-000075130000}"/>
    <cellStyle name="Percent 2 3 2 2 2 5 2 2" xfId="10312" xr:uid="{71C5E219-A1C9-4739-8722-2463ECEE0E08}"/>
    <cellStyle name="Percent 2 3 2 2 2 5 3" xfId="10311" xr:uid="{6C5C507A-676C-405F-A74D-A9C1D3009724}"/>
    <cellStyle name="Percent 2 3 2 2 2 6" xfId="4993" xr:uid="{00000000-0005-0000-0000-000076130000}"/>
    <cellStyle name="Percent 2 3 2 2 2 6 2" xfId="4994" xr:uid="{00000000-0005-0000-0000-000077130000}"/>
    <cellStyle name="Percent 2 3 2 2 2 6 2 2" xfId="10314" xr:uid="{A8FEB918-7D2D-4B2B-AEE9-3FD61132001B}"/>
    <cellStyle name="Percent 2 3 2 2 2 6 3" xfId="10313" xr:uid="{B189F110-4FB2-49EA-A883-0FB7DEB09CA9}"/>
    <cellStyle name="Percent 2 3 2 2 2 7" xfId="4995" xr:uid="{00000000-0005-0000-0000-000078130000}"/>
    <cellStyle name="Percent 2 3 2 2 2 7 2" xfId="10315" xr:uid="{3C7AC36B-B058-43F9-BC56-4060D3854E08}"/>
    <cellStyle name="Percent 2 3 2 2 2 8" xfId="4996" xr:uid="{00000000-0005-0000-0000-000079130000}"/>
    <cellStyle name="Percent 2 3 2 2 2 8 2" xfId="10316" xr:uid="{240841F9-4830-4824-A4CA-8E74C1161232}"/>
    <cellStyle name="Percent 2 3 2 2 2 9" xfId="5552" xr:uid="{3185C5CB-EFDD-4019-A9CA-A375E48ABAED}"/>
    <cellStyle name="Percent 2 3 2 2 3" xfId="4997" xr:uid="{00000000-0005-0000-0000-00007A130000}"/>
    <cellStyle name="Percent 2 3 2 2 3 2" xfId="4998" xr:uid="{00000000-0005-0000-0000-00007B130000}"/>
    <cellStyle name="Percent 2 3 2 2 3 2 2" xfId="4999" xr:uid="{00000000-0005-0000-0000-00007C130000}"/>
    <cellStyle name="Percent 2 3 2 2 3 2 2 2" xfId="10319" xr:uid="{DC62C7D0-380E-4583-A59A-7EE193E22C2B}"/>
    <cellStyle name="Percent 2 3 2 2 3 2 3" xfId="5000" xr:uid="{00000000-0005-0000-0000-00007D130000}"/>
    <cellStyle name="Percent 2 3 2 2 3 2 3 2" xfId="10320" xr:uid="{22C80179-03A0-4751-ABC7-08CC1CD0138F}"/>
    <cellStyle name="Percent 2 3 2 2 3 2 4" xfId="10318" xr:uid="{94552A29-9D9D-43F0-87AA-B115AA2DB936}"/>
    <cellStyle name="Percent 2 3 2 2 3 3" xfId="5001" xr:uid="{00000000-0005-0000-0000-00007E130000}"/>
    <cellStyle name="Percent 2 3 2 2 3 3 2" xfId="10321" xr:uid="{4D65DC10-13C5-4BFD-8A86-857EF271429F}"/>
    <cellStyle name="Percent 2 3 2 2 3 4" xfId="5002" xr:uid="{00000000-0005-0000-0000-00007F130000}"/>
    <cellStyle name="Percent 2 3 2 2 3 4 2" xfId="10322" xr:uid="{3F58E6AB-AD81-4CEC-AC72-6CEF31EF7D1E}"/>
    <cellStyle name="Percent 2 3 2 2 3 5" xfId="10317" xr:uid="{257C4A9A-D618-4123-B9AD-758040ABB253}"/>
    <cellStyle name="Percent 2 3 2 2 4" xfId="5003" xr:uid="{00000000-0005-0000-0000-000080130000}"/>
    <cellStyle name="Percent 2 3 2 2 4 2" xfId="5004" xr:uid="{00000000-0005-0000-0000-000081130000}"/>
    <cellStyle name="Percent 2 3 2 2 4 2 2" xfId="5005" xr:uid="{00000000-0005-0000-0000-000082130000}"/>
    <cellStyle name="Percent 2 3 2 2 4 2 2 2" xfId="10325" xr:uid="{3764BDDE-F6A6-46FE-9E64-1DC383FE30DE}"/>
    <cellStyle name="Percent 2 3 2 2 4 2 3" xfId="10324" xr:uid="{F581DC3C-AC7A-42A0-AA19-563F48005B62}"/>
    <cellStyle name="Percent 2 3 2 2 4 3" xfId="5006" xr:uid="{00000000-0005-0000-0000-000083130000}"/>
    <cellStyle name="Percent 2 3 2 2 4 3 2" xfId="10326" xr:uid="{1CA64084-BCF9-4E21-B387-3B48877C2921}"/>
    <cellStyle name="Percent 2 3 2 2 4 4" xfId="5007" xr:uid="{00000000-0005-0000-0000-000084130000}"/>
    <cellStyle name="Percent 2 3 2 2 4 4 2" xfId="10327" xr:uid="{C244ED69-D3CD-4516-9BC5-12C124819B0F}"/>
    <cellStyle name="Percent 2 3 2 2 4 5" xfId="10323" xr:uid="{9469B1DB-D26E-4A23-9D5D-A9E6251C6779}"/>
    <cellStyle name="Percent 2 3 2 2 5" xfId="5008" xr:uid="{00000000-0005-0000-0000-000085130000}"/>
    <cellStyle name="Percent 2 3 2 2 5 2" xfId="5009" xr:uid="{00000000-0005-0000-0000-000086130000}"/>
    <cellStyle name="Percent 2 3 2 2 5 2 2" xfId="10329" xr:uid="{4FA27F89-E192-4296-95B2-184DD17DC755}"/>
    <cellStyle name="Percent 2 3 2 2 5 3" xfId="10328" xr:uid="{2636FFA9-C1B7-478E-917A-3D7CA25780DC}"/>
    <cellStyle name="Percent 2 3 2 2 6" xfId="5010" xr:uid="{00000000-0005-0000-0000-000087130000}"/>
    <cellStyle name="Percent 2 3 2 2 6 2" xfId="5011" xr:uid="{00000000-0005-0000-0000-000088130000}"/>
    <cellStyle name="Percent 2 3 2 2 6 2 2" xfId="10331" xr:uid="{CB65D9B1-1686-4CBB-8F36-BC868F5F9EE3}"/>
    <cellStyle name="Percent 2 3 2 2 6 3" xfId="10330" xr:uid="{34443E88-3BBA-4FD9-A355-119B158D7666}"/>
    <cellStyle name="Percent 2 3 2 2 7" xfId="5012" xr:uid="{00000000-0005-0000-0000-000089130000}"/>
    <cellStyle name="Percent 2 3 2 2 7 2" xfId="5013" xr:uid="{00000000-0005-0000-0000-00008A130000}"/>
    <cellStyle name="Percent 2 3 2 2 7 2 2" xfId="10333" xr:uid="{BD70783F-A942-4B1B-8D9C-786BEABBBD7C}"/>
    <cellStyle name="Percent 2 3 2 2 7 3" xfId="10332" xr:uid="{AF70D9CD-4AB8-4D76-BC99-CAB13AEBB480}"/>
    <cellStyle name="Percent 2 3 2 2 8" xfId="5014" xr:uid="{00000000-0005-0000-0000-00008B130000}"/>
    <cellStyle name="Percent 2 3 2 2 8 2" xfId="10334" xr:uid="{1B90C70C-A729-4C40-8945-6B567F1FE650}"/>
    <cellStyle name="Percent 2 3 2 2 9" xfId="5015" xr:uid="{00000000-0005-0000-0000-00008C130000}"/>
    <cellStyle name="Percent 2 3 2 2 9 2" xfId="10335" xr:uid="{2991D8C3-236D-42C0-BECB-D49DDB88FD29}"/>
    <cellStyle name="Percent 2 3 2 3" xfId="219" xr:uid="{00000000-0005-0000-0000-00008D130000}"/>
    <cellStyle name="Percent 2 3 2 3 2" xfId="5016" xr:uid="{00000000-0005-0000-0000-00008E130000}"/>
    <cellStyle name="Percent 2 3 2 3 2 2" xfId="5017" xr:uid="{00000000-0005-0000-0000-00008F130000}"/>
    <cellStyle name="Percent 2 3 2 3 2 2 2" xfId="5018" xr:uid="{00000000-0005-0000-0000-000090130000}"/>
    <cellStyle name="Percent 2 3 2 3 2 2 2 2" xfId="10338" xr:uid="{1E1FA0AE-47A2-4851-99B7-84F3627F5188}"/>
    <cellStyle name="Percent 2 3 2 3 2 2 3" xfId="5019" xr:uid="{00000000-0005-0000-0000-000091130000}"/>
    <cellStyle name="Percent 2 3 2 3 2 2 3 2" xfId="10339" xr:uid="{BF1000D3-A39B-4DFE-811B-4AA82FF055DD}"/>
    <cellStyle name="Percent 2 3 2 3 2 2 4" xfId="10337" xr:uid="{246F2434-27F5-4049-BBFF-6AE9DB68F4E1}"/>
    <cellStyle name="Percent 2 3 2 3 2 3" xfId="5020" xr:uid="{00000000-0005-0000-0000-000092130000}"/>
    <cellStyle name="Percent 2 3 2 3 2 3 2" xfId="10340" xr:uid="{97EF60A6-95F4-4EDA-B814-61A5B3D5FC27}"/>
    <cellStyle name="Percent 2 3 2 3 2 4" xfId="5021" xr:uid="{00000000-0005-0000-0000-000093130000}"/>
    <cellStyle name="Percent 2 3 2 3 2 4 2" xfId="10341" xr:uid="{7979DB3A-E8B8-4028-8FF1-C74EF2C0CA3B}"/>
    <cellStyle name="Percent 2 3 2 3 2 5" xfId="10336" xr:uid="{03270F2E-FC24-44C2-B282-89FCF1EC7496}"/>
    <cellStyle name="Percent 2 3 2 3 3" xfId="5022" xr:uid="{00000000-0005-0000-0000-000094130000}"/>
    <cellStyle name="Percent 2 3 2 3 3 2" xfId="5023" xr:uid="{00000000-0005-0000-0000-000095130000}"/>
    <cellStyle name="Percent 2 3 2 3 3 2 2" xfId="5024" xr:uid="{00000000-0005-0000-0000-000096130000}"/>
    <cellStyle name="Percent 2 3 2 3 3 2 2 2" xfId="10344" xr:uid="{B8097839-82D4-45B0-9F52-F575360A0A98}"/>
    <cellStyle name="Percent 2 3 2 3 3 2 3" xfId="10343" xr:uid="{4C13DC3D-211D-4FD1-86B6-A6714DD8C20E}"/>
    <cellStyle name="Percent 2 3 2 3 3 3" xfId="5025" xr:uid="{00000000-0005-0000-0000-000097130000}"/>
    <cellStyle name="Percent 2 3 2 3 3 3 2" xfId="10345" xr:uid="{75E4F1DA-4510-4270-B16C-EA51E61E5832}"/>
    <cellStyle name="Percent 2 3 2 3 3 4" xfId="5026" xr:uid="{00000000-0005-0000-0000-000098130000}"/>
    <cellStyle name="Percent 2 3 2 3 3 4 2" xfId="10346" xr:uid="{C993246C-1C27-400B-A4FC-E7B221A40444}"/>
    <cellStyle name="Percent 2 3 2 3 3 5" xfId="10342" xr:uid="{119D0FF2-0395-43A8-BA17-A56E22D38D93}"/>
    <cellStyle name="Percent 2 3 2 3 4" xfId="5027" xr:uid="{00000000-0005-0000-0000-000099130000}"/>
    <cellStyle name="Percent 2 3 2 3 4 2" xfId="5028" xr:uid="{00000000-0005-0000-0000-00009A130000}"/>
    <cellStyle name="Percent 2 3 2 3 4 2 2" xfId="10348" xr:uid="{E3BBC92F-A0AE-44F8-BEC1-CD4D74C40A1F}"/>
    <cellStyle name="Percent 2 3 2 3 4 3" xfId="10347" xr:uid="{5D7C0171-9E3F-4B0A-AC47-38EBD18EF1D1}"/>
    <cellStyle name="Percent 2 3 2 3 5" xfId="5029" xr:uid="{00000000-0005-0000-0000-00009B130000}"/>
    <cellStyle name="Percent 2 3 2 3 5 2" xfId="5030" xr:uid="{00000000-0005-0000-0000-00009C130000}"/>
    <cellStyle name="Percent 2 3 2 3 5 2 2" xfId="10350" xr:uid="{FB0FDB7C-97E0-45E0-8CE8-F418FAA984E4}"/>
    <cellStyle name="Percent 2 3 2 3 5 3" xfId="10349" xr:uid="{C91B12FB-9133-4F7A-9BC8-DB1CF75010A2}"/>
    <cellStyle name="Percent 2 3 2 3 6" xfId="5031" xr:uid="{00000000-0005-0000-0000-00009D130000}"/>
    <cellStyle name="Percent 2 3 2 3 6 2" xfId="5032" xr:uid="{00000000-0005-0000-0000-00009E130000}"/>
    <cellStyle name="Percent 2 3 2 3 6 2 2" xfId="10352" xr:uid="{92C9D4D7-EEF8-4AAA-9CCA-E97E6CC24BAF}"/>
    <cellStyle name="Percent 2 3 2 3 6 3" xfId="10351" xr:uid="{7FDCD490-2AC6-4B7B-B8B8-C46380855E43}"/>
    <cellStyle name="Percent 2 3 2 3 7" xfId="5033" xr:uid="{00000000-0005-0000-0000-00009F130000}"/>
    <cellStyle name="Percent 2 3 2 3 7 2" xfId="10353" xr:uid="{858CD7A3-3E59-4202-923A-6CDA0D6C7CF2}"/>
    <cellStyle name="Percent 2 3 2 3 8" xfId="5034" xr:uid="{00000000-0005-0000-0000-0000A0130000}"/>
    <cellStyle name="Percent 2 3 2 3 8 2" xfId="10354" xr:uid="{2D70D9FA-9733-4AF4-B877-627B0BD3BB91}"/>
    <cellStyle name="Percent 2 3 2 3 9" xfId="5553" xr:uid="{362742B5-EC41-4E18-B4E5-C39E6EFA68AE}"/>
    <cellStyle name="Percent 2 3 2 4" xfId="5035" xr:uid="{00000000-0005-0000-0000-0000A1130000}"/>
    <cellStyle name="Percent 2 3 2 4 2" xfId="5036" xr:uid="{00000000-0005-0000-0000-0000A2130000}"/>
    <cellStyle name="Percent 2 3 2 4 2 2" xfId="5037" xr:uid="{00000000-0005-0000-0000-0000A3130000}"/>
    <cellStyle name="Percent 2 3 2 4 2 2 2" xfId="10357" xr:uid="{EF1542AF-1CA9-40B0-ABB0-3338A164AD55}"/>
    <cellStyle name="Percent 2 3 2 4 2 3" xfId="5038" xr:uid="{00000000-0005-0000-0000-0000A4130000}"/>
    <cellStyle name="Percent 2 3 2 4 2 3 2" xfId="10358" xr:uid="{A6C43F82-7DAD-4A6E-8D53-2E0CB59FFD4E}"/>
    <cellStyle name="Percent 2 3 2 4 2 4" xfId="10356" xr:uid="{A9F734E3-E7D8-4ABE-84D8-C95117548762}"/>
    <cellStyle name="Percent 2 3 2 4 3" xfId="5039" xr:uid="{00000000-0005-0000-0000-0000A5130000}"/>
    <cellStyle name="Percent 2 3 2 4 3 2" xfId="10359" xr:uid="{1F59C33F-C75D-478E-8BBD-D5E3E210626A}"/>
    <cellStyle name="Percent 2 3 2 4 4" xfId="5040" xr:uid="{00000000-0005-0000-0000-0000A6130000}"/>
    <cellStyle name="Percent 2 3 2 4 4 2" xfId="10360" xr:uid="{EB9589D6-3672-4F96-9734-81CFF75DA128}"/>
    <cellStyle name="Percent 2 3 2 4 5" xfId="10355" xr:uid="{F789A0A0-546A-4132-A9BD-C6CBDA44830C}"/>
    <cellStyle name="Percent 2 3 2 5" xfId="5041" xr:uid="{00000000-0005-0000-0000-0000A7130000}"/>
    <cellStyle name="Percent 2 3 2 5 2" xfId="5042" xr:uid="{00000000-0005-0000-0000-0000A8130000}"/>
    <cellStyle name="Percent 2 3 2 5 2 2" xfId="5043" xr:uid="{00000000-0005-0000-0000-0000A9130000}"/>
    <cellStyle name="Percent 2 3 2 5 2 2 2" xfId="10363" xr:uid="{9F16B542-E4E5-43B9-AC59-40FB136F873C}"/>
    <cellStyle name="Percent 2 3 2 5 2 3" xfId="10362" xr:uid="{DDEDA1B2-DF52-48C0-9157-40C2E49FED16}"/>
    <cellStyle name="Percent 2 3 2 5 3" xfId="5044" xr:uid="{00000000-0005-0000-0000-0000AA130000}"/>
    <cellStyle name="Percent 2 3 2 5 3 2" xfId="10364" xr:uid="{4D1472BB-C000-4199-978A-002B7F8A57C1}"/>
    <cellStyle name="Percent 2 3 2 5 4" xfId="5045" xr:uid="{00000000-0005-0000-0000-0000AB130000}"/>
    <cellStyle name="Percent 2 3 2 5 4 2" xfId="10365" xr:uid="{F3D9F742-C6F0-493B-B8CF-785C446A325E}"/>
    <cellStyle name="Percent 2 3 2 5 5" xfId="10361" xr:uid="{4316B9E1-3145-4B2D-8D6B-E40579046358}"/>
    <cellStyle name="Percent 2 3 2 6" xfId="5046" xr:uid="{00000000-0005-0000-0000-0000AC130000}"/>
    <cellStyle name="Percent 2 3 2 6 2" xfId="5047" xr:uid="{00000000-0005-0000-0000-0000AD130000}"/>
    <cellStyle name="Percent 2 3 2 6 2 2" xfId="10367" xr:uid="{7EACDF47-8744-4CA9-93B4-F848FFE57969}"/>
    <cellStyle name="Percent 2 3 2 6 3" xfId="10366" xr:uid="{E55B5DFC-C6E4-4BEA-B062-25DD99B96BC6}"/>
    <cellStyle name="Percent 2 3 2 7" xfId="5048" xr:uid="{00000000-0005-0000-0000-0000AE130000}"/>
    <cellStyle name="Percent 2 3 2 7 2" xfId="5049" xr:uid="{00000000-0005-0000-0000-0000AF130000}"/>
    <cellStyle name="Percent 2 3 2 7 2 2" xfId="10369" xr:uid="{90D38D43-9FBD-49AD-8361-4C8B24BEE7C3}"/>
    <cellStyle name="Percent 2 3 2 7 3" xfId="10368" xr:uid="{A6D5256F-1E9C-4B98-BE8B-D49EC05204B8}"/>
    <cellStyle name="Percent 2 3 2 8" xfId="5050" xr:uid="{00000000-0005-0000-0000-0000B0130000}"/>
    <cellStyle name="Percent 2 3 2 8 2" xfId="5051" xr:uid="{00000000-0005-0000-0000-0000B1130000}"/>
    <cellStyle name="Percent 2 3 2 8 2 2" xfId="10371" xr:uid="{96B1B588-B1ED-478A-8653-8208FEF5D298}"/>
    <cellStyle name="Percent 2 3 2 8 3" xfId="10370" xr:uid="{0C26D177-85F6-4835-974E-A6A635154D90}"/>
    <cellStyle name="Percent 2 3 2 9" xfId="5052" xr:uid="{00000000-0005-0000-0000-0000B2130000}"/>
    <cellStyle name="Percent 2 3 2 9 2" xfId="10372" xr:uid="{22A8679D-72A8-441B-98C7-562A4B1C9C55}"/>
    <cellStyle name="Percent 2 3 3" xfId="220" xr:uid="{00000000-0005-0000-0000-0000B3130000}"/>
    <cellStyle name="Percent 2 3 3 10" xfId="5554" xr:uid="{9B6ED1CC-2C55-40ED-BA73-4738D76208C1}"/>
    <cellStyle name="Percent 2 3 3 2" xfId="221" xr:uid="{00000000-0005-0000-0000-0000B4130000}"/>
    <cellStyle name="Percent 2 3 3 2 2" xfId="5053" xr:uid="{00000000-0005-0000-0000-0000B5130000}"/>
    <cellStyle name="Percent 2 3 3 2 2 2" xfId="5054" xr:uid="{00000000-0005-0000-0000-0000B6130000}"/>
    <cellStyle name="Percent 2 3 3 2 2 2 2" xfId="5055" xr:uid="{00000000-0005-0000-0000-0000B7130000}"/>
    <cellStyle name="Percent 2 3 3 2 2 2 2 2" xfId="10375" xr:uid="{CC5A6742-1415-44E1-90A5-64583F0ABC6F}"/>
    <cellStyle name="Percent 2 3 3 2 2 2 3" xfId="5056" xr:uid="{00000000-0005-0000-0000-0000B8130000}"/>
    <cellStyle name="Percent 2 3 3 2 2 2 3 2" xfId="10376" xr:uid="{4040711D-BF95-4B04-98EC-9E23BFA28D21}"/>
    <cellStyle name="Percent 2 3 3 2 2 2 4" xfId="10374" xr:uid="{D52299C5-E23E-45B1-977D-BCEADB8BA609}"/>
    <cellStyle name="Percent 2 3 3 2 2 3" xfId="5057" xr:uid="{00000000-0005-0000-0000-0000B9130000}"/>
    <cellStyle name="Percent 2 3 3 2 2 3 2" xfId="10377" xr:uid="{6C442013-C596-4FD6-91DC-7F78BBA05228}"/>
    <cellStyle name="Percent 2 3 3 2 2 4" xfId="5058" xr:uid="{00000000-0005-0000-0000-0000BA130000}"/>
    <cellStyle name="Percent 2 3 3 2 2 4 2" xfId="10378" xr:uid="{A8EA4D8F-4A98-42CE-A751-1F3DE478EA12}"/>
    <cellStyle name="Percent 2 3 3 2 2 5" xfId="10373" xr:uid="{6E332E81-206A-4673-9784-95E3B00C4153}"/>
    <cellStyle name="Percent 2 3 3 2 3" xfId="5059" xr:uid="{00000000-0005-0000-0000-0000BB130000}"/>
    <cellStyle name="Percent 2 3 3 2 3 2" xfId="5060" xr:uid="{00000000-0005-0000-0000-0000BC130000}"/>
    <cellStyle name="Percent 2 3 3 2 3 2 2" xfId="5061" xr:uid="{00000000-0005-0000-0000-0000BD130000}"/>
    <cellStyle name="Percent 2 3 3 2 3 2 2 2" xfId="10381" xr:uid="{246A35B6-1E40-45D4-90C2-CEFC8A6399D4}"/>
    <cellStyle name="Percent 2 3 3 2 3 2 3" xfId="10380" xr:uid="{2308BA4F-B84D-4272-9499-C88F8F697AB8}"/>
    <cellStyle name="Percent 2 3 3 2 3 3" xfId="5062" xr:uid="{00000000-0005-0000-0000-0000BE130000}"/>
    <cellStyle name="Percent 2 3 3 2 3 3 2" xfId="10382" xr:uid="{DE1DAF6E-77FD-4BE2-86FB-7192832CD353}"/>
    <cellStyle name="Percent 2 3 3 2 3 4" xfId="5063" xr:uid="{00000000-0005-0000-0000-0000BF130000}"/>
    <cellStyle name="Percent 2 3 3 2 3 4 2" xfId="10383" xr:uid="{AE43296D-168F-4B2E-9C23-3B4E41E162F1}"/>
    <cellStyle name="Percent 2 3 3 2 3 5" xfId="10379" xr:uid="{8CC52951-E329-4CDD-B9DB-449453EE1E94}"/>
    <cellStyle name="Percent 2 3 3 2 4" xfId="5064" xr:uid="{00000000-0005-0000-0000-0000C0130000}"/>
    <cellStyle name="Percent 2 3 3 2 4 2" xfId="5065" xr:uid="{00000000-0005-0000-0000-0000C1130000}"/>
    <cellStyle name="Percent 2 3 3 2 4 2 2" xfId="10385" xr:uid="{8E079E0B-86FD-42B0-AB0C-B36EFD377D09}"/>
    <cellStyle name="Percent 2 3 3 2 4 3" xfId="10384" xr:uid="{83BFCF34-2FA1-4C7D-B8B9-9B549BE9A3AD}"/>
    <cellStyle name="Percent 2 3 3 2 5" xfId="5066" xr:uid="{00000000-0005-0000-0000-0000C2130000}"/>
    <cellStyle name="Percent 2 3 3 2 5 2" xfId="5067" xr:uid="{00000000-0005-0000-0000-0000C3130000}"/>
    <cellStyle name="Percent 2 3 3 2 5 2 2" xfId="10387" xr:uid="{59CA35E0-B9A1-473B-9F4E-8ABC9CF44349}"/>
    <cellStyle name="Percent 2 3 3 2 5 3" xfId="10386" xr:uid="{21A59522-7D71-41F2-ADB5-BF0B8B4ABCDB}"/>
    <cellStyle name="Percent 2 3 3 2 6" xfId="5068" xr:uid="{00000000-0005-0000-0000-0000C4130000}"/>
    <cellStyle name="Percent 2 3 3 2 6 2" xfId="5069" xr:uid="{00000000-0005-0000-0000-0000C5130000}"/>
    <cellStyle name="Percent 2 3 3 2 6 2 2" xfId="10389" xr:uid="{43A3F913-EA0B-486A-92AB-CA2B396622B2}"/>
    <cellStyle name="Percent 2 3 3 2 6 3" xfId="10388" xr:uid="{79E55D4C-CA41-4250-8159-B0568903ADE9}"/>
    <cellStyle name="Percent 2 3 3 2 7" xfId="5070" xr:uid="{00000000-0005-0000-0000-0000C6130000}"/>
    <cellStyle name="Percent 2 3 3 2 7 2" xfId="10390" xr:uid="{CCC34A6A-3F7F-4936-969A-BE2CB9ABF00B}"/>
    <cellStyle name="Percent 2 3 3 2 8" xfId="5071" xr:uid="{00000000-0005-0000-0000-0000C7130000}"/>
    <cellStyle name="Percent 2 3 3 2 8 2" xfId="10391" xr:uid="{3CC2652B-7BD5-40B5-B76C-12AF60FDC867}"/>
    <cellStyle name="Percent 2 3 3 2 9" xfId="5555" xr:uid="{E0E79565-67DB-4DB9-9BBA-D31283233446}"/>
    <cellStyle name="Percent 2 3 3 3" xfId="5072" xr:uid="{00000000-0005-0000-0000-0000C8130000}"/>
    <cellStyle name="Percent 2 3 3 3 2" xfId="5073" xr:uid="{00000000-0005-0000-0000-0000C9130000}"/>
    <cellStyle name="Percent 2 3 3 3 2 2" xfId="5074" xr:uid="{00000000-0005-0000-0000-0000CA130000}"/>
    <cellStyle name="Percent 2 3 3 3 2 2 2" xfId="10394" xr:uid="{20D19156-BBEA-4463-968B-2D8D0E01FF63}"/>
    <cellStyle name="Percent 2 3 3 3 2 3" xfId="5075" xr:uid="{00000000-0005-0000-0000-0000CB130000}"/>
    <cellStyle name="Percent 2 3 3 3 2 3 2" xfId="10395" xr:uid="{9046D0C0-128D-451E-B508-0730F398A84C}"/>
    <cellStyle name="Percent 2 3 3 3 2 4" xfId="10393" xr:uid="{86D05388-1091-451C-BC5D-4960B51DA814}"/>
    <cellStyle name="Percent 2 3 3 3 3" xfId="5076" xr:uid="{00000000-0005-0000-0000-0000CC130000}"/>
    <cellStyle name="Percent 2 3 3 3 3 2" xfId="10396" xr:uid="{6A3E0145-C4A5-414A-8615-FF79AB5D5FFC}"/>
    <cellStyle name="Percent 2 3 3 3 4" xfId="5077" xr:uid="{00000000-0005-0000-0000-0000CD130000}"/>
    <cellStyle name="Percent 2 3 3 3 4 2" xfId="10397" xr:uid="{F83049FD-ECF0-47E6-AEB6-79CB06D42367}"/>
    <cellStyle name="Percent 2 3 3 3 5" xfId="10392" xr:uid="{AD51D178-4A84-4C9A-85CE-30A6A1159BCE}"/>
    <cellStyle name="Percent 2 3 3 4" xfId="5078" xr:uid="{00000000-0005-0000-0000-0000CE130000}"/>
    <cellStyle name="Percent 2 3 3 4 2" xfId="5079" xr:uid="{00000000-0005-0000-0000-0000CF130000}"/>
    <cellStyle name="Percent 2 3 3 4 2 2" xfId="5080" xr:uid="{00000000-0005-0000-0000-0000D0130000}"/>
    <cellStyle name="Percent 2 3 3 4 2 2 2" xfId="10400" xr:uid="{7941A149-035E-4A8F-893F-24E6B0EC2879}"/>
    <cellStyle name="Percent 2 3 3 4 2 3" xfId="10399" xr:uid="{A278A82A-D81E-4B76-A195-A6CF390D824F}"/>
    <cellStyle name="Percent 2 3 3 4 3" xfId="5081" xr:uid="{00000000-0005-0000-0000-0000D1130000}"/>
    <cellStyle name="Percent 2 3 3 4 3 2" xfId="10401" xr:uid="{C90339C5-825B-40CE-B892-B43CAD4479A0}"/>
    <cellStyle name="Percent 2 3 3 4 4" xfId="5082" xr:uid="{00000000-0005-0000-0000-0000D2130000}"/>
    <cellStyle name="Percent 2 3 3 4 4 2" xfId="10402" xr:uid="{A71B4568-8B84-41C9-A7F1-C27151BA532A}"/>
    <cellStyle name="Percent 2 3 3 4 5" xfId="10398" xr:uid="{1AAF429E-97DB-4699-B703-47809C46C767}"/>
    <cellStyle name="Percent 2 3 3 5" xfId="5083" xr:uid="{00000000-0005-0000-0000-0000D3130000}"/>
    <cellStyle name="Percent 2 3 3 5 2" xfId="5084" xr:uid="{00000000-0005-0000-0000-0000D4130000}"/>
    <cellStyle name="Percent 2 3 3 5 2 2" xfId="10404" xr:uid="{FDCAAB5C-B682-44E3-A890-C8207FFB7CAA}"/>
    <cellStyle name="Percent 2 3 3 5 3" xfId="10403" xr:uid="{409814C5-DDF7-433E-8093-CD4F40F6E15E}"/>
    <cellStyle name="Percent 2 3 3 6" xfId="5085" xr:uid="{00000000-0005-0000-0000-0000D5130000}"/>
    <cellStyle name="Percent 2 3 3 6 2" xfId="5086" xr:uid="{00000000-0005-0000-0000-0000D6130000}"/>
    <cellStyle name="Percent 2 3 3 6 2 2" xfId="10406" xr:uid="{57051182-B75C-4A99-858A-22717459D9D7}"/>
    <cellStyle name="Percent 2 3 3 6 3" xfId="10405" xr:uid="{DBA6A58F-339A-4955-8B49-EF73F55526C4}"/>
    <cellStyle name="Percent 2 3 3 7" xfId="5087" xr:uid="{00000000-0005-0000-0000-0000D7130000}"/>
    <cellStyle name="Percent 2 3 3 7 2" xfId="5088" xr:uid="{00000000-0005-0000-0000-0000D8130000}"/>
    <cellStyle name="Percent 2 3 3 7 2 2" xfId="10408" xr:uid="{0C13F454-D1D6-40A2-8558-DD220850D785}"/>
    <cellStyle name="Percent 2 3 3 7 3" xfId="10407" xr:uid="{1CEE1524-34AA-4957-B331-B65D35CEE242}"/>
    <cellStyle name="Percent 2 3 3 8" xfId="5089" xr:uid="{00000000-0005-0000-0000-0000D9130000}"/>
    <cellStyle name="Percent 2 3 3 8 2" xfId="10409" xr:uid="{DAE18BFC-202E-465E-85A9-83617B792F90}"/>
    <cellStyle name="Percent 2 3 3 9" xfId="5090" xr:uid="{00000000-0005-0000-0000-0000DA130000}"/>
    <cellStyle name="Percent 2 3 3 9 2" xfId="10410" xr:uid="{F7D0AEBC-9284-4540-A2B2-3F405C679B20}"/>
    <cellStyle name="Percent 2 3 4" xfId="222" xr:uid="{00000000-0005-0000-0000-0000DB130000}"/>
    <cellStyle name="Percent 2 3 4 10" xfId="5556" xr:uid="{D7E7BD13-09AB-4871-B0EC-0B49C957CF50}"/>
    <cellStyle name="Percent 2 3 4 2" xfId="5091" xr:uid="{00000000-0005-0000-0000-0000DC130000}"/>
    <cellStyle name="Percent 2 3 4 2 2" xfId="5092" xr:uid="{00000000-0005-0000-0000-0000DD130000}"/>
    <cellStyle name="Percent 2 3 4 2 2 2" xfId="5093" xr:uid="{00000000-0005-0000-0000-0000DE130000}"/>
    <cellStyle name="Percent 2 3 4 2 2 2 2" xfId="5094" xr:uid="{00000000-0005-0000-0000-0000DF130000}"/>
    <cellStyle name="Percent 2 3 4 2 2 2 2 2" xfId="10414" xr:uid="{9478437A-AA23-463A-979A-CFEC599B09BF}"/>
    <cellStyle name="Percent 2 3 4 2 2 2 3" xfId="5095" xr:uid="{00000000-0005-0000-0000-0000E0130000}"/>
    <cellStyle name="Percent 2 3 4 2 2 2 3 2" xfId="10415" xr:uid="{AAF2EC35-B395-4074-80A8-DA8A52A90914}"/>
    <cellStyle name="Percent 2 3 4 2 2 2 4" xfId="10413" xr:uid="{A239E597-F8A9-4D99-A60A-3F364EE88DBE}"/>
    <cellStyle name="Percent 2 3 4 2 2 3" xfId="5096" xr:uid="{00000000-0005-0000-0000-0000E1130000}"/>
    <cellStyle name="Percent 2 3 4 2 2 3 2" xfId="10416" xr:uid="{2D0FB72A-782A-474B-81C0-5914BEE8596E}"/>
    <cellStyle name="Percent 2 3 4 2 2 4" xfId="5097" xr:uid="{00000000-0005-0000-0000-0000E2130000}"/>
    <cellStyle name="Percent 2 3 4 2 2 4 2" xfId="10417" xr:uid="{B1806316-C257-4649-9942-C9AEE99D1AD8}"/>
    <cellStyle name="Percent 2 3 4 2 2 5" xfId="10412" xr:uid="{6A56AD70-F71A-4748-9E93-946D94B69F85}"/>
    <cellStyle name="Percent 2 3 4 2 3" xfId="5098" xr:uid="{00000000-0005-0000-0000-0000E3130000}"/>
    <cellStyle name="Percent 2 3 4 2 3 2" xfId="5099" xr:uid="{00000000-0005-0000-0000-0000E4130000}"/>
    <cellStyle name="Percent 2 3 4 2 3 2 2" xfId="5100" xr:uid="{00000000-0005-0000-0000-0000E5130000}"/>
    <cellStyle name="Percent 2 3 4 2 3 2 2 2" xfId="10420" xr:uid="{B66D53DE-0DF9-48F7-AB18-6945C54F0883}"/>
    <cellStyle name="Percent 2 3 4 2 3 2 3" xfId="10419" xr:uid="{5E515DB5-A907-43E1-BD8B-F0A87BC78700}"/>
    <cellStyle name="Percent 2 3 4 2 3 3" xfId="5101" xr:uid="{00000000-0005-0000-0000-0000E6130000}"/>
    <cellStyle name="Percent 2 3 4 2 3 3 2" xfId="10421" xr:uid="{74FED8B8-D1DA-4A9E-AB43-12732FDC3AD1}"/>
    <cellStyle name="Percent 2 3 4 2 3 4" xfId="5102" xr:uid="{00000000-0005-0000-0000-0000E7130000}"/>
    <cellStyle name="Percent 2 3 4 2 3 4 2" xfId="10422" xr:uid="{EBFF2759-7183-45D1-9A17-EEDAE898B6FD}"/>
    <cellStyle name="Percent 2 3 4 2 3 5" xfId="10418" xr:uid="{37CA73F4-F844-4DBC-92FD-B9399DC415FF}"/>
    <cellStyle name="Percent 2 3 4 2 4" xfId="5103" xr:uid="{00000000-0005-0000-0000-0000E8130000}"/>
    <cellStyle name="Percent 2 3 4 2 4 2" xfId="5104" xr:uid="{00000000-0005-0000-0000-0000E9130000}"/>
    <cellStyle name="Percent 2 3 4 2 4 2 2" xfId="10424" xr:uid="{72452AFB-ED15-4A89-83C7-EEF789296473}"/>
    <cellStyle name="Percent 2 3 4 2 4 3" xfId="10423" xr:uid="{661913F6-C670-4716-A946-57F8B0FD4526}"/>
    <cellStyle name="Percent 2 3 4 2 5" xfId="5105" xr:uid="{00000000-0005-0000-0000-0000EA130000}"/>
    <cellStyle name="Percent 2 3 4 2 5 2" xfId="10425" xr:uid="{7604F93A-AE23-4F7B-A94B-06F239821BBE}"/>
    <cellStyle name="Percent 2 3 4 2 6" xfId="5106" xr:uid="{00000000-0005-0000-0000-0000EB130000}"/>
    <cellStyle name="Percent 2 3 4 2 6 2" xfId="10426" xr:uid="{CD463266-30E1-40CD-8C21-465714D9875B}"/>
    <cellStyle name="Percent 2 3 4 2 7" xfId="10411" xr:uid="{DD8394BD-E092-4862-960C-FB187D262BC0}"/>
    <cellStyle name="Percent 2 3 4 3" xfId="5107" xr:uid="{00000000-0005-0000-0000-0000EC130000}"/>
    <cellStyle name="Percent 2 3 4 3 2" xfId="5108" xr:uid="{00000000-0005-0000-0000-0000ED130000}"/>
    <cellStyle name="Percent 2 3 4 3 2 2" xfId="5109" xr:uid="{00000000-0005-0000-0000-0000EE130000}"/>
    <cellStyle name="Percent 2 3 4 3 2 2 2" xfId="10429" xr:uid="{0EEA2A52-E1A4-431D-8A94-8C6DE11334DA}"/>
    <cellStyle name="Percent 2 3 4 3 2 3" xfId="5110" xr:uid="{00000000-0005-0000-0000-0000EF130000}"/>
    <cellStyle name="Percent 2 3 4 3 2 3 2" xfId="10430" xr:uid="{1072CAF4-0049-4C84-964E-337674DFF5A0}"/>
    <cellStyle name="Percent 2 3 4 3 2 4" xfId="10428" xr:uid="{BF2E58C6-E817-4D22-B143-400F43ADB028}"/>
    <cellStyle name="Percent 2 3 4 3 3" xfId="5111" xr:uid="{00000000-0005-0000-0000-0000F0130000}"/>
    <cellStyle name="Percent 2 3 4 3 3 2" xfId="10431" xr:uid="{7B3CF793-1223-4F05-BAD8-5056F7B7A26A}"/>
    <cellStyle name="Percent 2 3 4 3 4" xfId="5112" xr:uid="{00000000-0005-0000-0000-0000F1130000}"/>
    <cellStyle name="Percent 2 3 4 3 4 2" xfId="10432" xr:uid="{54470389-B395-4648-96EF-7231380F1EDB}"/>
    <cellStyle name="Percent 2 3 4 3 5" xfId="10427" xr:uid="{C0C411BE-5F04-4E4C-85B6-81749A928AFF}"/>
    <cellStyle name="Percent 2 3 4 4" xfId="5113" xr:uid="{00000000-0005-0000-0000-0000F2130000}"/>
    <cellStyle name="Percent 2 3 4 4 2" xfId="5114" xr:uid="{00000000-0005-0000-0000-0000F3130000}"/>
    <cellStyle name="Percent 2 3 4 4 2 2" xfId="5115" xr:uid="{00000000-0005-0000-0000-0000F4130000}"/>
    <cellStyle name="Percent 2 3 4 4 2 2 2" xfId="10435" xr:uid="{0CB8C0BE-05A4-4BD5-BD8D-B963E9173675}"/>
    <cellStyle name="Percent 2 3 4 4 2 3" xfId="10434" xr:uid="{F821D299-95EB-4C0B-A9BA-DEF13F553CF7}"/>
    <cellStyle name="Percent 2 3 4 4 3" xfId="5116" xr:uid="{00000000-0005-0000-0000-0000F5130000}"/>
    <cellStyle name="Percent 2 3 4 4 3 2" xfId="10436" xr:uid="{92875B5F-4BC9-42A2-8BE1-7AA01F1B18E3}"/>
    <cellStyle name="Percent 2 3 4 4 4" xfId="5117" xr:uid="{00000000-0005-0000-0000-0000F6130000}"/>
    <cellStyle name="Percent 2 3 4 4 4 2" xfId="10437" xr:uid="{C11BB6F2-37FB-45F3-9CA0-83104AC8B692}"/>
    <cellStyle name="Percent 2 3 4 4 5" xfId="10433" xr:uid="{8A908B2A-77CE-4ED0-8A9E-3DFB2261A694}"/>
    <cellStyle name="Percent 2 3 4 5" xfId="5118" xr:uid="{00000000-0005-0000-0000-0000F7130000}"/>
    <cellStyle name="Percent 2 3 4 5 2" xfId="5119" xr:uid="{00000000-0005-0000-0000-0000F8130000}"/>
    <cellStyle name="Percent 2 3 4 5 2 2" xfId="10439" xr:uid="{F2866DF0-F502-4930-A393-30FC5164307D}"/>
    <cellStyle name="Percent 2 3 4 5 3" xfId="10438" xr:uid="{19C9C3A0-F092-4954-90FB-C9EF418417A9}"/>
    <cellStyle name="Percent 2 3 4 6" xfId="5120" xr:uid="{00000000-0005-0000-0000-0000F9130000}"/>
    <cellStyle name="Percent 2 3 4 6 2" xfId="5121" xr:uid="{00000000-0005-0000-0000-0000FA130000}"/>
    <cellStyle name="Percent 2 3 4 6 2 2" xfId="10441" xr:uid="{2C50C66D-DC63-428C-8075-17A4DE34CDC4}"/>
    <cellStyle name="Percent 2 3 4 6 3" xfId="10440" xr:uid="{344AB859-4F3B-4F83-973F-8A09F3CD7280}"/>
    <cellStyle name="Percent 2 3 4 7" xfId="5122" xr:uid="{00000000-0005-0000-0000-0000FB130000}"/>
    <cellStyle name="Percent 2 3 4 7 2" xfId="5123" xr:uid="{00000000-0005-0000-0000-0000FC130000}"/>
    <cellStyle name="Percent 2 3 4 7 2 2" xfId="10443" xr:uid="{5CF4AA53-F4E3-4028-81DE-8AC14AB5E58E}"/>
    <cellStyle name="Percent 2 3 4 7 3" xfId="10442" xr:uid="{1EAC3D94-D992-4ADA-B1C6-6B5CF16E5B5B}"/>
    <cellStyle name="Percent 2 3 4 8" xfId="5124" xr:uid="{00000000-0005-0000-0000-0000FD130000}"/>
    <cellStyle name="Percent 2 3 4 8 2" xfId="10444" xr:uid="{5E3C89A7-9043-4719-BC57-4C10661DA76E}"/>
    <cellStyle name="Percent 2 3 4 9" xfId="5125" xr:uid="{00000000-0005-0000-0000-0000FE130000}"/>
    <cellStyle name="Percent 2 3 4 9 2" xfId="10445" xr:uid="{2D11425E-3760-4916-8E6B-8199263D858F}"/>
    <cellStyle name="Percent 2 3 5" xfId="5126" xr:uid="{00000000-0005-0000-0000-0000FF130000}"/>
    <cellStyle name="Percent 2 3 5 2" xfId="5127" xr:uid="{00000000-0005-0000-0000-000000140000}"/>
    <cellStyle name="Percent 2 3 5 2 2" xfId="5128" xr:uid="{00000000-0005-0000-0000-000001140000}"/>
    <cellStyle name="Percent 2 3 5 2 2 2" xfId="5129" xr:uid="{00000000-0005-0000-0000-000002140000}"/>
    <cellStyle name="Percent 2 3 5 2 2 2 2" xfId="10449" xr:uid="{7ABFA339-655D-4893-BDFB-E54C5256631E}"/>
    <cellStyle name="Percent 2 3 5 2 2 3" xfId="5130" xr:uid="{00000000-0005-0000-0000-000003140000}"/>
    <cellStyle name="Percent 2 3 5 2 2 3 2" xfId="10450" xr:uid="{31C29AC6-AC14-4CF3-8E47-C2921D1C701C}"/>
    <cellStyle name="Percent 2 3 5 2 2 4" xfId="10448" xr:uid="{3FA16C13-4BBD-44AC-B597-D6581E0D2BD5}"/>
    <cellStyle name="Percent 2 3 5 2 3" xfId="5131" xr:uid="{00000000-0005-0000-0000-000004140000}"/>
    <cellStyle name="Percent 2 3 5 2 3 2" xfId="10451" xr:uid="{66F150EB-EB9A-4E56-8DF0-70A048724D65}"/>
    <cellStyle name="Percent 2 3 5 2 4" xfId="5132" xr:uid="{00000000-0005-0000-0000-000005140000}"/>
    <cellStyle name="Percent 2 3 5 2 4 2" xfId="10452" xr:uid="{256DF0DC-1ED1-4DD7-BC16-1E2CF7C45D53}"/>
    <cellStyle name="Percent 2 3 5 2 5" xfId="10447" xr:uid="{D943C5DA-9ACF-4EA8-9691-BB3345F8AB70}"/>
    <cellStyle name="Percent 2 3 5 3" xfId="5133" xr:uid="{00000000-0005-0000-0000-000006140000}"/>
    <cellStyle name="Percent 2 3 5 3 2" xfId="5134" xr:uid="{00000000-0005-0000-0000-000007140000}"/>
    <cellStyle name="Percent 2 3 5 3 2 2" xfId="5135" xr:uid="{00000000-0005-0000-0000-000008140000}"/>
    <cellStyle name="Percent 2 3 5 3 2 2 2" xfId="10455" xr:uid="{9F4F4447-16F8-4444-8774-AB16E0F18428}"/>
    <cellStyle name="Percent 2 3 5 3 2 3" xfId="10454" xr:uid="{C02BD2B5-FE18-4135-920A-746292F2AA3B}"/>
    <cellStyle name="Percent 2 3 5 3 3" xfId="5136" xr:uid="{00000000-0005-0000-0000-000009140000}"/>
    <cellStyle name="Percent 2 3 5 3 3 2" xfId="10456" xr:uid="{3DC08B17-74DC-4242-B0C3-94C6DDB9A50A}"/>
    <cellStyle name="Percent 2 3 5 3 4" xfId="5137" xr:uid="{00000000-0005-0000-0000-00000A140000}"/>
    <cellStyle name="Percent 2 3 5 3 4 2" xfId="10457" xr:uid="{31791282-5FAB-487C-B6DC-1AA28E5EC71E}"/>
    <cellStyle name="Percent 2 3 5 3 5" xfId="10453" xr:uid="{9B2160B8-EB6D-48A4-9ACE-A6654C3B5255}"/>
    <cellStyle name="Percent 2 3 5 4" xfId="5138" xr:uid="{00000000-0005-0000-0000-00000B140000}"/>
    <cellStyle name="Percent 2 3 5 4 2" xfId="5139" xr:uid="{00000000-0005-0000-0000-00000C140000}"/>
    <cellStyle name="Percent 2 3 5 4 2 2" xfId="10459" xr:uid="{EFB2B055-4A42-44F4-AB8D-31C38335D93C}"/>
    <cellStyle name="Percent 2 3 5 4 3" xfId="10458" xr:uid="{7C344717-CD42-4D43-9319-EB58FD771C89}"/>
    <cellStyle name="Percent 2 3 5 5" xfId="5140" xr:uid="{00000000-0005-0000-0000-00000D140000}"/>
    <cellStyle name="Percent 2 3 5 5 2" xfId="10460" xr:uid="{CC0F0441-5C0A-4E94-A4C1-2F088709E302}"/>
    <cellStyle name="Percent 2 3 5 6" xfId="5141" xr:uid="{00000000-0005-0000-0000-00000E140000}"/>
    <cellStyle name="Percent 2 3 5 6 2" xfId="10461" xr:uid="{BFAC9742-083A-4ED7-9115-E165B75DB417}"/>
    <cellStyle name="Percent 2 3 5 7" xfId="10446" xr:uid="{6A64B2C5-661C-4396-90C8-C86FF27FCDA9}"/>
    <cellStyle name="Percent 2 3 6" xfId="5142" xr:uid="{00000000-0005-0000-0000-00000F140000}"/>
    <cellStyle name="Percent 2 3 6 2" xfId="5143" xr:uid="{00000000-0005-0000-0000-000010140000}"/>
    <cellStyle name="Percent 2 3 6 2 2" xfId="5144" xr:uid="{00000000-0005-0000-0000-000011140000}"/>
    <cellStyle name="Percent 2 3 6 2 2 2" xfId="10464" xr:uid="{37667E77-83EA-4FB8-8108-B974D0B7DC79}"/>
    <cellStyle name="Percent 2 3 6 2 3" xfId="5145" xr:uid="{00000000-0005-0000-0000-000012140000}"/>
    <cellStyle name="Percent 2 3 6 2 3 2" xfId="10465" xr:uid="{58AAA682-D6D3-4CCE-8117-197132DE80F0}"/>
    <cellStyle name="Percent 2 3 6 2 4" xfId="10463" xr:uid="{0A836B8C-952E-4619-8143-F838D84D4FAA}"/>
    <cellStyle name="Percent 2 3 6 3" xfId="5146" xr:uid="{00000000-0005-0000-0000-000013140000}"/>
    <cellStyle name="Percent 2 3 6 3 2" xfId="5147" xr:uid="{00000000-0005-0000-0000-000014140000}"/>
    <cellStyle name="Percent 2 3 6 3 2 2" xfId="10467" xr:uid="{93BBC37E-6019-4540-8C1D-DDB12CDB09B3}"/>
    <cellStyle name="Percent 2 3 6 3 3" xfId="10466" xr:uid="{B2C3B50F-59C4-4AF6-AABF-199A118642DF}"/>
    <cellStyle name="Percent 2 3 6 4" xfId="5148" xr:uid="{00000000-0005-0000-0000-000015140000}"/>
    <cellStyle name="Percent 2 3 6 4 2" xfId="10468" xr:uid="{8D30DD89-E8AD-4E05-B1F3-DEA67CD5B6F9}"/>
    <cellStyle name="Percent 2 3 6 5" xfId="10462" xr:uid="{0CCD8CCF-1440-4FE5-8112-5EC5FCB886E6}"/>
    <cellStyle name="Percent 2 3 7" xfId="5149" xr:uid="{00000000-0005-0000-0000-000016140000}"/>
    <cellStyle name="Percent 2 3 7 2" xfId="5150" xr:uid="{00000000-0005-0000-0000-000017140000}"/>
    <cellStyle name="Percent 2 3 7 2 2" xfId="5151" xr:uid="{00000000-0005-0000-0000-000018140000}"/>
    <cellStyle name="Percent 2 3 7 2 2 2" xfId="10471" xr:uid="{8E946C62-4D0F-47CB-8360-0AC1BBDF86A8}"/>
    <cellStyle name="Percent 2 3 7 2 3" xfId="10470" xr:uid="{56698644-B303-4B83-ACBC-0637B23C3839}"/>
    <cellStyle name="Percent 2 3 7 3" xfId="5152" xr:uid="{00000000-0005-0000-0000-000019140000}"/>
    <cellStyle name="Percent 2 3 7 3 2" xfId="10472" xr:uid="{AE95754F-8168-4E4B-8EE5-A28757B21EF5}"/>
    <cellStyle name="Percent 2 3 7 4" xfId="5153" xr:uid="{00000000-0005-0000-0000-00001A140000}"/>
    <cellStyle name="Percent 2 3 7 4 2" xfId="10473" xr:uid="{4D4C067D-9532-46AB-AD34-F98025540457}"/>
    <cellStyle name="Percent 2 3 7 5" xfId="10469" xr:uid="{66FAAEA4-29DC-4F0A-8806-D5D1CDE32169}"/>
    <cellStyle name="Percent 2 3 8" xfId="5154" xr:uid="{00000000-0005-0000-0000-00001B140000}"/>
    <cellStyle name="Percent 2 3 8 2" xfId="5155" xr:uid="{00000000-0005-0000-0000-00001C140000}"/>
    <cellStyle name="Percent 2 3 8 2 2" xfId="10475" xr:uid="{A0DCA467-1FA6-475D-A9AA-94A99A6E7907}"/>
    <cellStyle name="Percent 2 3 8 3" xfId="5156" xr:uid="{00000000-0005-0000-0000-00001D140000}"/>
    <cellStyle name="Percent 2 3 8 3 2" xfId="10476" xr:uid="{83BD81D2-34AF-4E7D-AD5A-DE09B83ED5EF}"/>
    <cellStyle name="Percent 2 3 8 4" xfId="10474" xr:uid="{531431B9-1EC9-4808-A4C1-063E5AB152C0}"/>
    <cellStyle name="Percent 2 3 9" xfId="5157" xr:uid="{00000000-0005-0000-0000-00001E140000}"/>
    <cellStyle name="Percent 2 3 9 2" xfId="5158" xr:uid="{00000000-0005-0000-0000-00001F140000}"/>
    <cellStyle name="Percent 2 3 9 2 2" xfId="10478" xr:uid="{242F23BD-289A-4268-A291-6080DBBBFB6B}"/>
    <cellStyle name="Percent 2 3 9 3" xfId="10477" xr:uid="{7BA08895-D165-46A3-8EEA-97CBBDD647E8}"/>
    <cellStyle name="Percent 2 4" xfId="223" xr:uid="{00000000-0005-0000-0000-000020140000}"/>
    <cellStyle name="Percent 2 4 10" xfId="5159" xr:uid="{00000000-0005-0000-0000-000021140000}"/>
    <cellStyle name="Percent 2 4 10 2" xfId="10479" xr:uid="{E41497E8-83E6-4A33-86AE-1FECD8920128}"/>
    <cellStyle name="Percent 2 4 11" xfId="5557" xr:uid="{535459A3-536D-4790-9E4F-FEE1BC497E8E}"/>
    <cellStyle name="Percent 2 4 2" xfId="224" xr:uid="{00000000-0005-0000-0000-000022140000}"/>
    <cellStyle name="Percent 2 4 2 10" xfId="5558" xr:uid="{96A9787A-1DC2-49AD-BA9E-958E53216FBF}"/>
    <cellStyle name="Percent 2 4 2 2" xfId="225" xr:uid="{00000000-0005-0000-0000-000023140000}"/>
    <cellStyle name="Percent 2 4 2 2 2" xfId="5160" xr:uid="{00000000-0005-0000-0000-000024140000}"/>
    <cellStyle name="Percent 2 4 2 2 2 2" xfId="5161" xr:uid="{00000000-0005-0000-0000-000025140000}"/>
    <cellStyle name="Percent 2 4 2 2 2 2 2" xfId="5162" xr:uid="{00000000-0005-0000-0000-000026140000}"/>
    <cellStyle name="Percent 2 4 2 2 2 2 2 2" xfId="10482" xr:uid="{A95D77CF-6F33-46CB-BC81-5617EC458B4D}"/>
    <cellStyle name="Percent 2 4 2 2 2 2 3" xfId="5163" xr:uid="{00000000-0005-0000-0000-000027140000}"/>
    <cellStyle name="Percent 2 4 2 2 2 2 3 2" xfId="10483" xr:uid="{85E10441-0A34-4EFE-957D-AB878AB4BBB9}"/>
    <cellStyle name="Percent 2 4 2 2 2 2 4" xfId="10481" xr:uid="{591E92C5-8563-4DAC-9F09-1BC05FA77C7E}"/>
    <cellStyle name="Percent 2 4 2 2 2 3" xfId="5164" xr:uid="{00000000-0005-0000-0000-000028140000}"/>
    <cellStyle name="Percent 2 4 2 2 2 3 2" xfId="10484" xr:uid="{A88536F1-EB31-424E-ADB2-256912F092AD}"/>
    <cellStyle name="Percent 2 4 2 2 2 4" xfId="5165" xr:uid="{00000000-0005-0000-0000-000029140000}"/>
    <cellStyle name="Percent 2 4 2 2 2 4 2" xfId="10485" xr:uid="{03D1929B-8565-4D91-A97F-DA8262D7AD05}"/>
    <cellStyle name="Percent 2 4 2 2 2 5" xfId="10480" xr:uid="{831E8BA8-5AEF-46F3-BFF4-D6232904B568}"/>
    <cellStyle name="Percent 2 4 2 2 3" xfId="5166" xr:uid="{00000000-0005-0000-0000-00002A140000}"/>
    <cellStyle name="Percent 2 4 2 2 3 2" xfId="5167" xr:uid="{00000000-0005-0000-0000-00002B140000}"/>
    <cellStyle name="Percent 2 4 2 2 3 2 2" xfId="5168" xr:uid="{00000000-0005-0000-0000-00002C140000}"/>
    <cellStyle name="Percent 2 4 2 2 3 2 2 2" xfId="10488" xr:uid="{7CA6C3F4-4351-4277-AA3F-F2B1B57BEA11}"/>
    <cellStyle name="Percent 2 4 2 2 3 2 3" xfId="10487" xr:uid="{820F2A6D-6A10-4CF3-9AFC-FBC09FFE820C}"/>
    <cellStyle name="Percent 2 4 2 2 3 3" xfId="5169" xr:uid="{00000000-0005-0000-0000-00002D140000}"/>
    <cellStyle name="Percent 2 4 2 2 3 3 2" xfId="10489" xr:uid="{8EEDF69F-A0F2-4E6E-A61F-D7F611183AD6}"/>
    <cellStyle name="Percent 2 4 2 2 3 4" xfId="5170" xr:uid="{00000000-0005-0000-0000-00002E140000}"/>
    <cellStyle name="Percent 2 4 2 2 3 4 2" xfId="10490" xr:uid="{75DD2664-9637-47AD-8790-DA0BE64F1C90}"/>
    <cellStyle name="Percent 2 4 2 2 3 5" xfId="10486" xr:uid="{9ADE051C-6E06-42FE-903D-4A369143A221}"/>
    <cellStyle name="Percent 2 4 2 2 4" xfId="5171" xr:uid="{00000000-0005-0000-0000-00002F140000}"/>
    <cellStyle name="Percent 2 4 2 2 4 2" xfId="5172" xr:uid="{00000000-0005-0000-0000-000030140000}"/>
    <cellStyle name="Percent 2 4 2 2 4 2 2" xfId="10492" xr:uid="{545EBC1A-3AF1-452B-ACEC-B275F3079D0D}"/>
    <cellStyle name="Percent 2 4 2 2 4 3" xfId="10491" xr:uid="{C6141335-98E0-4AD8-A76D-3269617AF66F}"/>
    <cellStyle name="Percent 2 4 2 2 5" xfId="5173" xr:uid="{00000000-0005-0000-0000-000031140000}"/>
    <cellStyle name="Percent 2 4 2 2 5 2" xfId="5174" xr:uid="{00000000-0005-0000-0000-000032140000}"/>
    <cellStyle name="Percent 2 4 2 2 5 2 2" xfId="10494" xr:uid="{D53E724D-4269-4D8F-8714-EA8173850281}"/>
    <cellStyle name="Percent 2 4 2 2 5 3" xfId="10493" xr:uid="{42E2B80F-D0F8-4543-B761-74DD62FAE037}"/>
    <cellStyle name="Percent 2 4 2 2 6" xfId="5175" xr:uid="{00000000-0005-0000-0000-000033140000}"/>
    <cellStyle name="Percent 2 4 2 2 6 2" xfId="5176" xr:uid="{00000000-0005-0000-0000-000034140000}"/>
    <cellStyle name="Percent 2 4 2 2 6 2 2" xfId="10496" xr:uid="{A32A8446-342E-4337-81C0-740F2F7EDA6F}"/>
    <cellStyle name="Percent 2 4 2 2 6 3" xfId="10495" xr:uid="{5736474B-A799-4E0D-9647-4159453B0B06}"/>
    <cellStyle name="Percent 2 4 2 2 7" xfId="5177" xr:uid="{00000000-0005-0000-0000-000035140000}"/>
    <cellStyle name="Percent 2 4 2 2 7 2" xfId="10497" xr:uid="{CD2D72B4-342D-47D4-AFEB-6ECC59F70000}"/>
    <cellStyle name="Percent 2 4 2 2 8" xfId="5178" xr:uid="{00000000-0005-0000-0000-000036140000}"/>
    <cellStyle name="Percent 2 4 2 2 8 2" xfId="10498" xr:uid="{65B7C49C-079F-4B14-9F21-064EBD926894}"/>
    <cellStyle name="Percent 2 4 2 2 9" xfId="5559" xr:uid="{5998466B-8101-4C8B-B7E5-CA1C2697460C}"/>
    <cellStyle name="Percent 2 4 2 3" xfId="5179" xr:uid="{00000000-0005-0000-0000-000037140000}"/>
    <cellStyle name="Percent 2 4 2 3 2" xfId="5180" xr:uid="{00000000-0005-0000-0000-000038140000}"/>
    <cellStyle name="Percent 2 4 2 3 2 2" xfId="5181" xr:uid="{00000000-0005-0000-0000-000039140000}"/>
    <cellStyle name="Percent 2 4 2 3 2 2 2" xfId="10501" xr:uid="{7F7C8783-5967-4954-868F-DAA7FD488E93}"/>
    <cellStyle name="Percent 2 4 2 3 2 3" xfId="5182" xr:uid="{00000000-0005-0000-0000-00003A140000}"/>
    <cellStyle name="Percent 2 4 2 3 2 3 2" xfId="10502" xr:uid="{5577B404-487F-4A78-8202-1FBC303578E2}"/>
    <cellStyle name="Percent 2 4 2 3 2 4" xfId="10500" xr:uid="{69A9CB67-10C0-40C3-ADCE-A0228CAEAEE4}"/>
    <cellStyle name="Percent 2 4 2 3 3" xfId="5183" xr:uid="{00000000-0005-0000-0000-00003B140000}"/>
    <cellStyle name="Percent 2 4 2 3 3 2" xfId="10503" xr:uid="{FF383C9E-8B84-4123-B84C-CF81567CECCC}"/>
    <cellStyle name="Percent 2 4 2 3 4" xfId="5184" xr:uid="{00000000-0005-0000-0000-00003C140000}"/>
    <cellStyle name="Percent 2 4 2 3 4 2" xfId="10504" xr:uid="{B9D13A3F-779C-4BBC-A5EB-1957EA1BEB95}"/>
    <cellStyle name="Percent 2 4 2 3 5" xfId="10499" xr:uid="{C5B0A881-48A3-42B1-8C8A-57C52072BB1B}"/>
    <cellStyle name="Percent 2 4 2 4" xfId="5185" xr:uid="{00000000-0005-0000-0000-00003D140000}"/>
    <cellStyle name="Percent 2 4 2 4 2" xfId="5186" xr:uid="{00000000-0005-0000-0000-00003E140000}"/>
    <cellStyle name="Percent 2 4 2 4 2 2" xfId="5187" xr:uid="{00000000-0005-0000-0000-00003F140000}"/>
    <cellStyle name="Percent 2 4 2 4 2 2 2" xfId="10507" xr:uid="{9AE1EC31-571F-499D-A7B2-B41754A1C235}"/>
    <cellStyle name="Percent 2 4 2 4 2 3" xfId="10506" xr:uid="{1CB97AE3-697B-4196-B1CE-B4553F90A28D}"/>
    <cellStyle name="Percent 2 4 2 4 3" xfId="5188" xr:uid="{00000000-0005-0000-0000-000040140000}"/>
    <cellStyle name="Percent 2 4 2 4 3 2" xfId="10508" xr:uid="{FBC3944D-80C5-41A7-959D-21291D00F45D}"/>
    <cellStyle name="Percent 2 4 2 4 4" xfId="5189" xr:uid="{00000000-0005-0000-0000-000041140000}"/>
    <cellStyle name="Percent 2 4 2 4 4 2" xfId="10509" xr:uid="{7713CC0B-ACCA-4E4A-8C1E-5FE12827342E}"/>
    <cellStyle name="Percent 2 4 2 4 5" xfId="10505" xr:uid="{8455F292-7D61-4532-A5A6-BB71530B6829}"/>
    <cellStyle name="Percent 2 4 2 5" xfId="5190" xr:uid="{00000000-0005-0000-0000-000042140000}"/>
    <cellStyle name="Percent 2 4 2 5 2" xfId="5191" xr:uid="{00000000-0005-0000-0000-000043140000}"/>
    <cellStyle name="Percent 2 4 2 5 2 2" xfId="10511" xr:uid="{99834C8C-FC77-4B89-B2A2-9CFAB35DE969}"/>
    <cellStyle name="Percent 2 4 2 5 3" xfId="10510" xr:uid="{2DB09782-713B-4DCC-9F3E-B53391C85260}"/>
    <cellStyle name="Percent 2 4 2 6" xfId="5192" xr:uid="{00000000-0005-0000-0000-000044140000}"/>
    <cellStyle name="Percent 2 4 2 6 2" xfId="5193" xr:uid="{00000000-0005-0000-0000-000045140000}"/>
    <cellStyle name="Percent 2 4 2 6 2 2" xfId="10513" xr:uid="{17198288-8B69-4451-91D9-D4C36D672C91}"/>
    <cellStyle name="Percent 2 4 2 6 3" xfId="10512" xr:uid="{67DD8491-C337-4887-90B7-DF7CDA3C7CA6}"/>
    <cellStyle name="Percent 2 4 2 7" xfId="5194" xr:uid="{00000000-0005-0000-0000-000046140000}"/>
    <cellStyle name="Percent 2 4 2 7 2" xfId="5195" xr:uid="{00000000-0005-0000-0000-000047140000}"/>
    <cellStyle name="Percent 2 4 2 7 2 2" xfId="10515" xr:uid="{788DF095-D7E0-4FEF-A60D-825FA9E143B8}"/>
    <cellStyle name="Percent 2 4 2 7 3" xfId="10514" xr:uid="{E697A05D-37A0-421A-A70B-31EC2E7D816C}"/>
    <cellStyle name="Percent 2 4 2 8" xfId="5196" xr:uid="{00000000-0005-0000-0000-000048140000}"/>
    <cellStyle name="Percent 2 4 2 8 2" xfId="10516" xr:uid="{0D9C6AFF-EBD8-4BC0-8CF7-3B2C5E850AC8}"/>
    <cellStyle name="Percent 2 4 2 9" xfId="5197" xr:uid="{00000000-0005-0000-0000-000049140000}"/>
    <cellStyle name="Percent 2 4 2 9 2" xfId="10517" xr:uid="{B3CD0B21-65A3-4F1E-9ABC-F8255AD66F51}"/>
    <cellStyle name="Percent 2 4 3" xfId="226" xr:uid="{00000000-0005-0000-0000-00004A140000}"/>
    <cellStyle name="Percent 2 4 3 2" xfId="5198" xr:uid="{00000000-0005-0000-0000-00004B140000}"/>
    <cellStyle name="Percent 2 4 3 2 2" xfId="5199" xr:uid="{00000000-0005-0000-0000-00004C140000}"/>
    <cellStyle name="Percent 2 4 3 2 2 2" xfId="5200" xr:uid="{00000000-0005-0000-0000-00004D140000}"/>
    <cellStyle name="Percent 2 4 3 2 2 2 2" xfId="10520" xr:uid="{3F422940-3175-46B7-BF43-3E6312C72481}"/>
    <cellStyle name="Percent 2 4 3 2 2 3" xfId="5201" xr:uid="{00000000-0005-0000-0000-00004E140000}"/>
    <cellStyle name="Percent 2 4 3 2 2 3 2" xfId="10521" xr:uid="{374AF7F8-C4E6-4561-9FDC-CFE45A7F04D8}"/>
    <cellStyle name="Percent 2 4 3 2 2 4" xfId="10519" xr:uid="{55CA954A-43C0-47AF-9B43-FD2A1F30AC10}"/>
    <cellStyle name="Percent 2 4 3 2 3" xfId="5202" xr:uid="{00000000-0005-0000-0000-00004F140000}"/>
    <cellStyle name="Percent 2 4 3 2 3 2" xfId="10522" xr:uid="{EB131B30-0BBC-4365-A09E-168285D4B128}"/>
    <cellStyle name="Percent 2 4 3 2 4" xfId="5203" xr:uid="{00000000-0005-0000-0000-000050140000}"/>
    <cellStyle name="Percent 2 4 3 2 4 2" xfId="10523" xr:uid="{051426B1-E987-465C-AD70-90D916832F39}"/>
    <cellStyle name="Percent 2 4 3 2 5" xfId="10518" xr:uid="{3A739E7C-F7D3-405E-AE6F-A86FCCE33EE0}"/>
    <cellStyle name="Percent 2 4 3 3" xfId="5204" xr:uid="{00000000-0005-0000-0000-000051140000}"/>
    <cellStyle name="Percent 2 4 3 3 2" xfId="5205" xr:uid="{00000000-0005-0000-0000-000052140000}"/>
    <cellStyle name="Percent 2 4 3 3 2 2" xfId="5206" xr:uid="{00000000-0005-0000-0000-000053140000}"/>
    <cellStyle name="Percent 2 4 3 3 2 2 2" xfId="10526" xr:uid="{6D4E7A89-70E0-45F8-94D2-1B2A3833D1D7}"/>
    <cellStyle name="Percent 2 4 3 3 2 3" xfId="10525" xr:uid="{FA5B0BE5-03B0-47C6-8C5E-9E710CA2573A}"/>
    <cellStyle name="Percent 2 4 3 3 3" xfId="5207" xr:uid="{00000000-0005-0000-0000-000054140000}"/>
    <cellStyle name="Percent 2 4 3 3 3 2" xfId="10527" xr:uid="{56DE723A-A353-4DF9-A639-84DD90348281}"/>
    <cellStyle name="Percent 2 4 3 3 4" xfId="5208" xr:uid="{00000000-0005-0000-0000-000055140000}"/>
    <cellStyle name="Percent 2 4 3 3 4 2" xfId="10528" xr:uid="{4EC2A5D2-F86C-4C4D-BFEC-6060EF480EF0}"/>
    <cellStyle name="Percent 2 4 3 3 5" xfId="10524" xr:uid="{5BFFA250-0FB6-4679-BBEF-E7E060B22C28}"/>
    <cellStyle name="Percent 2 4 3 4" xfId="5209" xr:uid="{00000000-0005-0000-0000-000056140000}"/>
    <cellStyle name="Percent 2 4 3 4 2" xfId="5210" xr:uid="{00000000-0005-0000-0000-000057140000}"/>
    <cellStyle name="Percent 2 4 3 4 2 2" xfId="10530" xr:uid="{080300C5-1857-40A3-9C41-327A295D5CA2}"/>
    <cellStyle name="Percent 2 4 3 4 3" xfId="10529" xr:uid="{0B1630C4-AE72-4389-BAF3-82E0D0DEA0C6}"/>
    <cellStyle name="Percent 2 4 3 5" xfId="5211" xr:uid="{00000000-0005-0000-0000-000058140000}"/>
    <cellStyle name="Percent 2 4 3 5 2" xfId="5212" xr:uid="{00000000-0005-0000-0000-000059140000}"/>
    <cellStyle name="Percent 2 4 3 5 2 2" xfId="10532" xr:uid="{B0805119-E8C1-4BC1-9EBB-379A3723ABAA}"/>
    <cellStyle name="Percent 2 4 3 5 3" xfId="10531" xr:uid="{A51EB988-A43C-4AE4-B43F-69EEBC78830F}"/>
    <cellStyle name="Percent 2 4 3 6" xfId="5213" xr:uid="{00000000-0005-0000-0000-00005A140000}"/>
    <cellStyle name="Percent 2 4 3 6 2" xfId="5214" xr:uid="{00000000-0005-0000-0000-00005B140000}"/>
    <cellStyle name="Percent 2 4 3 6 2 2" xfId="10534" xr:uid="{A2BBFED0-F247-4D5F-BE8B-D1785413E1BE}"/>
    <cellStyle name="Percent 2 4 3 6 3" xfId="10533" xr:uid="{B85B5642-2085-463F-9317-15CEAF98191B}"/>
    <cellStyle name="Percent 2 4 3 7" xfId="5215" xr:uid="{00000000-0005-0000-0000-00005C140000}"/>
    <cellStyle name="Percent 2 4 3 7 2" xfId="10535" xr:uid="{E9292D58-DC21-46F8-80DE-52C3817FDFE9}"/>
    <cellStyle name="Percent 2 4 3 8" xfId="5216" xr:uid="{00000000-0005-0000-0000-00005D140000}"/>
    <cellStyle name="Percent 2 4 3 8 2" xfId="10536" xr:uid="{47943A22-B0FE-45F5-808D-DD6E84A2D57B}"/>
    <cellStyle name="Percent 2 4 3 9" xfId="5560" xr:uid="{8D09CD6C-2667-47EE-A154-6F768B29430F}"/>
    <cellStyle name="Percent 2 4 4" xfId="5217" xr:uid="{00000000-0005-0000-0000-00005E140000}"/>
    <cellStyle name="Percent 2 4 4 2" xfId="5218" xr:uid="{00000000-0005-0000-0000-00005F140000}"/>
    <cellStyle name="Percent 2 4 4 2 2" xfId="5219" xr:uid="{00000000-0005-0000-0000-000060140000}"/>
    <cellStyle name="Percent 2 4 4 2 2 2" xfId="10539" xr:uid="{39231EFD-370E-47A6-A46C-EC8BF6004B63}"/>
    <cellStyle name="Percent 2 4 4 2 3" xfId="5220" xr:uid="{00000000-0005-0000-0000-000061140000}"/>
    <cellStyle name="Percent 2 4 4 2 3 2" xfId="10540" xr:uid="{7DCE46E4-AF1E-4632-88F4-D1928EAFDFA1}"/>
    <cellStyle name="Percent 2 4 4 2 4" xfId="10538" xr:uid="{ECD7EEA7-8CEE-45D7-9803-1C5A3871C7B7}"/>
    <cellStyle name="Percent 2 4 4 3" xfId="5221" xr:uid="{00000000-0005-0000-0000-000062140000}"/>
    <cellStyle name="Percent 2 4 4 3 2" xfId="5222" xr:uid="{00000000-0005-0000-0000-000063140000}"/>
    <cellStyle name="Percent 2 4 4 3 2 2" xfId="10542" xr:uid="{7199441C-DA3F-4342-874A-223AF57A9032}"/>
    <cellStyle name="Percent 2 4 4 3 3" xfId="10541" xr:uid="{D527C2F3-AC7E-465C-AA4B-30E2A9B987D1}"/>
    <cellStyle name="Percent 2 4 4 4" xfId="5223" xr:uid="{00000000-0005-0000-0000-000064140000}"/>
    <cellStyle name="Percent 2 4 4 4 2" xfId="10543" xr:uid="{787C35BC-F33F-44FA-98AA-F36EFB380E38}"/>
    <cellStyle name="Percent 2 4 4 5" xfId="10537" xr:uid="{5AF4A4F3-1559-41CB-8C89-2CD63B8757EC}"/>
    <cellStyle name="Percent 2 4 5" xfId="5224" xr:uid="{00000000-0005-0000-0000-000065140000}"/>
    <cellStyle name="Percent 2 4 5 2" xfId="5225" xr:uid="{00000000-0005-0000-0000-000066140000}"/>
    <cellStyle name="Percent 2 4 5 2 2" xfId="5226" xr:uid="{00000000-0005-0000-0000-000067140000}"/>
    <cellStyle name="Percent 2 4 5 2 2 2" xfId="10546" xr:uid="{AE941149-E83C-40BC-8ED2-487A5F327D30}"/>
    <cellStyle name="Percent 2 4 5 2 3" xfId="10545" xr:uid="{77FAA10D-B02C-42A2-92F2-324B78ED19E9}"/>
    <cellStyle name="Percent 2 4 5 3" xfId="5227" xr:uid="{00000000-0005-0000-0000-000068140000}"/>
    <cellStyle name="Percent 2 4 5 3 2" xfId="10547" xr:uid="{C313821D-9980-49B2-9215-D66EF5578081}"/>
    <cellStyle name="Percent 2 4 5 4" xfId="5228" xr:uid="{00000000-0005-0000-0000-000069140000}"/>
    <cellStyle name="Percent 2 4 5 4 2" xfId="10548" xr:uid="{0744933D-E7D2-48E9-A8F7-8E71B9C969C9}"/>
    <cellStyle name="Percent 2 4 5 5" xfId="10544" xr:uid="{CCF33C92-FAC1-4C70-8A92-8BA6AE6A6DA2}"/>
    <cellStyle name="Percent 2 4 6" xfId="5229" xr:uid="{00000000-0005-0000-0000-00006A140000}"/>
    <cellStyle name="Percent 2 4 6 2" xfId="5230" xr:uid="{00000000-0005-0000-0000-00006B140000}"/>
    <cellStyle name="Percent 2 4 6 2 2" xfId="10550" xr:uid="{D9C59551-C39C-410E-9840-0059B2A64E88}"/>
    <cellStyle name="Percent 2 4 6 3" xfId="5231" xr:uid="{00000000-0005-0000-0000-00006C140000}"/>
    <cellStyle name="Percent 2 4 6 3 2" xfId="10551" xr:uid="{A74F5634-9F52-4BCD-8E2B-6282C3BF99C7}"/>
    <cellStyle name="Percent 2 4 6 4" xfId="10549" xr:uid="{E8142D27-8DAA-40F7-A28C-B8672E4A9B87}"/>
    <cellStyle name="Percent 2 4 7" xfId="5232" xr:uid="{00000000-0005-0000-0000-00006D140000}"/>
    <cellStyle name="Percent 2 4 7 2" xfId="5233" xr:uid="{00000000-0005-0000-0000-00006E140000}"/>
    <cellStyle name="Percent 2 4 7 2 2" xfId="10553" xr:uid="{85DB4685-FB06-4FD6-8F5F-1E262E22F8D9}"/>
    <cellStyle name="Percent 2 4 7 3" xfId="10552" xr:uid="{933C4014-0F12-4E72-981E-9D354AA01CFB}"/>
    <cellStyle name="Percent 2 4 8" xfId="5234" xr:uid="{00000000-0005-0000-0000-00006F140000}"/>
    <cellStyle name="Percent 2 4 8 2" xfId="5235" xr:uid="{00000000-0005-0000-0000-000070140000}"/>
    <cellStyle name="Percent 2 4 8 2 2" xfId="10555" xr:uid="{E5EC4BD9-BB27-4432-8A83-B4DB25DD81AC}"/>
    <cellStyle name="Percent 2 4 8 3" xfId="10554" xr:uid="{59227529-C335-4ABF-94C2-F5FD88854F99}"/>
    <cellStyle name="Percent 2 4 9" xfId="5236" xr:uid="{00000000-0005-0000-0000-000071140000}"/>
    <cellStyle name="Percent 2 4 9 2" xfId="10556" xr:uid="{ECB7AB5E-68C7-4F1E-B3F6-2A1F22009DDA}"/>
    <cellStyle name="Percent 2 5" xfId="227" xr:uid="{00000000-0005-0000-0000-000072140000}"/>
    <cellStyle name="Percent 2 5 10" xfId="5561" xr:uid="{22230E6A-DD94-4FCC-812A-1FF42D197C7A}"/>
    <cellStyle name="Percent 2 5 2" xfId="228" xr:uid="{00000000-0005-0000-0000-000073140000}"/>
    <cellStyle name="Percent 2 5 2 2" xfId="5237" xr:uid="{00000000-0005-0000-0000-000074140000}"/>
    <cellStyle name="Percent 2 5 2 2 2" xfId="5238" xr:uid="{00000000-0005-0000-0000-000075140000}"/>
    <cellStyle name="Percent 2 5 2 2 2 2" xfId="5239" xr:uid="{00000000-0005-0000-0000-000076140000}"/>
    <cellStyle name="Percent 2 5 2 2 2 2 2" xfId="10559" xr:uid="{C893447B-AAB1-4180-B4C8-DC5F6AAF822C}"/>
    <cellStyle name="Percent 2 5 2 2 2 3" xfId="5240" xr:uid="{00000000-0005-0000-0000-000077140000}"/>
    <cellStyle name="Percent 2 5 2 2 2 3 2" xfId="10560" xr:uid="{01686D84-ED93-4A55-A027-D421B99E0D4D}"/>
    <cellStyle name="Percent 2 5 2 2 2 4" xfId="10558" xr:uid="{E99F828C-6FED-478F-9CDE-7CBBA6ABD0F7}"/>
    <cellStyle name="Percent 2 5 2 2 3" xfId="5241" xr:uid="{00000000-0005-0000-0000-000078140000}"/>
    <cellStyle name="Percent 2 5 2 2 3 2" xfId="10561" xr:uid="{837011CB-E4A4-4C72-B509-C6BF86F3E92A}"/>
    <cellStyle name="Percent 2 5 2 2 4" xfId="5242" xr:uid="{00000000-0005-0000-0000-000079140000}"/>
    <cellStyle name="Percent 2 5 2 2 4 2" xfId="10562" xr:uid="{C3CF3502-BF6E-45AD-8928-4745B13FB4A0}"/>
    <cellStyle name="Percent 2 5 2 2 5" xfId="10557" xr:uid="{FFA69585-EE7E-44DD-AACD-DC6474B4519D}"/>
    <cellStyle name="Percent 2 5 2 3" xfId="5243" xr:uid="{00000000-0005-0000-0000-00007A140000}"/>
    <cellStyle name="Percent 2 5 2 3 2" xfId="5244" xr:uid="{00000000-0005-0000-0000-00007B140000}"/>
    <cellStyle name="Percent 2 5 2 3 2 2" xfId="5245" xr:uid="{00000000-0005-0000-0000-00007C140000}"/>
    <cellStyle name="Percent 2 5 2 3 2 2 2" xfId="10565" xr:uid="{BC0254F8-DA62-41A0-86C0-8EBACB272E38}"/>
    <cellStyle name="Percent 2 5 2 3 2 3" xfId="10564" xr:uid="{3AD80AB0-A151-46B1-9A17-319EB6F07787}"/>
    <cellStyle name="Percent 2 5 2 3 3" xfId="5246" xr:uid="{00000000-0005-0000-0000-00007D140000}"/>
    <cellStyle name="Percent 2 5 2 3 3 2" xfId="10566" xr:uid="{9A1ED625-DC7F-4504-BB89-51258822550E}"/>
    <cellStyle name="Percent 2 5 2 3 4" xfId="5247" xr:uid="{00000000-0005-0000-0000-00007E140000}"/>
    <cellStyle name="Percent 2 5 2 3 4 2" xfId="10567" xr:uid="{4A1372C5-6411-4AAD-86BF-A200062398AA}"/>
    <cellStyle name="Percent 2 5 2 3 5" xfId="10563" xr:uid="{278327F6-3513-419B-919C-D633F49E3A49}"/>
    <cellStyle name="Percent 2 5 2 4" xfId="5248" xr:uid="{00000000-0005-0000-0000-00007F140000}"/>
    <cellStyle name="Percent 2 5 2 4 2" xfId="5249" xr:uid="{00000000-0005-0000-0000-000080140000}"/>
    <cellStyle name="Percent 2 5 2 4 2 2" xfId="10569" xr:uid="{1CC2638A-E9B7-4852-94FB-9BAEA4BF823C}"/>
    <cellStyle name="Percent 2 5 2 4 3" xfId="10568" xr:uid="{53A82DB5-4EDE-4906-80D5-85F4E296BADD}"/>
    <cellStyle name="Percent 2 5 2 5" xfId="5250" xr:uid="{00000000-0005-0000-0000-000081140000}"/>
    <cellStyle name="Percent 2 5 2 5 2" xfId="5251" xr:uid="{00000000-0005-0000-0000-000082140000}"/>
    <cellStyle name="Percent 2 5 2 5 2 2" xfId="10571" xr:uid="{7C6BF5BB-A025-4A8E-9975-F26767DE189D}"/>
    <cellStyle name="Percent 2 5 2 5 3" xfId="10570" xr:uid="{6C68CB2C-6943-4B85-8FA3-96A5D4E8F254}"/>
    <cellStyle name="Percent 2 5 2 6" xfId="5252" xr:uid="{00000000-0005-0000-0000-000083140000}"/>
    <cellStyle name="Percent 2 5 2 6 2" xfId="5253" xr:uid="{00000000-0005-0000-0000-000084140000}"/>
    <cellStyle name="Percent 2 5 2 6 2 2" xfId="10573" xr:uid="{43A3B971-3C8D-4F17-820F-E67507CD8B58}"/>
    <cellStyle name="Percent 2 5 2 6 3" xfId="10572" xr:uid="{FD528242-093A-469B-B2EF-830CFAD9A402}"/>
    <cellStyle name="Percent 2 5 2 7" xfId="5254" xr:uid="{00000000-0005-0000-0000-000085140000}"/>
    <cellStyle name="Percent 2 5 2 7 2" xfId="10574" xr:uid="{0500B0B4-98AE-40EC-A97A-CB48C57E3AB0}"/>
    <cellStyle name="Percent 2 5 2 8" xfId="5255" xr:uid="{00000000-0005-0000-0000-000086140000}"/>
    <cellStyle name="Percent 2 5 2 8 2" xfId="10575" xr:uid="{FFCB4F35-DD7A-4EA0-AB12-53F014B04950}"/>
    <cellStyle name="Percent 2 5 2 9" xfId="5562" xr:uid="{3F95530E-E7AF-4018-967F-022299771579}"/>
    <cellStyle name="Percent 2 5 3" xfId="5256" xr:uid="{00000000-0005-0000-0000-000087140000}"/>
    <cellStyle name="Percent 2 5 3 2" xfId="5257" xr:uid="{00000000-0005-0000-0000-000088140000}"/>
    <cellStyle name="Percent 2 5 3 2 2" xfId="5258" xr:uid="{00000000-0005-0000-0000-000089140000}"/>
    <cellStyle name="Percent 2 5 3 2 2 2" xfId="10578" xr:uid="{716F2B3C-1A5D-484B-8155-05B639079881}"/>
    <cellStyle name="Percent 2 5 3 2 3" xfId="5259" xr:uid="{00000000-0005-0000-0000-00008A140000}"/>
    <cellStyle name="Percent 2 5 3 2 3 2" xfId="10579" xr:uid="{4F46EEF2-62A9-401E-A5AB-F1A6D3C9C74B}"/>
    <cellStyle name="Percent 2 5 3 2 4" xfId="10577" xr:uid="{50326382-985D-4A59-A56D-81DE72C92740}"/>
    <cellStyle name="Percent 2 5 3 3" xfId="5260" xr:uid="{00000000-0005-0000-0000-00008B140000}"/>
    <cellStyle name="Percent 2 5 3 3 2" xfId="10580" xr:uid="{BD00D7BF-2448-4E9A-AA18-A0B9E7F0DD15}"/>
    <cellStyle name="Percent 2 5 3 4" xfId="5261" xr:uid="{00000000-0005-0000-0000-00008C140000}"/>
    <cellStyle name="Percent 2 5 3 4 2" xfId="10581" xr:uid="{EBBB8C4C-D642-4E01-B5F3-3F9617944ECE}"/>
    <cellStyle name="Percent 2 5 3 5" xfId="10576" xr:uid="{91BABDF2-98E1-49B3-8A37-8462B6FF1C1B}"/>
    <cellStyle name="Percent 2 5 4" xfId="5262" xr:uid="{00000000-0005-0000-0000-00008D140000}"/>
    <cellStyle name="Percent 2 5 4 2" xfId="5263" xr:uid="{00000000-0005-0000-0000-00008E140000}"/>
    <cellStyle name="Percent 2 5 4 2 2" xfId="5264" xr:uid="{00000000-0005-0000-0000-00008F140000}"/>
    <cellStyle name="Percent 2 5 4 2 2 2" xfId="10584" xr:uid="{06BC9C3D-DF7F-4A83-8ABE-6304A82254C6}"/>
    <cellStyle name="Percent 2 5 4 2 3" xfId="10583" xr:uid="{39DFB87C-E382-4821-965D-54B7E3F32DB8}"/>
    <cellStyle name="Percent 2 5 4 3" xfId="5265" xr:uid="{00000000-0005-0000-0000-000090140000}"/>
    <cellStyle name="Percent 2 5 4 3 2" xfId="10585" xr:uid="{7DE18873-9AAB-42E7-B885-4D5FA2C39A37}"/>
    <cellStyle name="Percent 2 5 4 4" xfId="5266" xr:uid="{00000000-0005-0000-0000-000091140000}"/>
    <cellStyle name="Percent 2 5 4 4 2" xfId="10586" xr:uid="{DCDC4041-B3D2-47C8-968C-A1CB3975613E}"/>
    <cellStyle name="Percent 2 5 4 5" xfId="10582" xr:uid="{A8606196-C27E-4A23-8AFD-5EC13448C570}"/>
    <cellStyle name="Percent 2 5 5" xfId="5267" xr:uid="{00000000-0005-0000-0000-000092140000}"/>
    <cellStyle name="Percent 2 5 5 2" xfId="5268" xr:uid="{00000000-0005-0000-0000-000093140000}"/>
    <cellStyle name="Percent 2 5 5 2 2" xfId="10588" xr:uid="{A06FE7EC-8EFC-4D29-A99C-9290B3730A5E}"/>
    <cellStyle name="Percent 2 5 5 3" xfId="10587" xr:uid="{05511503-B334-48F4-8496-822F13F42A5D}"/>
    <cellStyle name="Percent 2 5 6" xfId="5269" xr:uid="{00000000-0005-0000-0000-000094140000}"/>
    <cellStyle name="Percent 2 5 6 2" xfId="5270" xr:uid="{00000000-0005-0000-0000-000095140000}"/>
    <cellStyle name="Percent 2 5 6 2 2" xfId="10590" xr:uid="{30A493C1-956B-4F42-8862-1375046606D0}"/>
    <cellStyle name="Percent 2 5 6 3" xfId="10589" xr:uid="{4CA996DC-0D22-4E2C-804F-7651344DFC8A}"/>
    <cellStyle name="Percent 2 5 7" xfId="5271" xr:uid="{00000000-0005-0000-0000-000096140000}"/>
    <cellStyle name="Percent 2 5 7 2" xfId="5272" xr:uid="{00000000-0005-0000-0000-000097140000}"/>
    <cellStyle name="Percent 2 5 7 2 2" xfId="10592" xr:uid="{2596F10D-17A9-4988-B787-C55085295F11}"/>
    <cellStyle name="Percent 2 5 7 3" xfId="10591" xr:uid="{08BA4718-B995-4103-A231-B4B29942B836}"/>
    <cellStyle name="Percent 2 5 8" xfId="5273" xr:uid="{00000000-0005-0000-0000-000098140000}"/>
    <cellStyle name="Percent 2 5 8 2" xfId="10593" xr:uid="{9AC25F4A-5AE5-493D-81E2-0E578F2949D6}"/>
    <cellStyle name="Percent 2 5 9" xfId="5274" xr:uid="{00000000-0005-0000-0000-000099140000}"/>
    <cellStyle name="Percent 2 5 9 2" xfId="10594" xr:uid="{33EE0820-6F03-4BD9-A97E-02D61495E9B3}"/>
    <cellStyle name="Percent 2 6" xfId="229" xr:uid="{00000000-0005-0000-0000-00009A140000}"/>
    <cellStyle name="Percent 2 6 10" xfId="5563" xr:uid="{B19A14F1-EDCF-48A1-86A3-C99DFFCB9701}"/>
    <cellStyle name="Percent 2 6 2" xfId="5275" xr:uid="{00000000-0005-0000-0000-00009B140000}"/>
    <cellStyle name="Percent 2 6 2 2" xfId="5276" xr:uid="{00000000-0005-0000-0000-00009C140000}"/>
    <cellStyle name="Percent 2 6 2 2 2" xfId="5277" xr:uid="{00000000-0005-0000-0000-00009D140000}"/>
    <cellStyle name="Percent 2 6 2 2 2 2" xfId="5278" xr:uid="{00000000-0005-0000-0000-00009E140000}"/>
    <cellStyle name="Percent 2 6 2 2 2 2 2" xfId="10598" xr:uid="{7240B4CC-7617-4244-B328-3795EBF69A45}"/>
    <cellStyle name="Percent 2 6 2 2 2 3" xfId="5279" xr:uid="{00000000-0005-0000-0000-00009F140000}"/>
    <cellStyle name="Percent 2 6 2 2 2 3 2" xfId="10599" xr:uid="{61CA46FD-CC87-49E5-9B12-DCFD57D4357A}"/>
    <cellStyle name="Percent 2 6 2 2 2 4" xfId="10597" xr:uid="{AE6FBF6B-23D7-4E1E-ACE3-7EE045BB59B7}"/>
    <cellStyle name="Percent 2 6 2 2 3" xfId="5280" xr:uid="{00000000-0005-0000-0000-0000A0140000}"/>
    <cellStyle name="Percent 2 6 2 2 3 2" xfId="10600" xr:uid="{EAC72CEF-9868-4F9F-BF44-788BBFD6B83F}"/>
    <cellStyle name="Percent 2 6 2 2 4" xfId="5281" xr:uid="{00000000-0005-0000-0000-0000A1140000}"/>
    <cellStyle name="Percent 2 6 2 2 4 2" xfId="10601" xr:uid="{36B6D4BF-CC07-4229-9F14-85C6ED459140}"/>
    <cellStyle name="Percent 2 6 2 2 5" xfId="10596" xr:uid="{99EB624C-9FC1-47AD-A1FD-BDC716D70FD6}"/>
    <cellStyle name="Percent 2 6 2 3" xfId="5282" xr:uid="{00000000-0005-0000-0000-0000A2140000}"/>
    <cellStyle name="Percent 2 6 2 3 2" xfId="5283" xr:uid="{00000000-0005-0000-0000-0000A3140000}"/>
    <cellStyle name="Percent 2 6 2 3 2 2" xfId="5284" xr:uid="{00000000-0005-0000-0000-0000A4140000}"/>
    <cellStyle name="Percent 2 6 2 3 2 2 2" xfId="10604" xr:uid="{656BE894-ACBE-4C4A-BBAC-27CE00E3980C}"/>
    <cellStyle name="Percent 2 6 2 3 2 3" xfId="10603" xr:uid="{6CC9F814-7BAB-493A-8C2C-76FD0C1F9867}"/>
    <cellStyle name="Percent 2 6 2 3 3" xfId="5285" xr:uid="{00000000-0005-0000-0000-0000A5140000}"/>
    <cellStyle name="Percent 2 6 2 3 3 2" xfId="10605" xr:uid="{6F0E7F2E-96BE-4475-9846-5A78A3DE9404}"/>
    <cellStyle name="Percent 2 6 2 3 4" xfId="5286" xr:uid="{00000000-0005-0000-0000-0000A6140000}"/>
    <cellStyle name="Percent 2 6 2 3 4 2" xfId="10606" xr:uid="{38BE6B98-D967-4997-B6CB-064BDA52C8C6}"/>
    <cellStyle name="Percent 2 6 2 3 5" xfId="10602" xr:uid="{881095B6-2F2A-4E64-8A8E-81C9051DD9DC}"/>
    <cellStyle name="Percent 2 6 2 4" xfId="5287" xr:uid="{00000000-0005-0000-0000-0000A7140000}"/>
    <cellStyle name="Percent 2 6 2 4 2" xfId="5288" xr:uid="{00000000-0005-0000-0000-0000A8140000}"/>
    <cellStyle name="Percent 2 6 2 4 2 2" xfId="10608" xr:uid="{BC9E38D5-E429-4652-A2C0-DF72CF3D1B00}"/>
    <cellStyle name="Percent 2 6 2 4 3" xfId="10607" xr:uid="{E54D876C-ED70-4B39-BC85-B30FE6690EB8}"/>
    <cellStyle name="Percent 2 6 2 5" xfId="5289" xr:uid="{00000000-0005-0000-0000-0000A9140000}"/>
    <cellStyle name="Percent 2 6 2 5 2" xfId="10609" xr:uid="{9526D362-8C09-4B62-A356-5B46E409066D}"/>
    <cellStyle name="Percent 2 6 2 6" xfId="5290" xr:uid="{00000000-0005-0000-0000-0000AA140000}"/>
    <cellStyle name="Percent 2 6 2 6 2" xfId="10610" xr:uid="{EE8587E5-8D0D-4724-A0C0-6F09927D6549}"/>
    <cellStyle name="Percent 2 6 2 7" xfId="10595" xr:uid="{C96204EB-294C-4C15-971C-4410FF637B1D}"/>
    <cellStyle name="Percent 2 6 3" xfId="5291" xr:uid="{00000000-0005-0000-0000-0000AB140000}"/>
    <cellStyle name="Percent 2 6 3 2" xfId="5292" xr:uid="{00000000-0005-0000-0000-0000AC140000}"/>
    <cellStyle name="Percent 2 6 3 2 2" xfId="5293" xr:uid="{00000000-0005-0000-0000-0000AD140000}"/>
    <cellStyle name="Percent 2 6 3 2 2 2" xfId="10613" xr:uid="{87CC6179-BAD0-4702-A943-586E25398A95}"/>
    <cellStyle name="Percent 2 6 3 2 3" xfId="5294" xr:uid="{00000000-0005-0000-0000-0000AE140000}"/>
    <cellStyle name="Percent 2 6 3 2 3 2" xfId="10614" xr:uid="{3E1D3CF3-4FE9-4761-BA54-2849042BAEBB}"/>
    <cellStyle name="Percent 2 6 3 2 4" xfId="10612" xr:uid="{CEDF7776-28C0-49F4-8B82-3ED3E957E4C4}"/>
    <cellStyle name="Percent 2 6 3 3" xfId="5295" xr:uid="{00000000-0005-0000-0000-0000AF140000}"/>
    <cellStyle name="Percent 2 6 3 3 2" xfId="10615" xr:uid="{8614A7A5-E318-4788-A3C7-BD1024E3E3F1}"/>
    <cellStyle name="Percent 2 6 3 4" xfId="5296" xr:uid="{00000000-0005-0000-0000-0000B0140000}"/>
    <cellStyle name="Percent 2 6 3 4 2" xfId="10616" xr:uid="{27D3322E-5A05-4DEC-915A-46858F66FB72}"/>
    <cellStyle name="Percent 2 6 3 5" xfId="10611" xr:uid="{E459BC30-6A54-46EF-B9AC-3F603B23C4A0}"/>
    <cellStyle name="Percent 2 6 4" xfId="5297" xr:uid="{00000000-0005-0000-0000-0000B1140000}"/>
    <cellStyle name="Percent 2 6 4 2" xfId="5298" xr:uid="{00000000-0005-0000-0000-0000B2140000}"/>
    <cellStyle name="Percent 2 6 4 2 2" xfId="5299" xr:uid="{00000000-0005-0000-0000-0000B3140000}"/>
    <cellStyle name="Percent 2 6 4 2 2 2" xfId="10619" xr:uid="{371ADD4F-DA9C-4FEC-AF04-4DCD6E64F94B}"/>
    <cellStyle name="Percent 2 6 4 2 3" xfId="10618" xr:uid="{4A8865D4-9B81-47A6-B529-070A90B3F4BA}"/>
    <cellStyle name="Percent 2 6 4 3" xfId="5300" xr:uid="{00000000-0005-0000-0000-0000B4140000}"/>
    <cellStyle name="Percent 2 6 4 3 2" xfId="10620" xr:uid="{2A10CD9B-51AE-46B3-B428-5FA1A9F172D4}"/>
    <cellStyle name="Percent 2 6 4 4" xfId="5301" xr:uid="{00000000-0005-0000-0000-0000B5140000}"/>
    <cellStyle name="Percent 2 6 4 4 2" xfId="10621" xr:uid="{589D9CCC-512B-4008-A5B3-1B8ECA3B7CA7}"/>
    <cellStyle name="Percent 2 6 4 5" xfId="10617" xr:uid="{69880156-0A57-48A1-9B8A-CDB778C34C5F}"/>
    <cellStyle name="Percent 2 6 5" xfId="5302" xr:uid="{00000000-0005-0000-0000-0000B6140000}"/>
    <cellStyle name="Percent 2 6 5 2" xfId="5303" xr:uid="{00000000-0005-0000-0000-0000B7140000}"/>
    <cellStyle name="Percent 2 6 5 2 2" xfId="10623" xr:uid="{D79D3138-FD93-48B7-8AC0-CA711F52B25F}"/>
    <cellStyle name="Percent 2 6 5 3" xfId="10622" xr:uid="{430EB2BF-A8A7-4B5C-AAC0-2ED178BFE948}"/>
    <cellStyle name="Percent 2 6 6" xfId="5304" xr:uid="{00000000-0005-0000-0000-0000B8140000}"/>
    <cellStyle name="Percent 2 6 6 2" xfId="5305" xr:uid="{00000000-0005-0000-0000-0000B9140000}"/>
    <cellStyle name="Percent 2 6 6 2 2" xfId="10625" xr:uid="{0851BEA7-1FF7-4774-971E-E97C1B7BFE85}"/>
    <cellStyle name="Percent 2 6 6 3" xfId="10624" xr:uid="{AEAEADE5-5151-4C37-B734-6EF9132DF49E}"/>
    <cellStyle name="Percent 2 6 7" xfId="5306" xr:uid="{00000000-0005-0000-0000-0000BA140000}"/>
    <cellStyle name="Percent 2 6 7 2" xfId="5307" xr:uid="{00000000-0005-0000-0000-0000BB140000}"/>
    <cellStyle name="Percent 2 6 7 2 2" xfId="10627" xr:uid="{DA2F1B42-E676-4606-951E-CC8253A0C855}"/>
    <cellStyle name="Percent 2 6 7 3" xfId="10626" xr:uid="{F478724B-3243-4C1C-84BA-8B28463F1A19}"/>
    <cellStyle name="Percent 2 6 8" xfId="5308" xr:uid="{00000000-0005-0000-0000-0000BC140000}"/>
    <cellStyle name="Percent 2 6 8 2" xfId="10628" xr:uid="{0C423E33-C3BF-4882-BECD-02600D9B14B1}"/>
    <cellStyle name="Percent 2 6 9" xfId="5309" xr:uid="{00000000-0005-0000-0000-0000BD140000}"/>
    <cellStyle name="Percent 2 6 9 2" xfId="10629" xr:uid="{797206B0-D50F-41B6-A661-BC2F23E89071}"/>
    <cellStyle name="Percent 2 7" xfId="5310" xr:uid="{00000000-0005-0000-0000-0000BE140000}"/>
    <cellStyle name="Percent 2 7 2" xfId="5311" xr:uid="{00000000-0005-0000-0000-0000BF140000}"/>
    <cellStyle name="Percent 2 7 2 2" xfId="5312" xr:uid="{00000000-0005-0000-0000-0000C0140000}"/>
    <cellStyle name="Percent 2 7 2 2 2" xfId="5313" xr:uid="{00000000-0005-0000-0000-0000C1140000}"/>
    <cellStyle name="Percent 2 7 2 2 2 2" xfId="10633" xr:uid="{80617861-9167-4B37-BB45-727277F07242}"/>
    <cellStyle name="Percent 2 7 2 2 3" xfId="5314" xr:uid="{00000000-0005-0000-0000-0000C2140000}"/>
    <cellStyle name="Percent 2 7 2 2 3 2" xfId="10634" xr:uid="{EA6E19CB-400C-4197-8899-AA5D88DC9E64}"/>
    <cellStyle name="Percent 2 7 2 2 4" xfId="10632" xr:uid="{16B8B6EA-317B-4AF3-8D6E-A3CC54A78224}"/>
    <cellStyle name="Percent 2 7 2 3" xfId="5315" xr:uid="{00000000-0005-0000-0000-0000C3140000}"/>
    <cellStyle name="Percent 2 7 2 3 2" xfId="10635" xr:uid="{576585D6-CB12-48EB-80BF-EEAF997AD504}"/>
    <cellStyle name="Percent 2 7 2 4" xfId="5316" xr:uid="{00000000-0005-0000-0000-0000C4140000}"/>
    <cellStyle name="Percent 2 7 2 4 2" xfId="10636" xr:uid="{8CC7002F-C415-4103-A197-8A0AB78FD9FE}"/>
    <cellStyle name="Percent 2 7 2 5" xfId="10631" xr:uid="{B4612584-E7D5-423E-BEC2-07F58B187208}"/>
    <cellStyle name="Percent 2 7 3" xfId="5317" xr:uid="{00000000-0005-0000-0000-0000C5140000}"/>
    <cellStyle name="Percent 2 7 3 2" xfId="5318" xr:uid="{00000000-0005-0000-0000-0000C6140000}"/>
    <cellStyle name="Percent 2 7 3 2 2" xfId="5319" xr:uid="{00000000-0005-0000-0000-0000C7140000}"/>
    <cellStyle name="Percent 2 7 3 2 2 2" xfId="10639" xr:uid="{DC2E07C5-9DCA-42F1-AB4C-C2ABA2AEBABE}"/>
    <cellStyle name="Percent 2 7 3 2 3" xfId="10638" xr:uid="{6E83B3EC-CF68-49FA-8C09-0289ECF0B492}"/>
    <cellStyle name="Percent 2 7 3 3" xfId="5320" xr:uid="{00000000-0005-0000-0000-0000C8140000}"/>
    <cellStyle name="Percent 2 7 3 3 2" xfId="10640" xr:uid="{C2D8B9B1-3A0C-4810-AA92-77A59FC9B11D}"/>
    <cellStyle name="Percent 2 7 3 4" xfId="5321" xr:uid="{00000000-0005-0000-0000-0000C9140000}"/>
    <cellStyle name="Percent 2 7 3 4 2" xfId="10641" xr:uid="{5471209E-91C9-463B-9726-8E6449D0F2A0}"/>
    <cellStyle name="Percent 2 7 3 5" xfId="10637" xr:uid="{72BAFA7F-0035-4BE4-9698-A2AC1D0A69D9}"/>
    <cellStyle name="Percent 2 7 4" xfId="5322" xr:uid="{00000000-0005-0000-0000-0000CA140000}"/>
    <cellStyle name="Percent 2 7 4 2" xfId="5323" xr:uid="{00000000-0005-0000-0000-0000CB140000}"/>
    <cellStyle name="Percent 2 7 4 2 2" xfId="10643" xr:uid="{680521EC-47E8-4528-BAA6-73B64DEBB02E}"/>
    <cellStyle name="Percent 2 7 4 3" xfId="10642" xr:uid="{93055B97-F33A-439B-BCC8-116D50288579}"/>
    <cellStyle name="Percent 2 7 5" xfId="5324" xr:uid="{00000000-0005-0000-0000-0000CC140000}"/>
    <cellStyle name="Percent 2 7 5 2" xfId="10644" xr:uid="{CCBBC3AF-91F5-43F1-B15D-586D8E87FAB3}"/>
    <cellStyle name="Percent 2 7 6" xfId="5325" xr:uid="{00000000-0005-0000-0000-0000CD140000}"/>
    <cellStyle name="Percent 2 7 6 2" xfId="10645" xr:uid="{476A6511-C74A-4B3E-8C22-CE61ED9DA54E}"/>
    <cellStyle name="Percent 2 7 7" xfId="10630" xr:uid="{55408709-B358-45BC-AAE5-902CEE019D11}"/>
    <cellStyle name="Percent 2 8" xfId="5326" xr:uid="{00000000-0005-0000-0000-0000CE140000}"/>
    <cellStyle name="Percent 2 8 2" xfId="5327" xr:uid="{00000000-0005-0000-0000-0000CF140000}"/>
    <cellStyle name="Percent 2 8 2 2" xfId="5328" xr:uid="{00000000-0005-0000-0000-0000D0140000}"/>
    <cellStyle name="Percent 2 8 2 2 2" xfId="10648" xr:uid="{2A046210-3309-45E5-B4C9-854665D8D9B4}"/>
    <cellStyle name="Percent 2 8 2 3" xfId="5329" xr:uid="{00000000-0005-0000-0000-0000D1140000}"/>
    <cellStyle name="Percent 2 8 2 3 2" xfId="10649" xr:uid="{C11F1D29-1661-479F-9DFC-442CD3066280}"/>
    <cellStyle name="Percent 2 8 2 4" xfId="10647" xr:uid="{71681AD4-170A-41C3-B0B8-4E0CACD364DE}"/>
    <cellStyle name="Percent 2 8 3" xfId="5330" xr:uid="{00000000-0005-0000-0000-0000D2140000}"/>
    <cellStyle name="Percent 2 8 3 2" xfId="5331" xr:uid="{00000000-0005-0000-0000-0000D3140000}"/>
    <cellStyle name="Percent 2 8 3 2 2" xfId="10651" xr:uid="{E11874A3-B181-4F74-A072-DC5494938583}"/>
    <cellStyle name="Percent 2 8 3 3" xfId="10650" xr:uid="{371CF785-19FC-4D33-B25E-4BE0A698CA91}"/>
    <cellStyle name="Percent 2 8 4" xfId="5332" xr:uid="{00000000-0005-0000-0000-0000D4140000}"/>
    <cellStyle name="Percent 2 8 4 2" xfId="10652" xr:uid="{4DAB7C1F-0A1F-4FCF-849D-32B379E00D42}"/>
    <cellStyle name="Percent 2 8 5" xfId="10646" xr:uid="{023D60EC-72A1-4FA2-A761-8AB856E32AF6}"/>
    <cellStyle name="Percent 2 9" xfId="5333" xr:uid="{00000000-0005-0000-0000-0000D5140000}"/>
    <cellStyle name="Percent 2 9 2" xfId="5334" xr:uid="{00000000-0005-0000-0000-0000D6140000}"/>
    <cellStyle name="Percent 2 9 2 2" xfId="5335" xr:uid="{00000000-0005-0000-0000-0000D7140000}"/>
    <cellStyle name="Percent 2 9 2 2 2" xfId="10655" xr:uid="{97BFF1B5-D0E9-483E-B4B2-E9559A2CBD38}"/>
    <cellStyle name="Percent 2 9 2 3" xfId="10654" xr:uid="{F2AABA91-334F-419D-8311-C7C40C092EC2}"/>
    <cellStyle name="Percent 2 9 3" xfId="5336" xr:uid="{00000000-0005-0000-0000-0000D8140000}"/>
    <cellStyle name="Percent 2 9 3 2" xfId="10656" xr:uid="{D9BAFEDC-58D4-46A7-AD6D-E0CFBAD0F4B2}"/>
    <cellStyle name="Percent 2 9 4" xfId="5337" xr:uid="{00000000-0005-0000-0000-0000D9140000}"/>
    <cellStyle name="Percent 2 9 4 2" xfId="10657" xr:uid="{72AE6E5D-C7CE-43C5-B4CA-6962816313F3}"/>
    <cellStyle name="Percent 2 9 5" xfId="10653" xr:uid="{BB44C0E4-7161-4C00-8722-D5E9903D92D5}"/>
    <cellStyle name="Percent 3" xfId="5338" xr:uid="{00000000-0005-0000-0000-0000DA140000}"/>
  </cellStyles>
  <dxfs count="1">
    <dxf>
      <fill>
        <patternFill>
          <bgColor theme="5"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68E2D2B3-E598-48A9-9B8A-C5F111A6E122}"/>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A1F8686B-A74B-43BA-A229-E4AA803500EF}"/>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6FA1F8FB-F628-4197-A26E-40FF62D91994}"/>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914E7F5D-8954-403D-A60C-32E3E6731A7B}"/>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7D8E15A7-6296-4077-8811-C73723914F99}"/>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05C14385-1FF8-47EA-92E9-A54DA3F76F40}"/>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DF004560-BA54-4537-B32B-E0D967BC51FE}"/>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CABD3F25-43FE-4E39-B20D-7944E1127B71}"/>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9DA74916-FB6D-48BB-8115-1323D4C88642}"/>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2D3B8B98-B14C-47E0-8ADC-C737CF5E130A}"/>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EE48F2A9-2CC1-4CED-B22B-E51FAAA20D21}"/>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884AC181-7CBA-45CF-9565-EF479DDE5765}"/>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0D12B29B-3A9F-4B3D-BC9D-706F6F46E071}"/>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9BE1EFD4-E113-4C06-A7BA-CB450D923603}"/>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93F637E0-F6C4-4C85-9D57-9DC3423BD3FD}"/>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4DB01989-DC98-4645-9B4B-BE5874203632}"/>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3795C99D-1BB6-4884-A348-2F1CA5A203A5}"/>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21F0972D-1CF0-4E6C-9484-DE869C25872D}"/>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EE545759-7AB7-4656-87D1-005317401136}"/>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A2B1FE37-9FBD-47AB-A804-2FF605C8F063}"/>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B55DB864-488D-4946-A213-73F5B17E1263}"/>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837A2160-02D5-41DA-A282-FF9A36448CC1}"/>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D2464440-4A33-4488-B0AC-B3B15CB8CCD6}"/>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A36175A3-5D84-48DC-AFF4-917BFE456C6A}"/>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93078448-F1F3-4FDB-9180-ED74E5B60804}"/>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5CA90176-4774-48AA-ABAD-320AB0FB08CD}"/>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14FA4E03-B31F-4225-8B6B-0A38F7BE010E}"/>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2A0A5B3E-1975-4F29-8DB9-1B45496E3402}"/>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38100</xdr:rowOff>
    </xdr:to>
    <xdr:sp macro="" textlink="">
      <xdr:nvSpPr>
        <xdr:cNvPr id="2" name="Text 1">
          <a:extLst>
            <a:ext uri="{FF2B5EF4-FFF2-40B4-BE49-F238E27FC236}">
              <a16:creationId xmlns:a16="http://schemas.microsoft.com/office/drawing/2014/main" id="{EE9B1159-AC4B-460A-9BF6-45F8DF0A8EBA}"/>
            </a:ext>
          </a:extLst>
        </xdr:cNvPr>
        <xdr:cNvSpPr txBox="1">
          <a:spLocks noChangeArrowheads="1"/>
        </xdr:cNvSpPr>
      </xdr:nvSpPr>
      <xdr:spPr bwMode="auto">
        <a:xfrm>
          <a:off x="2352675" y="1704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F7C857A0-323E-42E1-B307-D31316DF5B24}"/>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676275</xdr:colOff>
          <xdr:row>2</xdr:row>
          <xdr:rowOff>76200</xdr:rowOff>
        </xdr:from>
        <xdr:to>
          <xdr:col>1</xdr:col>
          <xdr:colOff>1590675</xdr:colOff>
          <xdr:row>6</xdr:row>
          <xdr:rowOff>114300</xdr:rowOff>
        </xdr:to>
        <xdr:sp macro="" textlink="">
          <xdr:nvSpPr>
            <xdr:cNvPr id="74753" name="Object 1" hidden="1">
              <a:extLst>
                <a:ext uri="{63B3BB69-23CF-44E3-9099-C40C66FF867C}">
                  <a14:compatExt spid="_x0000_s74753"/>
                </a:ext>
                <a:ext uri="{FF2B5EF4-FFF2-40B4-BE49-F238E27FC236}">
                  <a16:creationId xmlns:a16="http://schemas.microsoft.com/office/drawing/2014/main" id="{00000000-0008-0000-1400-0000012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00000000-0008-0000-1700-000002000000}"/>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A398239E-4F54-41B3-97D7-B993BF9379DE}"/>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08B5C3B7-90A6-4005-A8ED-8F02F9CB8D7D}"/>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4CF7D76C-0329-4400-B14A-CB1D64AB15BC}"/>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C80DC17F-4D68-4CBE-9064-F7CDB313D926}"/>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85725</xdr:colOff>
      <xdr:row>39</xdr:row>
      <xdr:rowOff>45893</xdr:rowOff>
    </xdr:to>
    <xdr:sp macro="" textlink="">
      <xdr:nvSpPr>
        <xdr:cNvPr id="2" name="Text 1">
          <a:extLst>
            <a:ext uri="{FF2B5EF4-FFF2-40B4-BE49-F238E27FC236}">
              <a16:creationId xmlns:a16="http://schemas.microsoft.com/office/drawing/2014/main" id="{A8C4C500-BBC3-499A-8AD4-9AED596516E7}"/>
            </a:ext>
          </a:extLst>
        </xdr:cNvPr>
        <xdr:cNvSpPr txBox="1">
          <a:spLocks noChangeArrowheads="1"/>
        </xdr:cNvSpPr>
      </xdr:nvSpPr>
      <xdr:spPr bwMode="auto">
        <a:xfrm>
          <a:off x="1647825" y="8153400"/>
          <a:ext cx="85725" cy="198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38.bin"/><Relationship Id="rId4" Type="http://schemas.openxmlformats.org/officeDocument/2006/relationships/hyperlink" Target="https://www.isbe.net/Pages/School-Nutrition-Programs-Food-Distribution.aspx"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Normal="10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1991</v>
      </c>
      <c r="B1" s="45"/>
      <c r="C1" s="45"/>
      <c r="D1" s="46"/>
      <c r="I1" s="2044" t="s">
        <v>405</v>
      </c>
      <c r="J1" s="2045"/>
      <c r="K1" s="2045"/>
      <c r="L1" s="2045"/>
      <c r="M1" s="2045"/>
      <c r="N1" s="2045"/>
      <c r="O1" s="2045"/>
      <c r="P1" s="2045"/>
      <c r="Q1" s="2045"/>
      <c r="R1" s="2045"/>
      <c r="S1" s="2045"/>
    </row>
    <row r="2" spans="1:28" ht="12" customHeight="1" x14ac:dyDescent="0.2">
      <c r="A2" s="47" t="s">
        <v>1992</v>
      </c>
      <c r="D2" s="48"/>
      <c r="I2" s="2046" t="s">
        <v>979</v>
      </c>
      <c r="J2" s="2045"/>
      <c r="K2" s="2045"/>
      <c r="L2" s="2045"/>
      <c r="M2" s="2045"/>
      <c r="N2" s="2045"/>
      <c r="O2" s="2045"/>
      <c r="P2" s="2045"/>
      <c r="Q2" s="2045"/>
      <c r="R2" s="2045"/>
      <c r="S2" s="2045"/>
    </row>
    <row r="3" spans="1:28" ht="12" customHeight="1" x14ac:dyDescent="0.2">
      <c r="A3" s="155" t="s">
        <v>1944</v>
      </c>
      <c r="B3" s="156"/>
      <c r="C3" s="156"/>
      <c r="D3" s="157"/>
      <c r="I3" s="2046" t="s">
        <v>52</v>
      </c>
      <c r="J3" s="2045"/>
      <c r="K3" s="2045"/>
      <c r="L3" s="2045"/>
      <c r="M3" s="2045"/>
      <c r="N3" s="2045"/>
      <c r="O3" s="2045"/>
      <c r="P3" s="2045"/>
      <c r="Q3" s="2045"/>
      <c r="R3" s="2045"/>
      <c r="S3" s="2045"/>
    </row>
    <row r="4" spans="1:28" ht="12" customHeight="1" x14ac:dyDescent="0.2">
      <c r="A4" s="37"/>
      <c r="I4" s="2046" t="s">
        <v>524</v>
      </c>
      <c r="J4" s="2045"/>
      <c r="K4" s="2045"/>
      <c r="L4" s="2045"/>
      <c r="M4" s="2045"/>
      <c r="N4" s="2045"/>
      <c r="O4" s="2045"/>
      <c r="P4" s="2045"/>
      <c r="Q4" s="2045"/>
      <c r="R4" s="2045"/>
      <c r="S4" s="2045"/>
    </row>
    <row r="5" spans="1:28" ht="14.1" customHeight="1" x14ac:dyDescent="0.2">
      <c r="B5" s="104" t="s">
        <v>2064</v>
      </c>
      <c r="C5" s="26" t="s">
        <v>910</v>
      </c>
      <c r="D5" s="84"/>
      <c r="E5" s="84"/>
      <c r="H5" s="38"/>
      <c r="I5" s="2054" t="s">
        <v>680</v>
      </c>
      <c r="J5" s="2053"/>
      <c r="K5" s="2053"/>
      <c r="L5" s="2053"/>
      <c r="M5" s="2053"/>
      <c r="N5" s="2053"/>
      <c r="O5" s="2053"/>
      <c r="P5" s="2053"/>
      <c r="Q5" s="2053"/>
      <c r="R5" s="2053"/>
      <c r="S5" s="2053"/>
    </row>
    <row r="6" spans="1:28" ht="14.1" customHeight="1" x14ac:dyDescent="0.2">
      <c r="B6" s="104"/>
      <c r="C6" s="26" t="s">
        <v>911</v>
      </c>
      <c r="D6" s="84"/>
      <c r="E6" s="84"/>
      <c r="I6" s="2052" t="s">
        <v>883</v>
      </c>
      <c r="J6" s="2053"/>
      <c r="K6" s="2053"/>
      <c r="L6" s="2053"/>
      <c r="M6" s="2053"/>
      <c r="N6" s="2053"/>
      <c r="O6" s="2053"/>
      <c r="P6" s="2053"/>
      <c r="Q6" s="2053"/>
      <c r="R6" s="2053"/>
      <c r="S6" s="2053"/>
    </row>
    <row r="7" spans="1:28" ht="12.2" customHeight="1" x14ac:dyDescent="0.2">
      <c r="I7" s="2047">
        <v>43646</v>
      </c>
      <c r="J7" s="2048"/>
      <c r="K7" s="2048"/>
      <c r="L7" s="2048"/>
      <c r="M7" s="2048"/>
      <c r="N7" s="2048"/>
      <c r="O7" s="2048"/>
      <c r="P7" s="2048"/>
      <c r="Q7" s="2048"/>
      <c r="R7" s="2048"/>
      <c r="S7" s="204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9" t="s">
        <v>674</v>
      </c>
      <c r="J9" s="2050"/>
      <c r="K9" s="2050"/>
      <c r="L9" s="2050"/>
      <c r="M9" s="2050"/>
      <c r="N9" s="2050"/>
      <c r="O9" s="2050"/>
      <c r="P9" s="2050"/>
      <c r="Q9" s="2050"/>
      <c r="R9" s="2050"/>
      <c r="S9" s="2051"/>
      <c r="T9" s="2065" t="s">
        <v>533</v>
      </c>
      <c r="U9" s="2066"/>
      <c r="V9" s="2066"/>
      <c r="W9" s="2066"/>
      <c r="X9" s="2066"/>
      <c r="Y9" s="2066"/>
      <c r="Z9" s="2066"/>
      <c r="AA9" s="2067"/>
    </row>
    <row r="10" spans="1:28" ht="13.5" customHeight="1" x14ac:dyDescent="0.2">
      <c r="A10" s="2072" t="s">
        <v>675</v>
      </c>
      <c r="B10" s="2073"/>
      <c r="C10" s="2073"/>
      <c r="D10" s="2073"/>
      <c r="E10" s="2073"/>
      <c r="F10" s="2073"/>
      <c r="G10" s="2073"/>
      <c r="H10" s="2074"/>
      <c r="I10" s="29"/>
      <c r="J10" s="30"/>
      <c r="K10" s="28"/>
      <c r="R10" s="30"/>
      <c r="S10" s="30"/>
      <c r="T10" s="2068"/>
      <c r="U10" s="2053"/>
      <c r="V10" s="2053"/>
      <c r="W10" s="2053"/>
      <c r="X10" s="2053"/>
      <c r="Y10" s="2053"/>
      <c r="Z10" s="2053"/>
      <c r="AA10" s="2059"/>
    </row>
    <row r="11" spans="1:28" ht="14.25" customHeight="1" x14ac:dyDescent="0.2">
      <c r="A11" s="2075" t="s">
        <v>955</v>
      </c>
      <c r="B11" s="2076"/>
      <c r="C11" s="2076"/>
      <c r="D11" s="2076"/>
      <c r="E11" s="2076"/>
      <c r="F11" s="2076"/>
      <c r="G11" s="2076"/>
      <c r="H11" s="2077"/>
      <c r="I11" s="27"/>
      <c r="J11" s="74"/>
      <c r="K11" s="27"/>
      <c r="O11" s="148" t="s">
        <v>2064</v>
      </c>
      <c r="P11" s="100" t="s">
        <v>201</v>
      </c>
      <c r="Q11" s="30"/>
      <c r="R11" s="28"/>
      <c r="S11" s="27"/>
      <c r="T11" s="2069"/>
      <c r="U11" s="2070"/>
      <c r="V11" s="2070"/>
      <c r="W11" s="2070"/>
      <c r="X11" s="2070"/>
      <c r="Y11" s="2070"/>
      <c r="Z11" s="2070"/>
      <c r="AA11" s="2071"/>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79">
        <v>17053438004</v>
      </c>
      <c r="B13" s="2080"/>
      <c r="C13" s="2080"/>
      <c r="D13" s="2080"/>
      <c r="E13" s="2080"/>
      <c r="F13" s="2080"/>
      <c r="G13" s="2080"/>
      <c r="H13" s="2081"/>
      <c r="I13" s="31"/>
      <c r="J13" s="30"/>
      <c r="K13" s="28"/>
      <c r="L13" s="30"/>
      <c r="M13" s="30"/>
      <c r="N13" s="30"/>
      <c r="O13" s="30"/>
      <c r="P13" s="30"/>
      <c r="Q13" s="30"/>
      <c r="R13" s="30"/>
      <c r="S13" s="30"/>
      <c r="T13" s="2084" t="s">
        <v>2065</v>
      </c>
      <c r="U13" s="2085"/>
      <c r="V13" s="2085"/>
      <c r="W13" s="2085"/>
      <c r="X13" s="2085"/>
      <c r="Y13" s="2086"/>
      <c r="Z13" s="2086"/>
      <c r="AA13" s="2087"/>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78" t="s">
        <v>2083</v>
      </c>
      <c r="B15" s="2082"/>
      <c r="C15" s="2082"/>
      <c r="D15" s="2082"/>
      <c r="E15" s="2082"/>
      <c r="F15" s="2082"/>
      <c r="G15" s="2082"/>
      <c r="H15" s="2083"/>
      <c r="T15" s="2088" t="s">
        <v>2066</v>
      </c>
      <c r="U15" s="2032"/>
      <c r="V15" s="2032"/>
      <c r="W15" s="2032"/>
      <c r="X15" s="2032"/>
      <c r="Y15" s="2089"/>
      <c r="Z15" s="2089"/>
      <c r="AA15" s="2090"/>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2038" t="s">
        <v>3177</v>
      </c>
      <c r="B17" s="2039"/>
      <c r="C17" s="2039"/>
      <c r="D17" s="2039"/>
      <c r="E17" s="2039"/>
      <c r="F17" s="2039"/>
      <c r="G17" s="2039"/>
      <c r="H17" s="2064"/>
      <c r="T17" s="2095" t="s">
        <v>2067</v>
      </c>
      <c r="U17" s="2096"/>
      <c r="V17" s="2096"/>
      <c r="W17" s="2096"/>
      <c r="X17" s="2096"/>
      <c r="Y17" s="2096"/>
      <c r="Z17" s="2096"/>
      <c r="AA17" s="2097"/>
    </row>
    <row r="18" spans="1:27" ht="13.5" customHeight="1" x14ac:dyDescent="0.2">
      <c r="A18" s="85" t="s">
        <v>530</v>
      </c>
      <c r="B18" s="76"/>
      <c r="C18" s="72"/>
      <c r="D18" s="76"/>
      <c r="E18" s="76"/>
      <c r="F18" s="76"/>
      <c r="G18" s="76"/>
      <c r="H18" s="56"/>
      <c r="I18" s="2063" t="s">
        <v>676</v>
      </c>
      <c r="J18" s="2014"/>
      <c r="K18" s="2014"/>
      <c r="L18" s="2014"/>
      <c r="M18" s="2014"/>
      <c r="N18" s="2014"/>
      <c r="O18" s="2014"/>
      <c r="P18" s="2014"/>
      <c r="Q18" s="2014"/>
      <c r="R18" s="2014"/>
      <c r="S18" s="2015"/>
      <c r="T18" s="85" t="s">
        <v>711</v>
      </c>
      <c r="U18" s="51"/>
      <c r="V18" s="72"/>
      <c r="W18" s="50"/>
      <c r="X18" s="85" t="s">
        <v>266</v>
      </c>
      <c r="Y18" s="81"/>
      <c r="Z18" s="159" t="s">
        <v>677</v>
      </c>
      <c r="AA18" s="46"/>
    </row>
    <row r="19" spans="1:27" ht="13.5" customHeight="1" x14ac:dyDescent="0.2">
      <c r="A19" s="2078" t="s">
        <v>2084</v>
      </c>
      <c r="B19" s="2024"/>
      <c r="C19" s="2024"/>
      <c r="D19" s="2024"/>
      <c r="E19" s="2024"/>
      <c r="F19" s="2024"/>
      <c r="G19" s="2024"/>
      <c r="H19" s="2004"/>
      <c r="I19" s="30"/>
      <c r="J19" s="99"/>
      <c r="K19" s="40"/>
      <c r="L19" s="38"/>
      <c r="M19" s="112" t="s">
        <v>315</v>
      </c>
      <c r="P19" s="27"/>
      <c r="Q19" s="27"/>
      <c r="R19" s="27"/>
      <c r="S19" s="31"/>
      <c r="T19" s="2078" t="s">
        <v>2068</v>
      </c>
      <c r="U19" s="2003"/>
      <c r="V19" s="2003"/>
      <c r="W19" s="2004"/>
      <c r="X19" s="2093" t="s">
        <v>2069</v>
      </c>
      <c r="Y19" s="2094"/>
      <c r="Z19" s="2091">
        <v>61350</v>
      </c>
      <c r="AA19" s="2092"/>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2002" t="s">
        <v>2085</v>
      </c>
      <c r="B21" s="2003"/>
      <c r="C21" s="2003"/>
      <c r="D21" s="2003"/>
      <c r="E21" s="2003"/>
      <c r="F21" s="2003"/>
      <c r="G21" s="2003"/>
      <c r="H21" s="2004"/>
      <c r="I21" s="2058" t="s">
        <v>678</v>
      </c>
      <c r="J21" s="2053"/>
      <c r="K21" s="2053"/>
      <c r="L21" s="2053"/>
      <c r="M21" s="2053"/>
      <c r="N21" s="2053"/>
      <c r="O21" s="2053"/>
      <c r="P21" s="2053"/>
      <c r="Q21" s="2053"/>
      <c r="R21" s="2053"/>
      <c r="S21" s="2059"/>
      <c r="T21" s="2102" t="s">
        <v>2070</v>
      </c>
      <c r="U21" s="2103"/>
      <c r="V21" s="2103"/>
      <c r="W21" s="2103"/>
      <c r="X21" s="2108" t="s">
        <v>2071</v>
      </c>
      <c r="Y21" s="2109"/>
      <c r="Z21" s="2109"/>
      <c r="AA21" s="2110"/>
    </row>
    <row r="22" spans="1:27" ht="13.5" customHeight="1" x14ac:dyDescent="0.2">
      <c r="A22" s="87" t="s">
        <v>531</v>
      </c>
      <c r="B22" s="59"/>
      <c r="C22" s="59"/>
      <c r="D22" s="59"/>
      <c r="E22" s="59"/>
      <c r="F22" s="59"/>
      <c r="G22" s="59"/>
      <c r="H22" s="60"/>
      <c r="I22" s="2060" t="s">
        <v>1429</v>
      </c>
      <c r="J22" s="2061"/>
      <c r="K22" s="2061"/>
      <c r="L22" s="2061"/>
      <c r="M22" s="2061"/>
      <c r="N22" s="2061"/>
      <c r="O22" s="2061"/>
      <c r="P22" s="2061"/>
      <c r="Q22" s="2061"/>
      <c r="R22" s="2061"/>
      <c r="S22" s="2062"/>
      <c r="T22" s="85" t="s">
        <v>1516</v>
      </c>
      <c r="U22" s="51"/>
      <c r="V22" s="72"/>
      <c r="W22" s="51"/>
      <c r="X22" s="160" t="s">
        <v>1318</v>
      </c>
      <c r="Z22" s="45"/>
      <c r="AA22" s="46"/>
    </row>
    <row r="23" spans="1:27" ht="13.5" customHeight="1" x14ac:dyDescent="0.2">
      <c r="A23" s="2055"/>
      <c r="B23" s="2056"/>
      <c r="C23" s="2056"/>
      <c r="D23" s="2056"/>
      <c r="E23" s="2056"/>
      <c r="F23" s="2056"/>
      <c r="G23" s="2056"/>
      <c r="H23" s="2057"/>
      <c r="T23" s="2038" t="s">
        <v>2072</v>
      </c>
      <c r="U23" s="2101"/>
      <c r="V23" s="2101"/>
      <c r="W23" s="2101"/>
      <c r="X23" s="2105">
        <v>44530</v>
      </c>
      <c r="Y23" s="2106"/>
      <c r="Z23" s="2106"/>
      <c r="AA23" s="2107"/>
    </row>
    <row r="24" spans="1:27" ht="14.1" customHeight="1" x14ac:dyDescent="0.2">
      <c r="A24" s="88" t="s">
        <v>677</v>
      </c>
      <c r="B24" s="49"/>
      <c r="C24" s="49"/>
      <c r="D24" s="49"/>
      <c r="E24" s="49"/>
      <c r="F24" s="49"/>
      <c r="G24" s="49"/>
      <c r="H24" s="61"/>
      <c r="J24" s="2025">
        <f ca="1">IF(B5="x",IF(AUDITCHECK!D29="AFR form Incomplete.","",IF(AUDITCHECK!D29="Deficit reduction plan is required.","School District must complete a deficit reduction plan in the 2019-2020 Budget",)),"")</f>
        <v>0</v>
      </c>
      <c r="K24" s="2025"/>
      <c r="L24" s="2025"/>
      <c r="M24" s="2025"/>
      <c r="N24" s="2025"/>
      <c r="O24" s="2025"/>
      <c r="P24" s="2025"/>
      <c r="Q24" s="2025"/>
      <c r="R24" s="2025"/>
      <c r="S24" s="2026"/>
      <c r="T24" s="105" t="s">
        <v>531</v>
      </c>
      <c r="U24" s="106"/>
      <c r="V24" s="106"/>
      <c r="W24" s="106"/>
      <c r="X24" s="107"/>
      <c r="Y24" s="107"/>
      <c r="Z24" s="107"/>
      <c r="AA24" s="108"/>
    </row>
    <row r="25" spans="1:27" ht="14.1" customHeight="1" x14ac:dyDescent="0.2">
      <c r="A25" s="2002">
        <v>61769</v>
      </c>
      <c r="B25" s="2003"/>
      <c r="C25" s="2003"/>
      <c r="D25" s="2003"/>
      <c r="E25" s="2003"/>
      <c r="F25" s="2003"/>
      <c r="G25" s="2003"/>
      <c r="H25" s="2004"/>
      <c r="I25" s="113"/>
      <c r="J25" s="2027"/>
      <c r="K25" s="2027"/>
      <c r="L25" s="2027"/>
      <c r="M25" s="2027"/>
      <c r="N25" s="2027"/>
      <c r="O25" s="2027"/>
      <c r="P25" s="2027"/>
      <c r="Q25" s="2027"/>
      <c r="R25" s="2027"/>
      <c r="S25" s="2028"/>
      <c r="T25" s="2098" t="s">
        <v>2073</v>
      </c>
      <c r="U25" s="2099"/>
      <c r="V25" s="2099"/>
      <c r="W25" s="2099"/>
      <c r="X25" s="2099"/>
      <c r="Y25" s="2099"/>
      <c r="Z25" s="2099"/>
      <c r="AA25" s="210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13" t="s">
        <v>1511</v>
      </c>
      <c r="J27" s="2014"/>
      <c r="K27" s="2014"/>
      <c r="L27" s="2014"/>
      <c r="M27" s="2014"/>
      <c r="N27" s="2014"/>
      <c r="O27" s="2014"/>
      <c r="P27" s="2014"/>
      <c r="Q27" s="2014"/>
      <c r="R27" s="2014"/>
      <c r="S27" s="2015"/>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3050</v>
      </c>
      <c r="M29" s="40" t="s">
        <v>99</v>
      </c>
      <c r="N29" s="32" t="s">
        <v>1523</v>
      </c>
      <c r="O29" s="32"/>
      <c r="P29" s="32"/>
      <c r="Q29" s="32"/>
      <c r="R29" s="32"/>
      <c r="S29" s="123"/>
      <c r="T29" s="6"/>
      <c r="U29" s="6"/>
      <c r="V29" s="6"/>
      <c r="W29" s="6"/>
      <c r="X29" s="6"/>
      <c r="Y29" s="6"/>
      <c r="Z29" s="6"/>
      <c r="AA29" s="132"/>
    </row>
    <row r="30" spans="1:27" ht="13.5" customHeight="1" x14ac:dyDescent="0.2">
      <c r="A30" s="153"/>
      <c r="B30" s="136"/>
      <c r="C30" s="124" t="s">
        <v>1164</v>
      </c>
      <c r="D30" s="28"/>
      <c r="E30" s="28"/>
      <c r="F30" s="140"/>
      <c r="G30" s="114"/>
      <c r="H30" s="114"/>
      <c r="I30" s="54"/>
      <c r="J30" s="102"/>
      <c r="K30" s="28" t="s">
        <v>576</v>
      </c>
      <c r="L30" s="148" t="s">
        <v>3050</v>
      </c>
      <c r="M30" s="40" t="s">
        <v>99</v>
      </c>
      <c r="N30" s="32" t="s">
        <v>1512</v>
      </c>
      <c r="O30" s="32"/>
      <c r="P30" s="32"/>
      <c r="Q30" s="32"/>
      <c r="R30" s="32"/>
      <c r="S30" s="55"/>
      <c r="T30" s="6"/>
      <c r="U30" s="6"/>
      <c r="V30" s="6"/>
      <c r="W30" s="6"/>
      <c r="X30" s="6"/>
      <c r="Y30" s="6"/>
      <c r="Z30" s="6"/>
      <c r="AA30" s="48"/>
    </row>
    <row r="31" spans="1:27" ht="13.5" customHeight="1" x14ac:dyDescent="0.2">
      <c r="A31" s="153"/>
      <c r="B31" s="136" t="s">
        <v>2064</v>
      </c>
      <c r="C31" s="124" t="s">
        <v>1165</v>
      </c>
      <c r="D31" s="28"/>
      <c r="E31" s="28"/>
      <c r="F31" s="28"/>
      <c r="G31" s="28"/>
      <c r="H31" s="28"/>
      <c r="I31" s="54"/>
      <c r="J31" s="148" t="s">
        <v>2064</v>
      </c>
      <c r="K31" s="40" t="s">
        <v>885</v>
      </c>
      <c r="L31" s="148"/>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2024"/>
      <c r="Q35" s="2003"/>
      <c r="R35" s="2003"/>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2038" t="s">
        <v>3127</v>
      </c>
      <c r="B38" s="2039"/>
      <c r="C38" s="2039"/>
      <c r="D38" s="2039"/>
      <c r="E38" s="2039"/>
      <c r="F38" s="2003"/>
      <c r="G38" s="2003"/>
      <c r="H38" s="2004"/>
      <c r="I38" s="2031"/>
      <c r="J38" s="2032"/>
      <c r="K38" s="2032"/>
      <c r="L38" s="2032"/>
      <c r="M38" s="2032"/>
      <c r="N38" s="2032"/>
      <c r="O38" s="2032"/>
      <c r="P38" s="2033"/>
      <c r="Q38" s="2033"/>
      <c r="R38" s="2033"/>
      <c r="S38" s="2034"/>
      <c r="T38" s="2088"/>
      <c r="U38" s="2032"/>
      <c r="V38" s="2032"/>
      <c r="W38" s="2032"/>
      <c r="X38" s="2033"/>
      <c r="Y38" s="2033"/>
      <c r="Z38" s="2033"/>
      <c r="AA38" s="2034"/>
    </row>
    <row r="39" spans="1:27" ht="12" customHeight="1" x14ac:dyDescent="0.2">
      <c r="A39" s="2008" t="s">
        <v>531</v>
      </c>
      <c r="B39" s="2009"/>
      <c r="C39" s="72"/>
      <c r="D39" s="69"/>
      <c r="E39" s="69"/>
      <c r="F39" s="79"/>
      <c r="G39" s="69"/>
      <c r="H39" s="56"/>
      <c r="I39" s="2008" t="s">
        <v>531</v>
      </c>
      <c r="J39" s="2009"/>
      <c r="K39" s="2009"/>
      <c r="L39" s="2009"/>
      <c r="M39" s="2009"/>
      <c r="N39" s="67"/>
      <c r="O39" s="72"/>
      <c r="P39" s="72"/>
      <c r="Q39" s="78"/>
      <c r="R39" s="72"/>
      <c r="S39" s="56"/>
      <c r="T39" s="72" t="s">
        <v>531</v>
      </c>
      <c r="U39" s="51"/>
      <c r="V39" s="72"/>
      <c r="W39" s="50"/>
      <c r="X39" s="78"/>
      <c r="Y39" s="45"/>
      <c r="Z39" s="45"/>
      <c r="AA39" s="46"/>
    </row>
    <row r="40" spans="1:27" ht="13.5" customHeight="1" x14ac:dyDescent="0.2">
      <c r="A40" s="2016" t="s">
        <v>3126</v>
      </c>
      <c r="B40" s="2017"/>
      <c r="C40" s="2018"/>
      <c r="D40" s="2018"/>
      <c r="E40" s="2018"/>
      <c r="F40" s="2019"/>
      <c r="G40" s="2019"/>
      <c r="H40" s="2020"/>
      <c r="I40" s="2041"/>
      <c r="J40" s="2042"/>
      <c r="K40" s="2042"/>
      <c r="L40" s="2042"/>
      <c r="M40" s="2042"/>
      <c r="N40" s="2042"/>
      <c r="O40" s="2042"/>
      <c r="P40" s="2042"/>
      <c r="Q40" s="2042"/>
      <c r="R40" s="2042"/>
      <c r="S40" s="2043"/>
      <c r="T40" s="2041"/>
      <c r="U40" s="2104"/>
      <c r="V40" s="2042"/>
      <c r="W40" s="2042"/>
      <c r="X40" s="2042"/>
      <c r="Y40" s="2042"/>
      <c r="Z40" s="2042"/>
      <c r="AA40" s="2043"/>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30" t="s">
        <v>3128</v>
      </c>
      <c r="B42" s="2022"/>
      <c r="C42" s="2023"/>
      <c r="D42" s="2021"/>
      <c r="E42" s="2022"/>
      <c r="F42" s="2022"/>
      <c r="G42" s="2022"/>
      <c r="H42" s="2023"/>
      <c r="I42" s="2005"/>
      <c r="J42" s="2006"/>
      <c r="K42" s="2006"/>
      <c r="L42" s="2006"/>
      <c r="M42" s="2006"/>
      <c r="N42" s="2006"/>
      <c r="O42" s="2007"/>
      <c r="P42" s="2040"/>
      <c r="Q42" s="2006"/>
      <c r="R42" s="2006"/>
      <c r="S42" s="2007"/>
      <c r="T42" s="2005"/>
      <c r="U42" s="2006"/>
      <c r="V42" s="2006"/>
      <c r="W42" s="2007"/>
      <c r="X42" s="2040"/>
      <c r="Y42" s="2006"/>
      <c r="Z42" s="2006"/>
      <c r="AA42" s="2007"/>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35"/>
      <c r="B44" s="2036"/>
      <c r="C44" s="2036"/>
      <c r="D44" s="2036"/>
      <c r="E44" s="2036"/>
      <c r="F44" s="2036"/>
      <c r="G44" s="2036"/>
      <c r="H44" s="2037"/>
      <c r="I44" s="2010"/>
      <c r="J44" s="2011"/>
      <c r="K44" s="2011"/>
      <c r="L44" s="2011"/>
      <c r="M44" s="2011"/>
      <c r="N44" s="2011"/>
      <c r="O44" s="2011"/>
      <c r="P44" s="2011"/>
      <c r="Q44" s="2011"/>
      <c r="R44" s="2011"/>
      <c r="S44" s="2012"/>
      <c r="T44" s="2010"/>
      <c r="U44" s="2029"/>
      <c r="V44" s="2029"/>
      <c r="W44" s="2029"/>
      <c r="X44" s="2029"/>
      <c r="Y44" s="2029"/>
      <c r="Z44" s="2011"/>
      <c r="AA44" s="2012"/>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1943</v>
      </c>
      <c r="D46" s="41"/>
      <c r="E46" s="41"/>
      <c r="F46" s="41"/>
      <c r="G46" s="41"/>
      <c r="Q46" s="29" t="s">
        <v>1420</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20"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C13" sqref="C13"/>
    </sheetView>
  </sheetViews>
  <sheetFormatPr defaultColWidth="9.140625" defaultRowHeight="12.75" x14ac:dyDescent="0.2"/>
  <cols>
    <col min="1" max="1" width="41.42578125" style="252" customWidth="1"/>
    <col min="2" max="3" width="17.7109375" style="696" customWidth="1"/>
    <col min="4" max="5" width="17.7109375" style="697"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66" t="s">
        <v>104</v>
      </c>
    </row>
    <row r="2" spans="1:6" ht="39.75" customHeight="1" x14ac:dyDescent="0.2">
      <c r="A2" s="2244" t="s">
        <v>1801</v>
      </c>
      <c r="B2" s="1511" t="s">
        <v>1950</v>
      </c>
      <c r="C2" s="698" t="s">
        <v>1951</v>
      </c>
      <c r="D2" s="698" t="s">
        <v>1952</v>
      </c>
      <c r="E2" s="698" t="s">
        <v>1953</v>
      </c>
      <c r="F2" s="698" t="s">
        <v>1954</v>
      </c>
    </row>
    <row r="3" spans="1:6" ht="12" customHeight="1" x14ac:dyDescent="0.2">
      <c r="A3" s="2245"/>
      <c r="B3" s="1508"/>
      <c r="C3" s="1509"/>
      <c r="D3" s="1510" t="s">
        <v>256</v>
      </c>
      <c r="E3" s="1509"/>
      <c r="F3" s="1510" t="s">
        <v>257</v>
      </c>
    </row>
    <row r="4" spans="1:6" ht="13.7" customHeight="1" x14ac:dyDescent="0.2">
      <c r="A4" s="699" t="s">
        <v>1155</v>
      </c>
      <c r="B4" s="1732">
        <f ca="1">'Revenues 9-14'!C5</f>
        <v>792409</v>
      </c>
      <c r="C4" s="1507"/>
      <c r="D4" s="1735">
        <f ca="1">B4-C4</f>
        <v>792409</v>
      </c>
      <c r="E4" s="1507">
        <v>819851</v>
      </c>
      <c r="F4" s="1735">
        <f>E4-C4</f>
        <v>819851</v>
      </c>
    </row>
    <row r="5" spans="1:6" ht="13.7" customHeight="1" x14ac:dyDescent="0.2">
      <c r="A5" s="699" t="s">
        <v>870</v>
      </c>
      <c r="B5" s="1733">
        <f ca="1">'Revenues 9-14'!D5</f>
        <v>101034</v>
      </c>
      <c r="C5" s="574"/>
      <c r="D5" s="1736">
        <f t="shared" ref="D5:D18" ca="1" si="0">B5-C5</f>
        <v>101034</v>
      </c>
      <c r="E5" s="574">
        <v>104953</v>
      </c>
      <c r="F5" s="1736">
        <f>E5-C5</f>
        <v>104953</v>
      </c>
    </row>
    <row r="6" spans="1:6" ht="13.7" customHeight="1" x14ac:dyDescent="0.2">
      <c r="A6" s="699" t="s">
        <v>411</v>
      </c>
      <c r="B6" s="1733">
        <f ca="1">'Revenues 9-14'!E5</f>
        <v>0</v>
      </c>
      <c r="C6" s="574"/>
      <c r="D6" s="1736">
        <f t="shared" ca="1" si="0"/>
        <v>0</v>
      </c>
      <c r="E6" s="574"/>
      <c r="F6" s="1736">
        <f t="shared" ref="F6:F18" si="1">E6-C6</f>
        <v>0</v>
      </c>
    </row>
    <row r="7" spans="1:6" ht="13.7" customHeight="1" x14ac:dyDescent="0.2">
      <c r="A7" s="699" t="s">
        <v>155</v>
      </c>
      <c r="B7" s="1733">
        <f ca="1">'Revenues 9-14'!F5</f>
        <v>14364</v>
      </c>
      <c r="C7" s="574"/>
      <c r="D7" s="1736">
        <f t="shared" ca="1" si="0"/>
        <v>14364</v>
      </c>
      <c r="E7" s="574">
        <v>19993</v>
      </c>
      <c r="F7" s="1736">
        <f t="shared" si="1"/>
        <v>19993</v>
      </c>
    </row>
    <row r="8" spans="1:6" ht="13.7" customHeight="1" x14ac:dyDescent="0.2">
      <c r="A8" s="699" t="s">
        <v>1179</v>
      </c>
      <c r="B8" s="1733">
        <f ca="1">'Revenues 9-14'!G5</f>
        <v>4457</v>
      </c>
      <c r="C8" s="574"/>
      <c r="D8" s="1736">
        <f t="shared" ca="1" si="0"/>
        <v>4457</v>
      </c>
      <c r="E8" s="574">
        <v>6998</v>
      </c>
      <c r="F8" s="1736">
        <f t="shared" si="1"/>
        <v>6998</v>
      </c>
    </row>
    <row r="9" spans="1:6" ht="13.7" customHeight="1" x14ac:dyDescent="0.2">
      <c r="A9" s="699" t="s">
        <v>408</v>
      </c>
      <c r="B9" s="1733">
        <f ca="1">'Revenues 9-14'!H5</f>
        <v>0</v>
      </c>
      <c r="C9" s="574"/>
      <c r="D9" s="1736">
        <f t="shared" ca="1" si="0"/>
        <v>0</v>
      </c>
      <c r="E9" s="574"/>
      <c r="F9" s="1736">
        <f t="shared" si="1"/>
        <v>0</v>
      </c>
    </row>
    <row r="10" spans="1:6" ht="13.7" customHeight="1" x14ac:dyDescent="0.2">
      <c r="A10" s="699" t="s">
        <v>407</v>
      </c>
      <c r="B10" s="1733">
        <f ca="1">'Revenues 9-14'!I5</f>
        <v>11244</v>
      </c>
      <c r="C10" s="574"/>
      <c r="D10" s="1736">
        <f t="shared" ca="1" si="0"/>
        <v>11244</v>
      </c>
      <c r="E10" s="574">
        <v>13134</v>
      </c>
      <c r="F10" s="1736">
        <f t="shared" si="1"/>
        <v>13134</v>
      </c>
    </row>
    <row r="11" spans="1:6" x14ac:dyDescent="0.2">
      <c r="A11" s="699" t="s">
        <v>409</v>
      </c>
      <c r="B11" s="1733">
        <f ca="1">'Revenues 9-14'!J5</f>
        <v>10896</v>
      </c>
      <c r="C11" s="574"/>
      <c r="D11" s="1736">
        <f t="shared" ca="1" si="0"/>
        <v>10896</v>
      </c>
      <c r="E11" s="574">
        <v>13996</v>
      </c>
      <c r="F11" s="1736">
        <f t="shared" si="1"/>
        <v>13996</v>
      </c>
    </row>
    <row r="12" spans="1:6" ht="13.7" customHeight="1" x14ac:dyDescent="0.2">
      <c r="A12" s="699" t="s">
        <v>157</v>
      </c>
      <c r="B12" s="1733">
        <f ca="1">'Revenues 9-14'!K5</f>
        <v>0</v>
      </c>
      <c r="C12" s="574"/>
      <c r="D12" s="1736">
        <f t="shared" ca="1" si="0"/>
        <v>0</v>
      </c>
      <c r="E12" s="574"/>
      <c r="F12" s="1736">
        <f t="shared" si="1"/>
        <v>0</v>
      </c>
    </row>
    <row r="13" spans="1:6" ht="13.7" customHeight="1" x14ac:dyDescent="0.2">
      <c r="A13" s="699" t="s">
        <v>936</v>
      </c>
      <c r="B13" s="1733">
        <f ca="1">SUM('Revenues 9-14'!C6:D6)</f>
        <v>0</v>
      </c>
      <c r="C13" s="574"/>
      <c r="D13" s="1736">
        <f t="shared" ca="1" si="0"/>
        <v>0</v>
      </c>
      <c r="E13" s="574"/>
      <c r="F13" s="1736">
        <f t="shared" si="1"/>
        <v>0</v>
      </c>
    </row>
    <row r="14" spans="1:6" ht="13.7" customHeight="1" x14ac:dyDescent="0.2">
      <c r="A14" s="699" t="s">
        <v>410</v>
      </c>
      <c r="B14" s="1733">
        <f ca="1">SUM('Revenues 9-14'!C7:D7,'Revenues 9-14'!F7:H7)</f>
        <v>29720</v>
      </c>
      <c r="C14" s="574"/>
      <c r="D14" s="1736">
        <f t="shared" ca="1" si="0"/>
        <v>29720</v>
      </c>
      <c r="E14" s="574">
        <v>31987</v>
      </c>
      <c r="F14" s="1736">
        <f t="shared" si="1"/>
        <v>31987</v>
      </c>
    </row>
    <row r="15" spans="1:6" ht="13.7" customHeight="1" x14ac:dyDescent="0.2">
      <c r="A15" s="699" t="s">
        <v>1158</v>
      </c>
      <c r="B15" s="1733">
        <f ca="1">SUM('Revenues 9-14'!D9:E9,'Revenues 9-14'!H9)</f>
        <v>0</v>
      </c>
      <c r="C15" s="574"/>
      <c r="D15" s="1736">
        <f t="shared" ca="1" si="0"/>
        <v>0</v>
      </c>
      <c r="E15" s="574"/>
      <c r="F15" s="1736">
        <f t="shared" si="1"/>
        <v>0</v>
      </c>
    </row>
    <row r="16" spans="1:6" ht="13.7" customHeight="1" x14ac:dyDescent="0.2">
      <c r="A16" s="699" t="s">
        <v>1159</v>
      </c>
      <c r="B16" s="1733">
        <f ca="1">'Revenues 9-14'!G8</f>
        <v>4956</v>
      </c>
      <c r="C16" s="574"/>
      <c r="D16" s="1736">
        <f t="shared" ca="1" si="0"/>
        <v>4956</v>
      </c>
      <c r="E16" s="574">
        <v>6998</v>
      </c>
      <c r="F16" s="1736">
        <f t="shared" si="1"/>
        <v>6998</v>
      </c>
    </row>
    <row r="17" spans="1:6" ht="13.7" customHeight="1" x14ac:dyDescent="0.2">
      <c r="A17" s="699" t="s">
        <v>1160</v>
      </c>
      <c r="B17" s="1733">
        <f ca="1">'Revenues 9-14'!C10</f>
        <v>0</v>
      </c>
      <c r="C17" s="574"/>
      <c r="D17" s="1736">
        <f t="shared" ca="1" si="0"/>
        <v>0</v>
      </c>
      <c r="E17" s="574"/>
      <c r="F17" s="1736">
        <f t="shared" si="1"/>
        <v>0</v>
      </c>
    </row>
    <row r="18" spans="1:6" ht="13.7" customHeight="1" x14ac:dyDescent="0.2">
      <c r="A18" s="699" t="s">
        <v>762</v>
      </c>
      <c r="B18" s="1733">
        <f ca="1">SUM('Revenues 9-14'!C11:K11)</f>
        <v>0</v>
      </c>
      <c r="C18" s="574"/>
      <c r="D18" s="1736">
        <f t="shared" ca="1" si="0"/>
        <v>0</v>
      </c>
      <c r="E18" s="574"/>
      <c r="F18" s="1736">
        <f t="shared" si="1"/>
        <v>0</v>
      </c>
    </row>
    <row r="19" spans="1:6" ht="13.7" customHeight="1" thickBot="1" x14ac:dyDescent="0.25">
      <c r="A19" s="1737" t="s">
        <v>1161</v>
      </c>
      <c r="B19" s="1734">
        <f ca="1">SUM(B4:B18)</f>
        <v>969080</v>
      </c>
      <c r="C19" s="1734">
        <f>SUM(C4:C18)</f>
        <v>0</v>
      </c>
      <c r="D19" s="1734">
        <f ca="1">SUM(D4:D18)</f>
        <v>969080</v>
      </c>
      <c r="E19" s="1734">
        <f>SUM(E4:E18)</f>
        <v>1017910</v>
      </c>
      <c r="F19" s="1734">
        <f>SUM(F4:F18)</f>
        <v>1017910</v>
      </c>
    </row>
    <row r="20" spans="1:6" ht="13.5" thickTop="1" x14ac:dyDescent="0.2">
      <c r="B20" s="697"/>
      <c r="F20" s="700"/>
    </row>
    <row r="21" spans="1:6" x14ac:dyDescent="0.2">
      <c r="A21" s="701" t="s">
        <v>1807</v>
      </c>
      <c r="B21" s="702"/>
      <c r="F21" s="700"/>
    </row>
    <row r="22" spans="1:6" x14ac:dyDescent="0.2">
      <c r="A22" s="703" t="s">
        <v>628</v>
      </c>
      <c r="B22" s="704"/>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20"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2" colorId="8" zoomScale="110" zoomScaleNormal="110" workbookViewId="0">
      <selection activeCell="B42" sqref="B42"/>
    </sheetView>
  </sheetViews>
  <sheetFormatPr defaultColWidth="9.140625" defaultRowHeight="12.75" x14ac:dyDescent="0.2"/>
  <cols>
    <col min="1" max="1" width="44" style="401" customWidth="1"/>
    <col min="2" max="2" width="12.140625" style="706" customWidth="1"/>
    <col min="3" max="5" width="16.7109375" style="706"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66" t="s">
        <v>629</v>
      </c>
      <c r="B1" s="2264"/>
      <c r="C1" s="705"/>
    </row>
    <row r="2" spans="1:7" ht="33.75" x14ac:dyDescent="0.2">
      <c r="A2" s="2271" t="s">
        <v>1801</v>
      </c>
      <c r="B2" s="2272"/>
      <c r="C2" s="1867" t="s">
        <v>1955</v>
      </c>
      <c r="D2" s="707" t="s">
        <v>1956</v>
      </c>
      <c r="E2" s="707" t="s">
        <v>1957</v>
      </c>
      <c r="F2" s="1867" t="s">
        <v>1958</v>
      </c>
    </row>
    <row r="3" spans="1:7" ht="15.75" customHeight="1" x14ac:dyDescent="0.2">
      <c r="A3" s="2273" t="s">
        <v>1114</v>
      </c>
      <c r="B3" s="2274"/>
      <c r="C3" s="2267"/>
      <c r="D3" s="2268"/>
      <c r="E3" s="2268"/>
      <c r="F3" s="2269"/>
    </row>
    <row r="4" spans="1:7" ht="12.75" customHeight="1" thickBot="1" x14ac:dyDescent="0.25">
      <c r="A4" s="2261" t="s">
        <v>630</v>
      </c>
      <c r="B4" s="2262"/>
      <c r="C4" s="571"/>
      <c r="D4" s="571"/>
      <c r="E4" s="571"/>
      <c r="F4" s="1738">
        <f>SUM(C4+D4)-E4</f>
        <v>0</v>
      </c>
    </row>
    <row r="5" spans="1:7" ht="15.75" customHeight="1" thickTop="1" x14ac:dyDescent="0.2">
      <c r="A5" s="2265" t="s">
        <v>1110</v>
      </c>
      <c r="B5" s="2260"/>
      <c r="C5" s="2254"/>
      <c r="D5" s="2255"/>
      <c r="E5" s="2255"/>
      <c r="F5" s="2256"/>
    </row>
    <row r="6" spans="1:7" ht="12.75" customHeight="1" thickBot="1" x14ac:dyDescent="0.25">
      <c r="A6" s="708" t="s">
        <v>64</v>
      </c>
      <c r="B6" s="709"/>
      <c r="C6" s="710"/>
      <c r="D6" s="574"/>
      <c r="E6" s="710"/>
      <c r="F6" s="1738">
        <f t="shared" ref="F6:F14" si="0">SUM(C6+D6)-E6</f>
        <v>0</v>
      </c>
    </row>
    <row r="7" spans="1:7" ht="12.75" customHeight="1" thickTop="1" thickBot="1" x14ac:dyDescent="0.25">
      <c r="A7" s="708" t="s">
        <v>6</v>
      </c>
      <c r="B7" s="709"/>
      <c r="C7" s="710"/>
      <c r="D7" s="574"/>
      <c r="E7" s="710"/>
      <c r="F7" s="1738">
        <f t="shared" si="0"/>
        <v>0</v>
      </c>
    </row>
    <row r="8" spans="1:7" ht="12.75" customHeight="1" thickTop="1" thickBot="1" x14ac:dyDescent="0.25">
      <c r="A8" s="708" t="s">
        <v>508</v>
      </c>
      <c r="B8" s="709"/>
      <c r="C8" s="710"/>
      <c r="D8" s="574"/>
      <c r="E8" s="710"/>
      <c r="F8" s="1738">
        <f t="shared" si="0"/>
        <v>0</v>
      </c>
    </row>
    <row r="9" spans="1:7" ht="12.75" customHeight="1" thickTop="1" thickBot="1" x14ac:dyDescent="0.25">
      <c r="A9" s="708" t="s">
        <v>509</v>
      </c>
      <c r="B9" s="709"/>
      <c r="C9" s="710"/>
      <c r="D9" s="574"/>
      <c r="E9" s="710"/>
      <c r="F9" s="1738">
        <f t="shared" si="0"/>
        <v>0</v>
      </c>
    </row>
    <row r="10" spans="1:7" ht="12.75" customHeight="1" thickTop="1" thickBot="1" x14ac:dyDescent="0.25">
      <c r="A10" s="708" t="s">
        <v>510</v>
      </c>
      <c r="B10" s="709"/>
      <c r="C10" s="710"/>
      <c r="D10" s="574"/>
      <c r="E10" s="710"/>
      <c r="F10" s="1738">
        <f t="shared" si="0"/>
        <v>0</v>
      </c>
    </row>
    <row r="11" spans="1:7" ht="12.75" customHeight="1" thickTop="1" thickBot="1" x14ac:dyDescent="0.25">
      <c r="A11" s="708" t="s">
        <v>341</v>
      </c>
      <c r="B11" s="709"/>
      <c r="C11" s="710"/>
      <c r="D11" s="574"/>
      <c r="E11" s="710"/>
      <c r="F11" s="1738">
        <f t="shared" si="0"/>
        <v>0</v>
      </c>
    </row>
    <row r="12" spans="1:7" ht="12.75" customHeight="1" thickTop="1" thickBot="1" x14ac:dyDescent="0.25">
      <c r="A12" s="708" t="s">
        <v>1157</v>
      </c>
      <c r="B12" s="709"/>
      <c r="C12" s="710"/>
      <c r="D12" s="574"/>
      <c r="E12" s="710"/>
      <c r="F12" s="1738">
        <f t="shared" si="0"/>
        <v>0</v>
      </c>
    </row>
    <row r="13" spans="1:7" ht="12.75" customHeight="1" thickTop="1" thickBot="1" x14ac:dyDescent="0.25">
      <c r="A13" s="708" t="s">
        <v>388</v>
      </c>
      <c r="B13" s="709"/>
      <c r="C13" s="710"/>
      <c r="D13" s="574"/>
      <c r="E13" s="710"/>
      <c r="F13" s="1738">
        <f t="shared" si="0"/>
        <v>0</v>
      </c>
    </row>
    <row r="14" spans="1:7" ht="12.75" customHeight="1" thickTop="1" thickBot="1" x14ac:dyDescent="0.25">
      <c r="A14" s="708" t="s">
        <v>448</v>
      </c>
      <c r="B14" s="709"/>
      <c r="C14" s="710"/>
      <c r="D14" s="574"/>
      <c r="E14" s="710"/>
      <c r="F14" s="1738">
        <f t="shared" si="0"/>
        <v>0</v>
      </c>
    </row>
    <row r="15" spans="1:7" ht="14.25" thickTop="1" thickBot="1" x14ac:dyDescent="0.25">
      <c r="A15" s="2257" t="s">
        <v>631</v>
      </c>
      <c r="B15" s="2258"/>
      <c r="C15" s="1738">
        <f>SUM(C6:C14)</f>
        <v>0</v>
      </c>
      <c r="D15" s="1738">
        <f>SUM(D6:D14)</f>
        <v>0</v>
      </c>
      <c r="E15" s="1738">
        <f>SUM(E6:E14)</f>
        <v>0</v>
      </c>
      <c r="F15" s="1738">
        <f>SUM(F6:F14)</f>
        <v>0</v>
      </c>
      <c r="G15" s="547"/>
    </row>
    <row r="16" spans="1:7" s="202" customFormat="1" ht="15.75" customHeight="1" thickTop="1" x14ac:dyDescent="0.2">
      <c r="A16" s="2270" t="s">
        <v>1111</v>
      </c>
      <c r="B16" s="2260"/>
      <c r="C16" s="2254"/>
      <c r="D16" s="2255"/>
      <c r="E16" s="2255"/>
      <c r="F16" s="2256"/>
    </row>
    <row r="17" spans="1:11" ht="12.75" customHeight="1" thickBot="1" x14ac:dyDescent="0.25">
      <c r="A17" s="2252" t="s">
        <v>64</v>
      </c>
      <c r="B17" s="2253"/>
      <c r="C17" s="710"/>
      <c r="D17" s="574"/>
      <c r="E17" s="710"/>
      <c r="F17" s="1738">
        <f>SUM(C17+D17)-E17</f>
        <v>0</v>
      </c>
    </row>
    <row r="18" spans="1:11" ht="12.75" customHeight="1" thickTop="1" thickBot="1" x14ac:dyDescent="0.25">
      <c r="A18" s="2252" t="s">
        <v>6</v>
      </c>
      <c r="B18" s="2253"/>
      <c r="C18" s="710"/>
      <c r="D18" s="574"/>
      <c r="E18" s="710"/>
      <c r="F18" s="1738">
        <f>SUM(C18+D18)-E18</f>
        <v>0</v>
      </c>
    </row>
    <row r="19" spans="1:11" ht="12.75" customHeight="1" thickTop="1" thickBot="1" x14ac:dyDescent="0.25">
      <c r="A19" s="2252" t="s">
        <v>388</v>
      </c>
      <c r="B19" s="2253"/>
      <c r="C19" s="710"/>
      <c r="D19" s="574"/>
      <c r="E19" s="710"/>
      <c r="F19" s="1738">
        <f>SUM(C19+D19)-E19</f>
        <v>0</v>
      </c>
    </row>
    <row r="20" spans="1:11" ht="12.75" customHeight="1" thickTop="1" thickBot="1" x14ac:dyDescent="0.25">
      <c r="A20" s="2252" t="s">
        <v>448</v>
      </c>
      <c r="B20" s="2253"/>
      <c r="C20" s="710"/>
      <c r="D20" s="574"/>
      <c r="E20" s="710"/>
      <c r="F20" s="1738">
        <f>SUM(C20+D20)-E20</f>
        <v>0</v>
      </c>
    </row>
    <row r="21" spans="1:11" ht="14.25" thickTop="1" thickBot="1" x14ac:dyDescent="0.25">
      <c r="A21" s="2257" t="s">
        <v>632</v>
      </c>
      <c r="B21" s="2258"/>
      <c r="C21" s="1738">
        <f>SUM(C17:C20)</f>
        <v>0</v>
      </c>
      <c r="D21" s="1738">
        <f>SUM(D17:D20)</f>
        <v>0</v>
      </c>
      <c r="E21" s="1738">
        <f>SUM(E17:E20)</f>
        <v>0</v>
      </c>
      <c r="F21" s="1738">
        <f>SUM(F17:F20)</f>
        <v>0</v>
      </c>
      <c r="G21" s="547"/>
    </row>
    <row r="22" spans="1:11" ht="15.75" customHeight="1" thickTop="1" x14ac:dyDescent="0.2">
      <c r="A22" s="2259" t="s">
        <v>1112</v>
      </c>
      <c r="B22" s="2260"/>
      <c r="C22" s="2254"/>
      <c r="D22" s="2255"/>
      <c r="E22" s="2255"/>
      <c r="F22" s="2256"/>
    </row>
    <row r="23" spans="1:11" ht="13.5" thickBot="1" x14ac:dyDescent="0.25">
      <c r="A23" s="2261" t="s">
        <v>633</v>
      </c>
      <c r="B23" s="2262"/>
      <c r="C23" s="571"/>
      <c r="D23" s="571"/>
      <c r="E23" s="571"/>
      <c r="F23" s="1738">
        <f>SUM(C23+D23)-E23</f>
        <v>0</v>
      </c>
      <c r="G23" s="547"/>
    </row>
    <row r="24" spans="1:11" ht="15.75" customHeight="1" thickTop="1" x14ac:dyDescent="0.2">
      <c r="A24" s="2259" t="s">
        <v>1113</v>
      </c>
      <c r="B24" s="2260"/>
      <c r="C24" s="2254"/>
      <c r="D24" s="2255"/>
      <c r="E24" s="2255"/>
      <c r="F24" s="2256"/>
    </row>
    <row r="25" spans="1:11" ht="13.5" thickBot="1" x14ac:dyDescent="0.25">
      <c r="A25" s="2261" t="s">
        <v>634</v>
      </c>
      <c r="B25" s="2262"/>
      <c r="C25" s="571"/>
      <c r="D25" s="571"/>
      <c r="E25" s="571"/>
      <c r="F25" s="1738">
        <f>SUM(C25+D25)-E25</f>
        <v>0</v>
      </c>
      <c r="G25" s="547"/>
    </row>
    <row r="26" spans="1:11" ht="15.75" customHeight="1" thickTop="1" x14ac:dyDescent="0.2">
      <c r="A26" s="2265" t="s">
        <v>657</v>
      </c>
      <c r="B26" s="2260"/>
      <c r="C26" s="711"/>
      <c r="D26" s="711"/>
      <c r="E26" s="711"/>
      <c r="F26" s="712"/>
    </row>
    <row r="27" spans="1:11" ht="13.5" thickBot="1" x14ac:dyDescent="0.25">
      <c r="A27" s="2257" t="s">
        <v>1070</v>
      </c>
      <c r="B27" s="2258"/>
      <c r="C27" s="574"/>
      <c r="D27" s="574"/>
      <c r="E27" s="574"/>
      <c r="F27" s="1738">
        <f>SUM(C27+D27)-E27</f>
        <v>0</v>
      </c>
      <c r="G27" s="547"/>
    </row>
    <row r="28" spans="1:11" ht="7.5" customHeight="1" thickTop="1" x14ac:dyDescent="0.2">
      <c r="A28" s="579"/>
    </row>
    <row r="29" spans="1:11" ht="23.25" customHeight="1" x14ac:dyDescent="0.2">
      <c r="A29" s="2263" t="s">
        <v>582</v>
      </c>
      <c r="B29" s="2264"/>
      <c r="C29" s="713"/>
      <c r="D29" s="713"/>
      <c r="E29" s="713"/>
      <c r="F29" s="713"/>
      <c r="G29" s="713"/>
      <c r="H29" s="713"/>
      <c r="I29" s="713"/>
      <c r="J29" s="713"/>
    </row>
    <row r="30" spans="1:11" ht="33.75" x14ac:dyDescent="0.2">
      <c r="A30" s="1512" t="s">
        <v>1071</v>
      </c>
      <c r="B30" s="714" t="s">
        <v>1124</v>
      </c>
      <c r="C30" s="1868" t="s">
        <v>583</v>
      </c>
      <c r="D30" s="1868" t="s">
        <v>1673</v>
      </c>
      <c r="E30" s="1868" t="s">
        <v>1959</v>
      </c>
      <c r="F30" s="1868" t="s">
        <v>1960</v>
      </c>
      <c r="G30" s="1868" t="s">
        <v>1910</v>
      </c>
      <c r="H30" s="1868" t="s">
        <v>1961</v>
      </c>
      <c r="I30" s="1868" t="s">
        <v>1962</v>
      </c>
      <c r="J30" s="1869" t="s">
        <v>2</v>
      </c>
      <c r="K30" s="715"/>
    </row>
    <row r="31" spans="1:11" ht="12" customHeight="1" x14ac:dyDescent="0.2">
      <c r="A31" s="716" t="s">
        <v>3051</v>
      </c>
      <c r="B31" s="717">
        <v>43312</v>
      </c>
      <c r="C31" s="718">
        <v>51555</v>
      </c>
      <c r="D31" s="719">
        <v>7</v>
      </c>
      <c r="E31" s="718"/>
      <c r="F31" s="718"/>
      <c r="G31" s="718">
        <v>43865</v>
      </c>
      <c r="H31" s="718"/>
      <c r="I31" s="1739">
        <f>((E31+F31)-H31)+G31</f>
        <v>43865</v>
      </c>
      <c r="J31" s="718">
        <v>43865</v>
      </c>
      <c r="K31" s="720"/>
    </row>
    <row r="32" spans="1:11" ht="12" customHeight="1" x14ac:dyDescent="0.2">
      <c r="A32" s="716"/>
      <c r="B32" s="717"/>
      <c r="C32" s="718"/>
      <c r="D32" s="719"/>
      <c r="E32" s="718"/>
      <c r="F32" s="718"/>
      <c r="G32" s="718"/>
      <c r="H32" s="718"/>
      <c r="I32" s="1739">
        <f>((E32+F32)-H32)+G32</f>
        <v>0</v>
      </c>
      <c r="J32" s="718"/>
      <c r="K32" s="720"/>
    </row>
    <row r="33" spans="1:11" ht="12" customHeight="1" x14ac:dyDescent="0.2">
      <c r="A33" s="716"/>
      <c r="B33" s="717"/>
      <c r="C33" s="718"/>
      <c r="D33" s="719"/>
      <c r="E33" s="718"/>
      <c r="F33" s="718"/>
      <c r="G33" s="718"/>
      <c r="H33" s="718"/>
      <c r="I33" s="1739">
        <f t="shared" ref="I33:I48" si="1">((E33+F33)-H33)+G33</f>
        <v>0</v>
      </c>
      <c r="J33" s="718"/>
      <c r="K33" s="720"/>
    </row>
    <row r="34" spans="1:11" ht="12" customHeight="1" x14ac:dyDescent="0.2">
      <c r="A34" s="716"/>
      <c r="B34" s="717"/>
      <c r="C34" s="718"/>
      <c r="D34" s="719"/>
      <c r="E34" s="718"/>
      <c r="F34" s="718"/>
      <c r="G34" s="718"/>
      <c r="H34" s="718"/>
      <c r="I34" s="1739">
        <f t="shared" si="1"/>
        <v>0</v>
      </c>
      <c r="J34" s="718"/>
      <c r="K34" s="721"/>
    </row>
    <row r="35" spans="1:11" ht="12" customHeight="1" x14ac:dyDescent="0.2">
      <c r="A35" s="716"/>
      <c r="B35" s="717"/>
      <c r="C35" s="722"/>
      <c r="D35" s="719"/>
      <c r="E35" s="722"/>
      <c r="F35" s="722"/>
      <c r="G35" s="722"/>
      <c r="H35" s="722"/>
      <c r="I35" s="1739">
        <f t="shared" si="1"/>
        <v>0</v>
      </c>
      <c r="J35" s="722"/>
      <c r="K35" s="721"/>
    </row>
    <row r="36" spans="1:11" ht="12" customHeight="1" x14ac:dyDescent="0.2">
      <c r="A36" s="716"/>
      <c r="B36" s="717"/>
      <c r="C36" s="718"/>
      <c r="D36" s="719"/>
      <c r="E36" s="718"/>
      <c r="F36" s="718"/>
      <c r="G36" s="718"/>
      <c r="H36" s="718"/>
      <c r="I36" s="1739">
        <f t="shared" si="1"/>
        <v>0</v>
      </c>
      <c r="J36" s="718"/>
      <c r="K36" s="723"/>
    </row>
    <row r="37" spans="1:11" ht="12" customHeight="1" x14ac:dyDescent="0.2">
      <c r="A37" s="716"/>
      <c r="B37" s="717"/>
      <c r="C37" s="467"/>
      <c r="D37" s="724"/>
      <c r="E37" s="467"/>
      <c r="F37" s="467"/>
      <c r="G37" s="467"/>
      <c r="H37" s="467"/>
      <c r="I37" s="1739">
        <f t="shared" si="1"/>
        <v>0</v>
      </c>
      <c r="J37" s="467"/>
      <c r="K37" s="721"/>
    </row>
    <row r="38" spans="1:11" ht="12" customHeight="1" x14ac:dyDescent="0.2">
      <c r="A38" s="716"/>
      <c r="B38" s="717"/>
      <c r="C38" s="718"/>
      <c r="D38" s="725"/>
      <c r="E38" s="726"/>
      <c r="F38" s="726"/>
      <c r="G38" s="726"/>
      <c r="H38" s="726"/>
      <c r="I38" s="1739">
        <f t="shared" si="1"/>
        <v>0</v>
      </c>
      <c r="J38" s="727" t="s">
        <v>264</v>
      </c>
      <c r="K38" s="728"/>
    </row>
    <row r="39" spans="1:11" ht="12" customHeight="1" x14ac:dyDescent="0.2">
      <c r="A39" s="716"/>
      <c r="B39" s="717"/>
      <c r="C39" s="718"/>
      <c r="D39" s="725"/>
      <c r="E39" s="726"/>
      <c r="F39" s="726"/>
      <c r="G39" s="726"/>
      <c r="H39" s="726"/>
      <c r="I39" s="1739">
        <f t="shared" si="1"/>
        <v>0</v>
      </c>
      <c r="J39" s="727"/>
      <c r="K39" s="728"/>
    </row>
    <row r="40" spans="1:11" ht="12" customHeight="1" x14ac:dyDescent="0.2">
      <c r="A40" s="716"/>
      <c r="B40" s="717"/>
      <c r="C40" s="718"/>
      <c r="D40" s="725"/>
      <c r="E40" s="726"/>
      <c r="F40" s="726"/>
      <c r="G40" s="726"/>
      <c r="H40" s="726"/>
      <c r="I40" s="1739">
        <f t="shared" si="1"/>
        <v>0</v>
      </c>
      <c r="J40" s="727"/>
      <c r="K40" s="728"/>
    </row>
    <row r="41" spans="1:11" ht="12" customHeight="1" x14ac:dyDescent="0.2">
      <c r="A41" s="716"/>
      <c r="B41" s="717"/>
      <c r="C41" s="718"/>
      <c r="D41" s="725"/>
      <c r="E41" s="726"/>
      <c r="F41" s="726"/>
      <c r="G41" s="726"/>
      <c r="H41" s="726"/>
      <c r="I41" s="1739">
        <f t="shared" si="1"/>
        <v>0</v>
      </c>
      <c r="J41" s="727"/>
      <c r="K41" s="728"/>
    </row>
    <row r="42" spans="1:11" ht="12" customHeight="1" x14ac:dyDescent="0.2">
      <c r="A42" s="716"/>
      <c r="B42" s="717"/>
      <c r="C42" s="718"/>
      <c r="D42" s="725"/>
      <c r="E42" s="726"/>
      <c r="F42" s="726"/>
      <c r="G42" s="726"/>
      <c r="H42" s="726"/>
      <c r="I42" s="1739">
        <f t="shared" si="1"/>
        <v>0</v>
      </c>
      <c r="J42" s="727"/>
      <c r="K42" s="728"/>
    </row>
    <row r="43" spans="1:11" ht="12" customHeight="1" x14ac:dyDescent="0.2">
      <c r="A43" s="716"/>
      <c r="B43" s="717"/>
      <c r="C43" s="718"/>
      <c r="D43" s="725"/>
      <c r="E43" s="726"/>
      <c r="F43" s="726"/>
      <c r="G43" s="726"/>
      <c r="H43" s="726"/>
      <c r="I43" s="1739">
        <f t="shared" si="1"/>
        <v>0</v>
      </c>
      <c r="J43" s="727"/>
      <c r="K43" s="728"/>
    </row>
    <row r="44" spans="1:11" ht="12" customHeight="1" x14ac:dyDescent="0.2">
      <c r="A44" s="716"/>
      <c r="B44" s="717"/>
      <c r="C44" s="718"/>
      <c r="D44" s="719"/>
      <c r="E44" s="718"/>
      <c r="F44" s="718"/>
      <c r="G44" s="718"/>
      <c r="H44" s="718"/>
      <c r="I44" s="1739">
        <f t="shared" si="1"/>
        <v>0</v>
      </c>
      <c r="J44" s="718"/>
      <c r="K44" s="721"/>
    </row>
    <row r="45" spans="1:11" ht="12" customHeight="1" x14ac:dyDescent="0.2">
      <c r="A45" s="716"/>
      <c r="B45" s="717"/>
      <c r="C45" s="718"/>
      <c r="D45" s="719"/>
      <c r="E45" s="718"/>
      <c r="F45" s="718"/>
      <c r="G45" s="718"/>
      <c r="H45" s="718"/>
      <c r="I45" s="1739">
        <f t="shared" si="1"/>
        <v>0</v>
      </c>
      <c r="J45" s="718"/>
      <c r="K45" s="721"/>
    </row>
    <row r="46" spans="1:11" ht="12" customHeight="1" x14ac:dyDescent="0.2">
      <c r="A46" s="716"/>
      <c r="B46" s="717"/>
      <c r="C46" s="718"/>
      <c r="D46" s="719"/>
      <c r="E46" s="718"/>
      <c r="F46" s="718"/>
      <c r="G46" s="718"/>
      <c r="H46" s="718"/>
      <c r="I46" s="1739">
        <f t="shared" si="1"/>
        <v>0</v>
      </c>
      <c r="J46" s="718"/>
      <c r="K46" s="721"/>
    </row>
    <row r="47" spans="1:11" ht="12" customHeight="1" x14ac:dyDescent="0.2">
      <c r="A47" s="716"/>
      <c r="B47" s="717"/>
      <c r="C47" s="722"/>
      <c r="D47" s="719"/>
      <c r="E47" s="722"/>
      <c r="F47" s="722"/>
      <c r="G47" s="722"/>
      <c r="H47" s="722"/>
      <c r="I47" s="1739">
        <f t="shared" si="1"/>
        <v>0</v>
      </c>
      <c r="J47" s="722"/>
      <c r="K47" s="721"/>
    </row>
    <row r="48" spans="1:11" ht="12" customHeight="1" x14ac:dyDescent="0.2">
      <c r="A48" s="716"/>
      <c r="B48" s="717"/>
      <c r="C48" s="718"/>
      <c r="D48" s="719"/>
      <c r="E48" s="718"/>
      <c r="F48" s="718"/>
      <c r="G48" s="718"/>
      <c r="H48" s="718"/>
      <c r="I48" s="1739">
        <f t="shared" si="1"/>
        <v>0</v>
      </c>
      <c r="J48" s="718"/>
      <c r="K48" s="721"/>
    </row>
    <row r="49" spans="1:11" ht="12" customHeight="1" x14ac:dyDescent="0.2">
      <c r="A49" s="716"/>
      <c r="B49" s="717"/>
      <c r="C49" s="1739">
        <f>SUM(C31:C48)</f>
        <v>51555</v>
      </c>
      <c r="D49" s="729"/>
      <c r="E49" s="1739">
        <f t="shared" ref="E49:J49" si="2">SUM(E31:E48)</f>
        <v>0</v>
      </c>
      <c r="F49" s="1739">
        <f t="shared" si="2"/>
        <v>0</v>
      </c>
      <c r="G49" s="1739">
        <f t="shared" si="2"/>
        <v>43865</v>
      </c>
      <c r="H49" s="1739">
        <f t="shared" si="2"/>
        <v>0</v>
      </c>
      <c r="I49" s="1739">
        <f t="shared" si="2"/>
        <v>43865</v>
      </c>
      <c r="J49" s="1739">
        <f t="shared" si="2"/>
        <v>43865</v>
      </c>
      <c r="K49" s="721"/>
    </row>
    <row r="50" spans="1:11" ht="6" customHeight="1" x14ac:dyDescent="0.2">
      <c r="A50" s="730"/>
      <c r="B50" s="720"/>
      <c r="C50" s="720"/>
      <c r="D50" s="720"/>
      <c r="E50" s="720"/>
      <c r="F50" s="720"/>
      <c r="G50" s="720"/>
      <c r="H50" s="720"/>
      <c r="I50" s="720"/>
      <c r="J50" s="730"/>
    </row>
    <row r="51" spans="1:11" x14ac:dyDescent="0.2">
      <c r="A51" s="731" t="s">
        <v>1806</v>
      </c>
      <c r="B51" s="730"/>
      <c r="C51" s="721"/>
      <c r="D51" s="721"/>
      <c r="E51" s="721"/>
      <c r="F51" s="721"/>
      <c r="G51" s="721"/>
      <c r="H51" s="720"/>
      <c r="I51" s="720"/>
      <c r="J51" s="730"/>
    </row>
    <row r="52" spans="1:11" ht="11.25" customHeight="1" x14ac:dyDescent="0.2">
      <c r="A52" s="732" t="s">
        <v>912</v>
      </c>
      <c r="B52" s="2246" t="s">
        <v>584</v>
      </c>
      <c r="C52" s="2247"/>
      <c r="D52" s="2247"/>
      <c r="E52" s="733" t="s">
        <v>845</v>
      </c>
      <c r="F52" s="2248" t="s">
        <v>3051</v>
      </c>
      <c r="G52" s="2249"/>
      <c r="H52" s="720"/>
      <c r="I52" s="720"/>
      <c r="J52" s="730"/>
    </row>
    <row r="53" spans="1:11" ht="11.25" customHeight="1" x14ac:dyDescent="0.2">
      <c r="A53" s="734" t="s">
        <v>913</v>
      </c>
      <c r="B53" s="735" t="s">
        <v>951</v>
      </c>
      <c r="C53" s="730"/>
      <c r="D53" s="721"/>
      <c r="E53" s="733" t="s">
        <v>497</v>
      </c>
      <c r="F53" s="2250"/>
      <c r="G53" s="2251"/>
      <c r="H53" s="720"/>
      <c r="I53" s="720"/>
      <c r="J53" s="730"/>
    </row>
    <row r="54" spans="1:11" ht="11.25" customHeight="1" x14ac:dyDescent="0.2">
      <c r="A54" s="736" t="s">
        <v>914</v>
      </c>
      <c r="B54" s="731" t="s">
        <v>952</v>
      </c>
      <c r="C54" s="730"/>
      <c r="D54" s="721"/>
      <c r="E54" s="733" t="s">
        <v>498</v>
      </c>
      <c r="F54" s="2250"/>
      <c r="G54" s="2251"/>
      <c r="H54" s="720"/>
      <c r="I54" s="720"/>
      <c r="J54" s="730"/>
    </row>
    <row r="55" spans="1:11" ht="6" customHeight="1" x14ac:dyDescent="0.2">
      <c r="A55" s="721"/>
      <c r="B55" s="737"/>
      <c r="C55" s="738"/>
      <c r="D55" s="739"/>
      <c r="E55" s="740"/>
      <c r="F55" s="741"/>
      <c r="G55" s="730"/>
      <c r="H55" s="720"/>
      <c r="I55" s="720"/>
      <c r="J55" s="730"/>
    </row>
    <row r="56" spans="1:11" ht="11.25" customHeight="1" x14ac:dyDescent="0.2">
      <c r="A56" s="737"/>
      <c r="B56" s="742"/>
      <c r="C56" s="721"/>
      <c r="D56" s="721"/>
      <c r="E56" s="721"/>
      <c r="F56" s="721"/>
      <c r="G56" s="720"/>
      <c r="H56" s="720"/>
      <c r="I56" s="720"/>
      <c r="J56" s="730"/>
    </row>
    <row r="57" spans="1:11" ht="11.25" customHeight="1" x14ac:dyDescent="0.2">
      <c r="A57" s="721"/>
      <c r="B57" s="743"/>
      <c r="C57" s="721"/>
      <c r="D57" s="721"/>
      <c r="E57" s="721"/>
      <c r="F57" s="721"/>
      <c r="G57" s="720"/>
      <c r="H57" s="720"/>
      <c r="I57" s="720"/>
      <c r="J57" s="730"/>
    </row>
    <row r="58" spans="1:11" ht="11.25" customHeight="1" x14ac:dyDescent="0.2">
      <c r="A58" s="737"/>
      <c r="B58" s="742"/>
      <c r="C58" s="721"/>
      <c r="D58" s="721"/>
      <c r="E58" s="721"/>
      <c r="F58" s="721"/>
      <c r="G58" s="720"/>
      <c r="H58" s="720"/>
      <c r="I58" s="720"/>
      <c r="J58" s="730"/>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20"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75" t="s">
        <v>856</v>
      </c>
      <c r="B1" s="2276"/>
      <c r="C1" s="2276"/>
      <c r="D1" s="2276"/>
      <c r="E1" s="2276"/>
      <c r="F1" s="2276"/>
      <c r="G1" s="2277"/>
      <c r="H1" s="1513"/>
      <c r="I1" s="744"/>
      <c r="J1" s="433"/>
    </row>
    <row r="2" spans="1:11" ht="26.25" x14ac:dyDescent="0.2">
      <c r="A2" s="2294" t="s">
        <v>1677</v>
      </c>
      <c r="B2" s="2295"/>
      <c r="C2" s="2295"/>
      <c r="D2" s="2295"/>
      <c r="E2" s="2296"/>
      <c r="F2" s="745" t="s">
        <v>904</v>
      </c>
      <c r="G2" s="746" t="s">
        <v>1674</v>
      </c>
      <c r="H2" s="746" t="s">
        <v>410</v>
      </c>
      <c r="I2" s="746" t="s">
        <v>1158</v>
      </c>
      <c r="J2" s="746" t="s">
        <v>1811</v>
      </c>
      <c r="K2" s="746" t="s">
        <v>138</v>
      </c>
    </row>
    <row r="3" spans="1:11" x14ac:dyDescent="0.2">
      <c r="A3" s="2297" t="s">
        <v>1963</v>
      </c>
      <c r="B3" s="2298"/>
      <c r="C3" s="2298"/>
      <c r="D3" s="2298"/>
      <c r="E3" s="2299"/>
      <c r="F3" s="747"/>
      <c r="G3" s="748"/>
      <c r="H3" s="748"/>
      <c r="I3" s="748"/>
      <c r="J3" s="749"/>
      <c r="K3" s="749"/>
    </row>
    <row r="4" spans="1:11" x14ac:dyDescent="0.2">
      <c r="A4" s="2300" t="s">
        <v>369</v>
      </c>
      <c r="B4" s="2301"/>
      <c r="C4" s="2301"/>
      <c r="D4" s="2301"/>
      <c r="E4" s="2247"/>
      <c r="F4" s="750"/>
      <c r="G4" s="751"/>
      <c r="H4" s="752"/>
      <c r="I4" s="751"/>
      <c r="J4" s="753"/>
      <c r="K4" s="753"/>
    </row>
    <row r="5" spans="1:11" x14ac:dyDescent="0.2">
      <c r="A5" s="2278" t="s">
        <v>1069</v>
      </c>
      <c r="B5" s="2279"/>
      <c r="C5" s="2279"/>
      <c r="D5" s="2279"/>
      <c r="E5" s="2280"/>
      <c r="F5" s="754" t="s">
        <v>848</v>
      </c>
      <c r="G5" s="755"/>
      <c r="H5" s="748">
        <f ca="1">'Tax Sched 23'!D14</f>
        <v>29720</v>
      </c>
      <c r="I5" s="756"/>
      <c r="J5" s="757"/>
      <c r="K5" s="757"/>
    </row>
    <row r="6" spans="1:11" x14ac:dyDescent="0.2">
      <c r="A6" s="758" t="s">
        <v>720</v>
      </c>
      <c r="B6" s="759"/>
      <c r="C6" s="759"/>
      <c r="D6" s="759"/>
      <c r="E6" s="760"/>
      <c r="F6" s="761" t="s">
        <v>849</v>
      </c>
      <c r="G6" s="748"/>
      <c r="H6" s="748"/>
      <c r="I6" s="748"/>
      <c r="J6" s="749"/>
      <c r="K6" s="749"/>
    </row>
    <row r="7" spans="1:11" x14ac:dyDescent="0.2">
      <c r="A7" s="762" t="s">
        <v>246</v>
      </c>
      <c r="B7" s="763"/>
      <c r="C7" s="763"/>
      <c r="D7" s="763"/>
      <c r="E7" s="764"/>
      <c r="F7" s="754" t="s">
        <v>850</v>
      </c>
      <c r="G7" s="751"/>
      <c r="H7" s="751"/>
      <c r="I7" s="751"/>
      <c r="J7" s="765"/>
      <c r="K7" s="749"/>
    </row>
    <row r="8" spans="1:11" x14ac:dyDescent="0.2">
      <c r="A8" s="762" t="s">
        <v>345</v>
      </c>
      <c r="B8" s="763"/>
      <c r="C8" s="763"/>
      <c r="D8" s="763"/>
      <c r="E8" s="764"/>
      <c r="F8" s="754" t="s">
        <v>851</v>
      </c>
      <c r="G8" s="766"/>
      <c r="H8" s="766"/>
      <c r="I8" s="766"/>
      <c r="J8" s="749"/>
      <c r="K8" s="753"/>
    </row>
    <row r="9" spans="1:11" x14ac:dyDescent="0.2">
      <c r="A9" s="762" t="s">
        <v>138</v>
      </c>
      <c r="B9" s="763"/>
      <c r="C9" s="763"/>
      <c r="D9" s="763"/>
      <c r="E9" s="764"/>
      <c r="F9" s="761" t="s">
        <v>853</v>
      </c>
      <c r="G9" s="766"/>
      <c r="H9" s="755"/>
      <c r="I9" s="755"/>
      <c r="J9" s="765"/>
      <c r="K9" s="749"/>
    </row>
    <row r="10" spans="1:11" x14ac:dyDescent="0.2">
      <c r="A10" s="2278" t="s">
        <v>1812</v>
      </c>
      <c r="B10" s="2279"/>
      <c r="C10" s="2279"/>
      <c r="D10" s="2279"/>
      <c r="E10" s="2281"/>
      <c r="F10" s="767" t="s">
        <v>862</v>
      </c>
      <c r="G10" s="766"/>
      <c r="H10" s="768"/>
      <c r="I10" s="748"/>
      <c r="J10" s="749"/>
      <c r="K10" s="749"/>
    </row>
    <row r="11" spans="1:11" x14ac:dyDescent="0.2">
      <c r="A11" s="2278" t="s">
        <v>160</v>
      </c>
      <c r="B11" s="2279"/>
      <c r="C11" s="2279"/>
      <c r="D11" s="2279"/>
      <c r="E11" s="2280"/>
      <c r="F11" s="754" t="s">
        <v>852</v>
      </c>
      <c r="G11" s="755"/>
      <c r="H11" s="748"/>
      <c r="I11" s="748"/>
      <c r="J11" s="749"/>
      <c r="K11" s="757"/>
    </row>
    <row r="12" spans="1:11" ht="13.5" thickBot="1" x14ac:dyDescent="0.25">
      <c r="A12" s="2305" t="s">
        <v>905</v>
      </c>
      <c r="B12" s="2306"/>
      <c r="C12" s="2306"/>
      <c r="D12" s="2306"/>
      <c r="E12" s="2307"/>
      <c r="F12" s="1740"/>
      <c r="G12" s="1741">
        <f>SUM(G5:G11)</f>
        <v>0</v>
      </c>
      <c r="H12" s="1741">
        <f ca="1">SUM(H5:H11)</f>
        <v>29720</v>
      </c>
      <c r="I12" s="1741">
        <f>SUM(I5:I11)</f>
        <v>0</v>
      </c>
      <c r="J12" s="1741">
        <f>SUM(J5:J11)</f>
        <v>0</v>
      </c>
      <c r="K12" s="1741">
        <f>SUM(K5:K11)</f>
        <v>0</v>
      </c>
    </row>
    <row r="13" spans="1:11" ht="13.5" thickTop="1" x14ac:dyDescent="0.2">
      <c r="A13" s="2302" t="s">
        <v>370</v>
      </c>
      <c r="B13" s="2303"/>
      <c r="C13" s="2303"/>
      <c r="D13" s="2303"/>
      <c r="E13" s="2304"/>
      <c r="F13" s="769"/>
      <c r="G13" s="770"/>
      <c r="H13" s="771"/>
      <c r="I13" s="772"/>
      <c r="J13" s="772"/>
      <c r="K13" s="772"/>
    </row>
    <row r="14" spans="1:11" x14ac:dyDescent="0.2">
      <c r="A14" s="2285" t="s">
        <v>456</v>
      </c>
      <c r="B14" s="2285"/>
      <c r="C14" s="2285"/>
      <c r="D14" s="2285"/>
      <c r="E14" s="2286"/>
      <c r="F14" s="773" t="s">
        <v>854</v>
      </c>
      <c r="G14" s="766"/>
      <c r="H14" s="748">
        <f ca="1">H12</f>
        <v>29720</v>
      </c>
      <c r="I14" s="755"/>
      <c r="J14" s="757"/>
      <c r="K14" s="749"/>
    </row>
    <row r="15" spans="1:11" x14ac:dyDescent="0.2">
      <c r="A15" s="2279" t="s">
        <v>4</v>
      </c>
      <c r="B15" s="2279"/>
      <c r="C15" s="2279"/>
      <c r="D15" s="2279"/>
      <c r="E15" s="2280"/>
      <c r="F15" s="773" t="s">
        <v>855</v>
      </c>
      <c r="G15" s="755"/>
      <c r="H15" s="748"/>
      <c r="I15" s="748"/>
      <c r="J15" s="749"/>
      <c r="K15" s="749"/>
    </row>
    <row r="16" spans="1:11" x14ac:dyDescent="0.2">
      <c r="A16" s="2279" t="s">
        <v>298</v>
      </c>
      <c r="B16" s="2279"/>
      <c r="C16" s="2279"/>
      <c r="D16" s="2279"/>
      <c r="E16" s="2280"/>
      <c r="F16" s="773" t="s">
        <v>923</v>
      </c>
      <c r="G16" s="756"/>
      <c r="H16" s="751"/>
      <c r="I16" s="751"/>
      <c r="J16" s="753"/>
      <c r="K16" s="753"/>
    </row>
    <row r="17" spans="1:11" x14ac:dyDescent="0.2">
      <c r="A17" s="2310" t="s">
        <v>935</v>
      </c>
      <c r="B17" s="2310"/>
      <c r="C17" s="2310"/>
      <c r="D17" s="2310"/>
      <c r="E17" s="2311"/>
      <c r="F17" s="774"/>
      <c r="G17" s="775"/>
      <c r="H17" s="776"/>
      <c r="I17" s="776"/>
      <c r="J17" s="777"/>
      <c r="K17" s="778"/>
    </row>
    <row r="18" spans="1:11" x14ac:dyDescent="0.2">
      <c r="A18" s="2289" t="s">
        <v>368</v>
      </c>
      <c r="B18" s="2290"/>
      <c r="C18" s="2290"/>
      <c r="D18" s="2290"/>
      <c r="E18" s="2291"/>
      <c r="F18" s="773" t="s">
        <v>932</v>
      </c>
      <c r="G18" s="766"/>
      <c r="H18" s="766"/>
      <c r="I18" s="766"/>
      <c r="J18" s="749"/>
      <c r="K18" s="779"/>
    </row>
    <row r="19" spans="1:11" ht="21.75" customHeight="1" x14ac:dyDescent="0.2">
      <c r="A19" s="2287" t="s">
        <v>1808</v>
      </c>
      <c r="B19" s="2287"/>
      <c r="C19" s="2287"/>
      <c r="D19" s="2287"/>
      <c r="E19" s="2288"/>
      <c r="F19" s="773" t="s">
        <v>933</v>
      </c>
      <c r="G19" s="766"/>
      <c r="H19" s="766"/>
      <c r="I19" s="766"/>
      <c r="J19" s="749"/>
      <c r="K19" s="779"/>
    </row>
    <row r="20" spans="1:11" x14ac:dyDescent="0.2">
      <c r="A20" s="2289" t="s">
        <v>1813</v>
      </c>
      <c r="B20" s="2290"/>
      <c r="C20" s="2290"/>
      <c r="D20" s="2290"/>
      <c r="E20" s="2291"/>
      <c r="F20" s="773" t="s">
        <v>934</v>
      </c>
      <c r="G20" s="766"/>
      <c r="H20" s="766"/>
      <c r="I20" s="766"/>
      <c r="J20" s="749"/>
      <c r="K20" s="779"/>
    </row>
    <row r="21" spans="1:11" ht="13.5" thickBot="1" x14ac:dyDescent="0.25">
      <c r="A21" s="2308" t="s">
        <v>638</v>
      </c>
      <c r="B21" s="2308"/>
      <c r="C21" s="2308"/>
      <c r="D21" s="2308"/>
      <c r="E21" s="2308"/>
      <c r="F21" s="1742"/>
      <c r="G21" s="776"/>
      <c r="H21" s="780"/>
      <c r="I21" s="780"/>
      <c r="J21" s="1743">
        <f>SUM(J18:J20)</f>
        <v>0</v>
      </c>
      <c r="K21" s="777"/>
    </row>
    <row r="22" spans="1:11" ht="13.5" thickTop="1" x14ac:dyDescent="0.2">
      <c r="A22" s="2279" t="s">
        <v>1814</v>
      </c>
      <c r="B22" s="2279"/>
      <c r="C22" s="2279"/>
      <c r="D22" s="2279"/>
      <c r="E22" s="2280"/>
      <c r="F22" s="773" t="s">
        <v>862</v>
      </c>
      <c r="G22" s="766"/>
      <c r="H22" s="748"/>
      <c r="I22" s="748"/>
      <c r="J22" s="781"/>
      <c r="K22" s="749"/>
    </row>
    <row r="23" spans="1:11" ht="13.5" thickBot="1" x14ac:dyDescent="0.25">
      <c r="A23" s="2309" t="s">
        <v>906</v>
      </c>
      <c r="B23" s="2308"/>
      <c r="C23" s="2308"/>
      <c r="D23" s="2308"/>
      <c r="E23" s="2308"/>
      <c r="F23" s="1744"/>
      <c r="G23" s="1741">
        <f>SUM(G14:G16,G21,G22)</f>
        <v>0</v>
      </c>
      <c r="H23" s="1741">
        <f ca="1">SUM(H14:H16,H21,H22)</f>
        <v>29720</v>
      </c>
      <c r="I23" s="1741">
        <f>SUM(I14:I16,I21,I22)</f>
        <v>0</v>
      </c>
      <c r="J23" s="1741">
        <f>SUM(J14:J16,J21,J22)</f>
        <v>0</v>
      </c>
      <c r="K23" s="1741">
        <f>SUM(K14:K16,K21,K22)</f>
        <v>0</v>
      </c>
    </row>
    <row r="24" spans="1:11" ht="14.25" thickTop="1" thickBot="1" x14ac:dyDescent="0.25">
      <c r="A24" s="2309" t="s">
        <v>1964</v>
      </c>
      <c r="B24" s="2308"/>
      <c r="C24" s="2308"/>
      <c r="D24" s="2308"/>
      <c r="E24" s="2308"/>
      <c r="F24" s="1745"/>
      <c r="G24" s="1746">
        <f>SUM(G3,G12)-G23</f>
        <v>0</v>
      </c>
      <c r="H24" s="1746">
        <f ca="1">SUM(H3,H12)-H23</f>
        <v>0</v>
      </c>
      <c r="I24" s="1746">
        <f>SUM(I3,I12)-I23</f>
        <v>0</v>
      </c>
      <c r="J24" s="1746">
        <f>SUM(J3,J12)-J23</f>
        <v>0</v>
      </c>
      <c r="K24" s="1746">
        <f>SUM(K3,K12)-K23</f>
        <v>0</v>
      </c>
    </row>
    <row r="25" spans="1:11" ht="13.5" thickTop="1" x14ac:dyDescent="0.2">
      <c r="A25" s="782" t="s">
        <v>420</v>
      </c>
      <c r="B25" s="783"/>
      <c r="C25" s="783"/>
      <c r="D25" s="783"/>
      <c r="E25" s="784"/>
      <c r="F25" s="785">
        <v>714</v>
      </c>
      <c r="G25" s="786"/>
      <c r="H25" s="786"/>
      <c r="I25" s="786"/>
      <c r="J25" s="781"/>
      <c r="K25" s="781"/>
    </row>
    <row r="26" spans="1:11" ht="13.5" thickBot="1" x14ac:dyDescent="0.25">
      <c r="A26" s="782" t="s">
        <v>342</v>
      </c>
      <c r="B26" s="783"/>
      <c r="C26" s="783"/>
      <c r="D26" s="783"/>
      <c r="E26" s="784"/>
      <c r="F26" s="785">
        <v>730</v>
      </c>
      <c r="G26" s="1741">
        <f>G24-G25</f>
        <v>0</v>
      </c>
      <c r="H26" s="1741">
        <f ca="1">H24-H25</f>
        <v>0</v>
      </c>
      <c r="I26" s="1741">
        <f>I24-I25</f>
        <v>0</v>
      </c>
      <c r="J26" s="1741">
        <f>J24-J25</f>
        <v>0</v>
      </c>
      <c r="K26" s="1741">
        <f>K24-K25</f>
        <v>0</v>
      </c>
    </row>
    <row r="27" spans="1:11" ht="5.25" customHeight="1" thickTop="1" x14ac:dyDescent="0.2">
      <c r="I27" s="202"/>
      <c r="J27" s="202"/>
    </row>
    <row r="28" spans="1:11" ht="29.25" customHeight="1" x14ac:dyDescent="0.2">
      <c r="A28" s="1863" t="s">
        <v>1909</v>
      </c>
      <c r="B28" s="1864"/>
      <c r="C28" s="1864"/>
      <c r="D28" s="1864"/>
      <c r="E28" s="1865"/>
      <c r="F28" s="787"/>
      <c r="G28" s="788"/>
    </row>
    <row r="29" spans="1:11" x14ac:dyDescent="0.2">
      <c r="B29" s="498"/>
      <c r="C29" s="498"/>
      <c r="D29" s="498"/>
      <c r="F29" s="202"/>
      <c r="G29" s="789"/>
    </row>
    <row r="30" spans="1:11" x14ac:dyDescent="0.2">
      <c r="A30" s="790" t="s">
        <v>572</v>
      </c>
      <c r="B30" s="791"/>
      <c r="C30" s="790" t="s">
        <v>383</v>
      </c>
      <c r="D30" s="791"/>
      <c r="E30" s="792" t="s">
        <v>768</v>
      </c>
      <c r="F30" s="202"/>
      <c r="G30" s="789"/>
    </row>
    <row r="31" spans="1:11" x14ac:dyDescent="0.2">
      <c r="A31" s="793"/>
      <c r="D31" s="237"/>
      <c r="E31" s="794" t="s">
        <v>769</v>
      </c>
      <c r="F31" s="795" t="s">
        <v>539</v>
      </c>
      <c r="G31" s="748"/>
      <c r="H31" s="2282"/>
      <c r="I31" s="2283"/>
      <c r="J31" s="2283"/>
      <c r="K31" s="2283"/>
    </row>
    <row r="32" spans="1:11" x14ac:dyDescent="0.2">
      <c r="A32" s="793"/>
      <c r="B32" s="237"/>
      <c r="C32" s="237"/>
      <c r="D32" s="237"/>
      <c r="E32" s="789"/>
      <c r="F32" s="795" t="s">
        <v>540</v>
      </c>
      <c r="G32" s="748"/>
      <c r="H32" s="2284"/>
      <c r="I32" s="2283"/>
      <c r="J32" s="2283"/>
      <c r="K32" s="2283"/>
    </row>
    <row r="33" spans="1:11" ht="1.5" customHeight="1" x14ac:dyDescent="0.2">
      <c r="A33" s="796" t="s">
        <v>1169</v>
      </c>
      <c r="B33" s="364"/>
      <c r="C33" s="364"/>
      <c r="D33" s="364"/>
      <c r="E33" s="364"/>
      <c r="F33" s="364"/>
      <c r="G33" s="797"/>
      <c r="H33" s="2284"/>
      <c r="I33" s="2283"/>
      <c r="J33" s="2283"/>
      <c r="K33" s="2283"/>
    </row>
    <row r="34" spans="1:11" x14ac:dyDescent="0.2">
      <c r="A34" s="798" t="s">
        <v>1815</v>
      </c>
      <c r="B34" s="364"/>
      <c r="C34" s="364"/>
      <c r="D34" s="364"/>
      <c r="E34" s="364"/>
      <c r="F34" s="364"/>
      <c r="G34" s="797"/>
    </row>
    <row r="35" spans="1:11" ht="15" x14ac:dyDescent="0.2">
      <c r="A35" s="809" t="s">
        <v>907</v>
      </c>
      <c r="B35" s="799"/>
      <c r="C35" s="799"/>
      <c r="D35" s="799"/>
      <c r="E35" s="799"/>
      <c r="F35" s="799"/>
      <c r="G35" s="800"/>
      <c r="H35" s="801"/>
    </row>
    <row r="36" spans="1:11" x14ac:dyDescent="0.2">
      <c r="A36" s="762" t="s">
        <v>1109</v>
      </c>
      <c r="B36" s="802"/>
      <c r="C36" s="802"/>
      <c r="D36" s="802"/>
      <c r="E36" s="802"/>
      <c r="F36" s="803"/>
      <c r="G36" s="749"/>
    </row>
    <row r="37" spans="1:11" x14ac:dyDescent="0.2">
      <c r="A37" s="804" t="s">
        <v>896</v>
      </c>
      <c r="B37" s="802"/>
      <c r="C37" s="802"/>
      <c r="D37" s="802"/>
      <c r="E37" s="802"/>
      <c r="F37" s="803"/>
      <c r="G37" s="749"/>
    </row>
    <row r="38" spans="1:11" x14ac:dyDescent="0.2">
      <c r="A38" s="804" t="s">
        <v>993</v>
      </c>
      <c r="B38" s="802"/>
      <c r="C38" s="802"/>
      <c r="D38" s="802"/>
      <c r="E38" s="802"/>
      <c r="F38" s="803"/>
      <c r="G38" s="749"/>
    </row>
    <row r="39" spans="1:11" x14ac:dyDescent="0.2">
      <c r="A39" s="804" t="s">
        <v>994</v>
      </c>
      <c r="B39" s="802"/>
      <c r="C39" s="802"/>
      <c r="D39" s="802"/>
      <c r="E39" s="802"/>
      <c r="F39" s="803"/>
      <c r="G39" s="749"/>
    </row>
    <row r="40" spans="1:11" x14ac:dyDescent="0.2">
      <c r="A40" s="804" t="s">
        <v>995</v>
      </c>
      <c r="B40" s="802"/>
      <c r="C40" s="802"/>
      <c r="D40" s="802"/>
      <c r="E40" s="802"/>
      <c r="F40" s="803"/>
      <c r="G40" s="749"/>
    </row>
    <row r="41" spans="1:11" x14ac:dyDescent="0.2">
      <c r="A41" s="2279" t="s">
        <v>541</v>
      </c>
      <c r="B41" s="2292"/>
      <c r="C41" s="2292"/>
      <c r="D41" s="2292"/>
      <c r="E41" s="2292"/>
      <c r="F41" s="2293"/>
      <c r="G41" s="749"/>
    </row>
    <row r="42" spans="1:11" x14ac:dyDescent="0.2">
      <c r="A42" s="804" t="s">
        <v>970</v>
      </c>
      <c r="B42" s="802"/>
      <c r="C42" s="802"/>
      <c r="D42" s="802"/>
      <c r="E42" s="802"/>
      <c r="F42" s="803"/>
      <c r="G42" s="749"/>
    </row>
    <row r="43" spans="1:11" x14ac:dyDescent="0.2">
      <c r="A43" s="804" t="s">
        <v>971</v>
      </c>
      <c r="B43" s="802"/>
      <c r="C43" s="802"/>
      <c r="D43" s="802"/>
      <c r="E43" s="802"/>
      <c r="F43" s="803"/>
      <c r="G43" s="749"/>
    </row>
    <row r="44" spans="1:11" x14ac:dyDescent="0.2">
      <c r="A44" s="804" t="s">
        <v>972</v>
      </c>
      <c r="B44" s="802"/>
      <c r="C44" s="802"/>
      <c r="D44" s="802"/>
      <c r="E44" s="802"/>
      <c r="F44" s="803"/>
      <c r="G44" s="749"/>
    </row>
    <row r="45" spans="1:11" ht="6.75" customHeight="1" x14ac:dyDescent="0.2"/>
    <row r="46" spans="1:11" ht="15" x14ac:dyDescent="0.2">
      <c r="A46" s="1514" t="s">
        <v>1809</v>
      </c>
      <c r="B46" s="408" t="s">
        <v>1675</v>
      </c>
    </row>
    <row r="47" spans="1:11" s="807" customFormat="1" ht="12.75" customHeight="1" x14ac:dyDescent="0.2">
      <c r="A47" s="805"/>
      <c r="B47" s="806" t="s">
        <v>1676</v>
      </c>
      <c r="E47" s="806"/>
      <c r="K47" s="808"/>
    </row>
    <row r="48" spans="1:11" ht="12.75" customHeight="1" x14ac:dyDescent="0.2">
      <c r="A48" s="1515" t="s">
        <v>1810</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20"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D20" sqref="D20"/>
    </sheetView>
  </sheetViews>
  <sheetFormatPr defaultColWidth="9.140625" defaultRowHeight="12.75" x14ac:dyDescent="0.2"/>
  <cols>
    <col min="1" max="1" width="28.85546875" style="792"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14" t="s">
        <v>1908</v>
      </c>
      <c r="B1" s="2315"/>
      <c r="C1" s="2316"/>
      <c r="D1" s="810"/>
      <c r="E1" s="811"/>
      <c r="F1" s="811"/>
      <c r="G1" s="812"/>
      <c r="H1" s="813"/>
      <c r="I1" s="814"/>
      <c r="J1" s="2312"/>
      <c r="K1" s="2313"/>
      <c r="L1" s="2313"/>
    </row>
    <row r="2" spans="1:14" ht="69.75" customHeight="1" x14ac:dyDescent="0.2">
      <c r="A2" s="815" t="s">
        <v>1678</v>
      </c>
      <c r="B2" s="816" t="s">
        <v>378</v>
      </c>
      <c r="C2" s="817" t="s">
        <v>1965</v>
      </c>
      <c r="D2" s="817" t="s">
        <v>1966</v>
      </c>
      <c r="E2" s="817" t="s">
        <v>1967</v>
      </c>
      <c r="F2" s="817" t="s">
        <v>1968</v>
      </c>
      <c r="G2" s="817" t="s">
        <v>605</v>
      </c>
      <c r="H2" s="817" t="s">
        <v>1969</v>
      </c>
      <c r="I2" s="817" t="s">
        <v>1970</v>
      </c>
      <c r="J2" s="817" t="s">
        <v>1971</v>
      </c>
      <c r="K2" s="817" t="s">
        <v>1972</v>
      </c>
      <c r="L2" s="817" t="s">
        <v>1973</v>
      </c>
      <c r="M2" s="818"/>
      <c r="N2" s="818"/>
    </row>
    <row r="3" spans="1:14" ht="13.5" thickBot="1" x14ac:dyDescent="0.25">
      <c r="A3" s="1612" t="s">
        <v>892</v>
      </c>
      <c r="B3" s="1613">
        <v>210</v>
      </c>
      <c r="C3" s="819">
        <v>0</v>
      </c>
      <c r="D3" s="819"/>
      <c r="E3" s="819"/>
      <c r="F3" s="1743">
        <f>(C3+D3)-E3</f>
        <v>0</v>
      </c>
      <c r="G3" s="820"/>
      <c r="H3" s="819">
        <v>0</v>
      </c>
      <c r="I3" s="819"/>
      <c r="J3" s="819"/>
      <c r="K3" s="1752">
        <f>(H3+I3)-J3</f>
        <v>0</v>
      </c>
      <c r="L3" s="1752">
        <f>F3-K3</f>
        <v>0</v>
      </c>
      <c r="M3" s="818"/>
      <c r="N3" s="818"/>
    </row>
    <row r="4" spans="1:14" ht="15" customHeight="1" thickTop="1" x14ac:dyDescent="0.2">
      <c r="A4" s="1614" t="s">
        <v>158</v>
      </c>
      <c r="B4" s="1613">
        <v>220</v>
      </c>
      <c r="C4" s="765"/>
      <c r="D4" s="765"/>
      <c r="E4" s="765"/>
      <c r="F4" s="757"/>
      <c r="G4" s="821"/>
      <c r="H4" s="822"/>
      <c r="I4" s="822"/>
      <c r="J4" s="822"/>
      <c r="K4" s="823"/>
      <c r="L4" s="757"/>
    </row>
    <row r="5" spans="1:14" ht="13.5" thickBot="1" x14ac:dyDescent="0.25">
      <c r="A5" s="762" t="s">
        <v>893</v>
      </c>
      <c r="B5" s="824">
        <v>221</v>
      </c>
      <c r="C5" s="825">
        <v>166496</v>
      </c>
      <c r="D5" s="825"/>
      <c r="E5" s="825"/>
      <c r="F5" s="1743">
        <f>(C5+D5)-E5</f>
        <v>166496</v>
      </c>
      <c r="G5" s="821"/>
      <c r="H5" s="826"/>
      <c r="I5" s="826"/>
      <c r="J5" s="826"/>
      <c r="K5" s="777"/>
      <c r="L5" s="1752">
        <f>F5-K5</f>
        <v>166496</v>
      </c>
    </row>
    <row r="6" spans="1:14" ht="14.25" thickTop="1" thickBot="1" x14ac:dyDescent="0.25">
      <c r="A6" s="762" t="s">
        <v>1117</v>
      </c>
      <c r="B6" s="824">
        <v>222</v>
      </c>
      <c r="C6" s="749">
        <v>0</v>
      </c>
      <c r="D6" s="749"/>
      <c r="E6" s="749"/>
      <c r="F6" s="1743">
        <f>(C6+D6)-E6</f>
        <v>0</v>
      </c>
      <c r="G6" s="821">
        <v>50</v>
      </c>
      <c r="H6" s="749">
        <v>0</v>
      </c>
      <c r="I6" s="749"/>
      <c r="J6" s="749"/>
      <c r="K6" s="1752">
        <f>(H6+I6)-J6</f>
        <v>0</v>
      </c>
      <c r="L6" s="1752">
        <f>F6-K6</f>
        <v>0</v>
      </c>
    </row>
    <row r="7" spans="1:14" ht="15" customHeight="1" thickTop="1" x14ac:dyDescent="0.2">
      <c r="A7" s="1614" t="s">
        <v>159</v>
      </c>
      <c r="B7" s="1613">
        <v>230</v>
      </c>
      <c r="C7" s="765"/>
      <c r="D7" s="765"/>
      <c r="E7" s="765"/>
      <c r="F7" s="757"/>
      <c r="G7" s="827"/>
      <c r="H7" s="765"/>
      <c r="I7" s="765"/>
      <c r="J7" s="765"/>
      <c r="K7" s="757"/>
      <c r="L7" s="757"/>
    </row>
    <row r="8" spans="1:14" ht="13.5" thickBot="1" x14ac:dyDescent="0.25">
      <c r="A8" s="762" t="s">
        <v>1118</v>
      </c>
      <c r="B8" s="824">
        <v>231</v>
      </c>
      <c r="C8" s="828">
        <v>3127323</v>
      </c>
      <c r="D8" s="828">
        <v>18147</v>
      </c>
      <c r="E8" s="828"/>
      <c r="F8" s="1743">
        <f>(C8+D8)-E8</f>
        <v>3145470</v>
      </c>
      <c r="G8" s="827">
        <v>50</v>
      </c>
      <c r="H8" s="749">
        <v>1077038</v>
      </c>
      <c r="I8" s="749">
        <v>54346</v>
      </c>
      <c r="J8" s="749"/>
      <c r="K8" s="1752">
        <f>(H8+I8)-J8</f>
        <v>1131384</v>
      </c>
      <c r="L8" s="1752">
        <f>F8-K8</f>
        <v>2014086</v>
      </c>
    </row>
    <row r="9" spans="1:14" ht="14.25" thickTop="1" thickBot="1" x14ac:dyDescent="0.25">
      <c r="A9" s="762" t="s">
        <v>1119</v>
      </c>
      <c r="B9" s="824">
        <v>232</v>
      </c>
      <c r="C9" s="749">
        <v>0</v>
      </c>
      <c r="D9" s="749"/>
      <c r="E9" s="749"/>
      <c r="F9" s="1743">
        <f>(C9+D9)-E9</f>
        <v>0</v>
      </c>
      <c r="G9" s="827">
        <v>20</v>
      </c>
      <c r="H9" s="749">
        <v>0</v>
      </c>
      <c r="I9" s="749"/>
      <c r="J9" s="749"/>
      <c r="K9" s="1752">
        <f>(H9+I9)-J9</f>
        <v>0</v>
      </c>
      <c r="L9" s="1752">
        <f>F9-K9</f>
        <v>0</v>
      </c>
    </row>
    <row r="10" spans="1:14" ht="24" thickTop="1" thickBot="1" x14ac:dyDescent="0.25">
      <c r="A10" s="829" t="s">
        <v>1120</v>
      </c>
      <c r="B10" s="824">
        <v>240</v>
      </c>
      <c r="C10" s="830">
        <v>74490</v>
      </c>
      <c r="D10" s="830">
        <v>24250</v>
      </c>
      <c r="E10" s="830"/>
      <c r="F10" s="1747">
        <f>(C10+D10)-E10</f>
        <v>98740</v>
      </c>
      <c r="G10" s="827">
        <v>20</v>
      </c>
      <c r="H10" s="831">
        <v>53791</v>
      </c>
      <c r="I10" s="831">
        <v>4012</v>
      </c>
      <c r="J10" s="831"/>
      <c r="K10" s="1752">
        <f>(H10+I10)-J10</f>
        <v>57803</v>
      </c>
      <c r="L10" s="1752">
        <f>F10-K10</f>
        <v>40937</v>
      </c>
    </row>
    <row r="11" spans="1:14" ht="13.5" thickTop="1" x14ac:dyDescent="0.2">
      <c r="A11" s="1615" t="s">
        <v>1136</v>
      </c>
      <c r="B11" s="1613">
        <v>250</v>
      </c>
      <c r="C11" s="765"/>
      <c r="D11" s="765"/>
      <c r="E11" s="765"/>
      <c r="F11" s="757"/>
      <c r="G11" s="827"/>
      <c r="H11" s="765"/>
      <c r="I11" s="765"/>
      <c r="J11" s="765"/>
      <c r="K11" s="757"/>
      <c r="L11" s="757"/>
    </row>
    <row r="12" spans="1:14" ht="13.5" thickBot="1" x14ac:dyDescent="0.25">
      <c r="A12" s="832" t="s">
        <v>1121</v>
      </c>
      <c r="B12" s="824">
        <v>251</v>
      </c>
      <c r="C12" s="828">
        <v>264610</v>
      </c>
      <c r="D12" s="828">
        <v>32415</v>
      </c>
      <c r="E12" s="828">
        <v>17076</v>
      </c>
      <c r="F12" s="1743">
        <f>(C12+D12)-E12</f>
        <v>279949</v>
      </c>
      <c r="G12" s="827">
        <v>10</v>
      </c>
      <c r="H12" s="749">
        <v>113525</v>
      </c>
      <c r="I12" s="749">
        <v>27995</v>
      </c>
      <c r="J12" s="749">
        <v>17076</v>
      </c>
      <c r="K12" s="1752">
        <f>(H12+I12)-J12</f>
        <v>124444</v>
      </c>
      <c r="L12" s="1752">
        <f>F12-K12</f>
        <v>155505</v>
      </c>
    </row>
    <row r="13" spans="1:14" ht="14.25" thickTop="1" thickBot="1" x14ac:dyDescent="0.25">
      <c r="A13" s="832" t="s">
        <v>1122</v>
      </c>
      <c r="B13" s="824">
        <v>252</v>
      </c>
      <c r="C13" s="828">
        <v>19630</v>
      </c>
      <c r="D13" s="828">
        <v>51555</v>
      </c>
      <c r="E13" s="828"/>
      <c r="F13" s="1743">
        <f>(C13+D13)-E13</f>
        <v>71185</v>
      </c>
      <c r="G13" s="827">
        <v>5</v>
      </c>
      <c r="H13" s="749">
        <v>11778</v>
      </c>
      <c r="I13" s="749">
        <v>14237</v>
      </c>
      <c r="J13" s="749"/>
      <c r="K13" s="1752">
        <f>(H13+I13)-J13</f>
        <v>26015</v>
      </c>
      <c r="L13" s="1752">
        <f>F13-K13</f>
        <v>45170</v>
      </c>
    </row>
    <row r="14" spans="1:14" ht="14.25" thickTop="1" thickBot="1" x14ac:dyDescent="0.25">
      <c r="A14" s="832" t="s">
        <v>1123</v>
      </c>
      <c r="B14" s="824">
        <v>253</v>
      </c>
      <c r="C14" s="749">
        <v>0</v>
      </c>
      <c r="D14" s="749"/>
      <c r="E14" s="749"/>
      <c r="F14" s="1743">
        <f>(C14+D14)-E14</f>
        <v>0</v>
      </c>
      <c r="G14" s="827">
        <v>3</v>
      </c>
      <c r="H14" s="749">
        <v>0</v>
      </c>
      <c r="I14" s="749"/>
      <c r="J14" s="749"/>
      <c r="K14" s="1752">
        <f>(H14+I14)-J14</f>
        <v>0</v>
      </c>
      <c r="L14" s="1752">
        <f>F14-K14</f>
        <v>0</v>
      </c>
    </row>
    <row r="15" spans="1:14" ht="15" customHeight="1" thickTop="1" thickBot="1" x14ac:dyDescent="0.25">
      <c r="A15" s="1614" t="s">
        <v>528</v>
      </c>
      <c r="B15" s="1613">
        <v>260</v>
      </c>
      <c r="C15" s="828">
        <v>0</v>
      </c>
      <c r="D15" s="828"/>
      <c r="E15" s="828"/>
      <c r="F15" s="1743">
        <f>(C15+D15)-E15</f>
        <v>0</v>
      </c>
      <c r="G15" s="833" t="s">
        <v>862</v>
      </c>
      <c r="H15" s="765"/>
      <c r="I15" s="765"/>
      <c r="J15" s="765"/>
      <c r="K15" s="765"/>
      <c r="L15" s="1752">
        <f>F15-K15</f>
        <v>0</v>
      </c>
    </row>
    <row r="16" spans="1:14" ht="15" customHeight="1" thickTop="1" thickBot="1" x14ac:dyDescent="0.25">
      <c r="A16" s="1748" t="s">
        <v>643</v>
      </c>
      <c r="B16" s="1749">
        <v>200</v>
      </c>
      <c r="C16" s="1743">
        <f>SUM(C3,C5:C6,C8:C10,C12:C15)</f>
        <v>3652549</v>
      </c>
      <c r="D16" s="1743">
        <f>SUM(D3,D5:D6,D8:D10,D12:D15)</f>
        <v>126367</v>
      </c>
      <c r="E16" s="1743">
        <f>SUM(E3,E5:E6,E8:E10,E12:E15)</f>
        <v>17076</v>
      </c>
      <c r="F16" s="1743">
        <f>SUM(F3,F5:F6,F8:F10,F12:F15)</f>
        <v>3761840</v>
      </c>
      <c r="G16" s="827"/>
      <c r="H16" s="1743">
        <f>SUM(H3,H6,H8:H10,H12:H14,)</f>
        <v>1256132</v>
      </c>
      <c r="I16" s="1743">
        <f>SUM(I3,I6,I8:I10,I12:I14,)</f>
        <v>100590</v>
      </c>
      <c r="J16" s="1743">
        <f>SUM(J3,J6,J8:J10,J12:J14,)</f>
        <v>17076</v>
      </c>
      <c r="K16" s="1743">
        <f>(H16+I16)-J16</f>
        <v>1339646</v>
      </c>
      <c r="L16" s="1743">
        <f>F16-K16</f>
        <v>2422194</v>
      </c>
    </row>
    <row r="17" spans="1:12" ht="15" customHeight="1" thickTop="1" thickBot="1" x14ac:dyDescent="0.25">
      <c r="A17" s="1616" t="s">
        <v>291</v>
      </c>
      <c r="B17" s="1613">
        <v>700</v>
      </c>
      <c r="C17" s="753"/>
      <c r="D17" s="753"/>
      <c r="E17" s="753"/>
      <c r="F17" s="1743">
        <f ca="1">SUM('Expenditures 15-22'!I114,'Expenditures 15-22'!I151,'Expenditures 15-22'!I210,'Expenditures 15-22'!I312,'Expenditures 15-22'!I342,'Expenditures 15-22'!I367)</f>
        <v>0</v>
      </c>
      <c r="G17" s="821">
        <v>10</v>
      </c>
      <c r="H17" s="753"/>
      <c r="I17" s="1752">
        <f ca="1">F17/G17</f>
        <v>0</v>
      </c>
      <c r="J17" s="753"/>
      <c r="K17" s="779"/>
      <c r="L17" s="779"/>
    </row>
    <row r="18" spans="1:12" ht="14.25" thickTop="1" thickBot="1" x14ac:dyDescent="0.25">
      <c r="A18" s="1750" t="s">
        <v>685</v>
      </c>
      <c r="B18" s="1751"/>
      <c r="C18" s="755"/>
      <c r="D18" s="755"/>
      <c r="E18" s="755"/>
      <c r="F18" s="834"/>
      <c r="G18" s="835"/>
      <c r="H18" s="757"/>
      <c r="I18" s="1743">
        <f ca="1">SUM(I16,I17)</f>
        <v>100590</v>
      </c>
      <c r="J18" s="757"/>
      <c r="K18" s="757"/>
      <c r="L18" s="757"/>
    </row>
    <row r="19" spans="1:12" ht="12" customHeight="1" thickTop="1" x14ac:dyDescent="0.2">
      <c r="F19" s="500"/>
      <c r="L19" s="500"/>
    </row>
    <row r="20" spans="1:12" ht="12" customHeight="1" x14ac:dyDescent="0.2">
      <c r="A20" s="836"/>
      <c r="B20" s="498"/>
      <c r="F20" s="500"/>
      <c r="L20" s="500"/>
    </row>
    <row r="21" spans="1:12" ht="12" customHeight="1" x14ac:dyDescent="0.2">
      <c r="B21" s="498"/>
      <c r="F21" s="500"/>
      <c r="L21" s="500"/>
    </row>
    <row r="22" spans="1:12" ht="12" customHeight="1" x14ac:dyDescent="0.2">
      <c r="B22" s="498"/>
      <c r="F22" s="500"/>
      <c r="L22" s="500"/>
    </row>
    <row r="23" spans="1:12" ht="12" customHeight="1" x14ac:dyDescent="0.2">
      <c r="A23" s="837"/>
      <c r="B23" s="498"/>
      <c r="F23" s="500"/>
      <c r="L23" s="500"/>
    </row>
    <row r="24" spans="1:12" ht="12" customHeight="1" x14ac:dyDescent="0.2">
      <c r="B24" s="498"/>
      <c r="F24" s="500"/>
      <c r="L24" s="500"/>
    </row>
    <row r="25" spans="1:12" x14ac:dyDescent="0.2">
      <c r="F25" s="500"/>
      <c r="L25" s="500"/>
    </row>
    <row r="26" spans="1:12" ht="10.9" customHeight="1" x14ac:dyDescent="0.2">
      <c r="A26" s="838"/>
      <c r="B26" s="247"/>
      <c r="D26" s="347"/>
    </row>
    <row r="27" spans="1:12" x14ac:dyDescent="0.2">
      <c r="A27" s="838"/>
      <c r="B27" s="247"/>
      <c r="D27" s="347"/>
    </row>
  </sheetData>
  <sheetProtection password="F60E" sheet="1" objects="1" scenarios="1"/>
  <mergeCells count="2">
    <mergeCell ref="J1:L1"/>
    <mergeCell ref="A1:C1"/>
  </mergeCells>
  <phoneticPr fontId="20"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60" activePane="bottomLeft" state="frozen"/>
      <selection activeCell="A47" sqref="A47"/>
      <selection pane="bottomLeft" activeCell="E181" sqref="E181"/>
    </sheetView>
  </sheetViews>
  <sheetFormatPr defaultColWidth="8.7109375" defaultRowHeight="11.25" x14ac:dyDescent="0.2"/>
  <cols>
    <col min="1" max="1" width="22.140625" style="840" customWidth="1"/>
    <col min="2" max="2" width="31.85546875" style="840" customWidth="1"/>
    <col min="3" max="3" width="6.7109375" style="847" customWidth="1"/>
    <col min="4" max="4" width="55.7109375" style="840" customWidth="1"/>
    <col min="5" max="5" width="3.140625" style="847" customWidth="1"/>
    <col min="6" max="6" width="17.42578125" style="840" customWidth="1"/>
    <col min="7" max="7" width="0.85546875" style="840" customWidth="1"/>
    <col min="8" max="8" width="2.28515625" style="840" customWidth="1"/>
    <col min="9" max="16384" width="8.7109375" style="840"/>
  </cols>
  <sheetData>
    <row r="1" spans="1:7" ht="19.5" customHeight="1" thickTop="1" x14ac:dyDescent="0.2">
      <c r="A1" s="2320" t="s">
        <v>1974</v>
      </c>
      <c r="B1" s="2321"/>
      <c r="C1" s="2321"/>
      <c r="D1" s="2321"/>
      <c r="E1" s="2321"/>
      <c r="F1" s="2322"/>
      <c r="G1" s="839"/>
    </row>
    <row r="2" spans="1:7" ht="15" customHeight="1" thickBot="1" x14ac:dyDescent="0.25">
      <c r="A2" s="2323" t="s">
        <v>477</v>
      </c>
      <c r="B2" s="2324"/>
      <c r="C2" s="2324"/>
      <c r="D2" s="2324"/>
      <c r="E2" s="2324"/>
      <c r="F2" s="2325"/>
      <c r="G2" s="841"/>
    </row>
    <row r="3" spans="1:7" ht="5.25" customHeight="1" thickTop="1" x14ac:dyDescent="0.2">
      <c r="A3" s="842"/>
      <c r="B3" s="843"/>
      <c r="C3" s="844"/>
      <c r="D3" s="843"/>
      <c r="E3" s="844"/>
      <c r="F3" s="843"/>
      <c r="G3" s="843"/>
    </row>
    <row r="4" spans="1:7" ht="12.2" customHeight="1" x14ac:dyDescent="0.2">
      <c r="A4" s="845" t="s">
        <v>1077</v>
      </c>
      <c r="B4" s="846" t="s">
        <v>115</v>
      </c>
      <c r="D4" s="848" t="s">
        <v>511</v>
      </c>
      <c r="F4" s="846" t="s">
        <v>865</v>
      </c>
    </row>
    <row r="5" spans="1:7" ht="7.5" customHeight="1" x14ac:dyDescent="0.2">
      <c r="A5" s="2326"/>
      <c r="B5" s="2327"/>
      <c r="C5" s="2327"/>
      <c r="D5" s="2327"/>
      <c r="E5" s="2327"/>
      <c r="F5" s="2327"/>
    </row>
    <row r="6" spans="1:7" ht="13.5" customHeight="1" thickBot="1" x14ac:dyDescent="0.25">
      <c r="A6" s="2317" t="s">
        <v>1104</v>
      </c>
      <c r="B6" s="2318"/>
      <c r="C6" s="2318"/>
      <c r="D6" s="2318"/>
      <c r="E6" s="2318"/>
      <c r="F6" s="2319"/>
      <c r="G6" s="849"/>
    </row>
    <row r="7" spans="1:7" s="849" customFormat="1" ht="12" thickTop="1" x14ac:dyDescent="0.2">
      <c r="A7" s="850" t="s">
        <v>502</v>
      </c>
      <c r="B7" s="851"/>
      <c r="C7" s="852"/>
      <c r="D7" s="851"/>
      <c r="E7" s="852"/>
      <c r="F7" s="851"/>
    </row>
    <row r="8" spans="1:7" x14ac:dyDescent="0.2">
      <c r="A8" s="853" t="s">
        <v>459</v>
      </c>
      <c r="B8" s="854" t="s">
        <v>1468</v>
      </c>
      <c r="C8" s="855"/>
      <c r="D8" s="853" t="s">
        <v>501</v>
      </c>
      <c r="E8" s="852" t="s">
        <v>958</v>
      </c>
      <c r="F8" s="1891">
        <f ca="1">'Expenditures 15-22'!K114</f>
        <v>1756897</v>
      </c>
      <c r="G8" s="849"/>
    </row>
    <row r="9" spans="1:7" x14ac:dyDescent="0.2">
      <c r="A9" s="853" t="s">
        <v>460</v>
      </c>
      <c r="B9" s="854" t="s">
        <v>1876</v>
      </c>
      <c r="C9" s="855"/>
      <c r="D9" s="853" t="s">
        <v>501</v>
      </c>
      <c r="E9" s="852"/>
      <c r="F9" s="1892">
        <f ca="1">'Expenditures 15-22'!K151</f>
        <v>241055</v>
      </c>
      <c r="G9" s="856"/>
    </row>
    <row r="10" spans="1:7" x14ac:dyDescent="0.2">
      <c r="A10" s="853" t="s">
        <v>499</v>
      </c>
      <c r="B10" s="854" t="s">
        <v>1877</v>
      </c>
      <c r="C10" s="855"/>
      <c r="D10" s="853" t="s">
        <v>501</v>
      </c>
      <c r="E10" s="852"/>
      <c r="F10" s="1892">
        <f ca="1">'Expenditures 15-22'!K174</f>
        <v>0</v>
      </c>
      <c r="G10" s="856"/>
    </row>
    <row r="11" spans="1:7" x14ac:dyDescent="0.2">
      <c r="A11" s="853" t="s">
        <v>461</v>
      </c>
      <c r="B11" s="854" t="s">
        <v>1878</v>
      </c>
      <c r="C11" s="855"/>
      <c r="D11" s="853" t="s">
        <v>501</v>
      </c>
      <c r="E11" s="852"/>
      <c r="F11" s="1892">
        <f ca="1">'Expenditures 15-22'!K210</f>
        <v>121834</v>
      </c>
      <c r="G11" s="856"/>
    </row>
    <row r="12" spans="1:7" x14ac:dyDescent="0.2">
      <c r="A12" s="853" t="s">
        <v>462</v>
      </c>
      <c r="B12" s="854" t="s">
        <v>1879</v>
      </c>
      <c r="C12" s="855"/>
      <c r="D12" s="853" t="s">
        <v>501</v>
      </c>
      <c r="E12" s="852"/>
      <c r="F12" s="1892">
        <f ca="1">'Expenditures 15-22'!K295</f>
        <v>55355</v>
      </c>
      <c r="G12" s="856"/>
    </row>
    <row r="13" spans="1:7" x14ac:dyDescent="0.2">
      <c r="A13" s="853" t="s">
        <v>106</v>
      </c>
      <c r="B13" s="854" t="s">
        <v>1880</v>
      </c>
      <c r="C13" s="855"/>
      <c r="D13" s="853" t="s">
        <v>501</v>
      </c>
      <c r="E13" s="852"/>
      <c r="F13" s="1892">
        <f ca="1">'Expenditures 15-22'!K342</f>
        <v>38115</v>
      </c>
      <c r="G13" s="857"/>
    </row>
    <row r="14" spans="1:7" ht="12" customHeight="1" thickBot="1" x14ac:dyDescent="0.25">
      <c r="A14" s="1753"/>
      <c r="B14" s="1754"/>
      <c r="C14" s="1755"/>
      <c r="D14" s="1756" t="s">
        <v>501</v>
      </c>
      <c r="E14" s="1757" t="s">
        <v>958</v>
      </c>
      <c r="F14" s="1758">
        <f ca="1">SUM(F8:F13)</f>
        <v>2213256</v>
      </c>
      <c r="G14" s="849"/>
    </row>
    <row r="15" spans="1:7" ht="3.75" customHeight="1" thickTop="1" x14ac:dyDescent="0.2">
      <c r="A15" s="849"/>
      <c r="B15" s="849"/>
      <c r="C15" s="855"/>
      <c r="D15" s="849"/>
      <c r="E15" s="852"/>
      <c r="F15" s="849"/>
      <c r="G15" s="849"/>
    </row>
    <row r="16" spans="1:7" ht="12" customHeight="1" x14ac:dyDescent="0.2">
      <c r="A16" s="858" t="s">
        <v>512</v>
      </c>
      <c r="B16" s="231"/>
      <c r="C16" s="231"/>
      <c r="D16" s="851"/>
      <c r="E16" s="852"/>
      <c r="F16" s="851"/>
      <c r="G16" s="849"/>
    </row>
    <row r="17" spans="1:7" ht="4.5" customHeight="1" x14ac:dyDescent="0.2">
      <c r="A17" s="858"/>
      <c r="B17" s="231"/>
      <c r="C17" s="231"/>
      <c r="D17" s="851"/>
      <c r="E17" s="852"/>
      <c r="F17" s="851"/>
      <c r="G17" s="849"/>
    </row>
    <row r="18" spans="1:7" x14ac:dyDescent="0.2">
      <c r="A18" s="853" t="s">
        <v>461</v>
      </c>
      <c r="B18" s="854" t="s">
        <v>1010</v>
      </c>
      <c r="C18" s="859">
        <f>'Revenues 9-14'!B43</f>
        <v>1412</v>
      </c>
      <c r="D18" s="860" t="str">
        <f>'Revenues 9-14'!A43</f>
        <v>Regular - Transp Fees from Other Districts (In State)</v>
      </c>
      <c r="E18" s="852" t="s">
        <v>958</v>
      </c>
      <c r="F18" s="1893">
        <f ca="1">'Revenues 9-14'!F43</f>
        <v>0</v>
      </c>
      <c r="G18" s="849"/>
    </row>
    <row r="19" spans="1:7" x14ac:dyDescent="0.2">
      <c r="A19" s="853" t="s">
        <v>461</v>
      </c>
      <c r="B19" s="854" t="s">
        <v>1011</v>
      </c>
      <c r="C19" s="861">
        <f>'Revenues 9-14'!B47</f>
        <v>1421</v>
      </c>
      <c r="D19" s="862" t="str">
        <f>'Revenues 9-14'!A47</f>
        <v>Summer Sch - Transp. Fees from Pupils or Parents (In State)</v>
      </c>
      <c r="E19" s="863"/>
      <c r="F19" s="1894">
        <f ca="1">'Revenues 9-14'!F47</f>
        <v>0</v>
      </c>
      <c r="G19" s="849"/>
    </row>
    <row r="20" spans="1:7" x14ac:dyDescent="0.2">
      <c r="A20" s="853" t="s">
        <v>461</v>
      </c>
      <c r="B20" s="854" t="s">
        <v>1012</v>
      </c>
      <c r="C20" s="859">
        <f>'Revenues 9-14'!B48</f>
        <v>1422</v>
      </c>
      <c r="D20" s="860" t="str">
        <f>'Revenues 9-14'!A48</f>
        <v>Summer Sch - Transp. Fees from Other Districts (In State)</v>
      </c>
      <c r="E20" s="852"/>
      <c r="F20" s="1895">
        <f ca="1">'Revenues 9-14'!F48</f>
        <v>0</v>
      </c>
      <c r="G20" s="849"/>
    </row>
    <row r="21" spans="1:7" x14ac:dyDescent="0.2">
      <c r="A21" s="853" t="s">
        <v>461</v>
      </c>
      <c r="B21" s="854" t="s">
        <v>1013</v>
      </c>
      <c r="C21" s="861">
        <f>'Revenues 9-14'!B49</f>
        <v>1423</v>
      </c>
      <c r="D21" s="860" t="str">
        <f>'Revenues 9-14'!A49</f>
        <v>Summer Sch - Transp. Fees from Other Sources (In State)</v>
      </c>
      <c r="E21" s="852"/>
      <c r="F21" s="1896">
        <f ca="1">'Revenues 9-14'!F49</f>
        <v>0</v>
      </c>
      <c r="G21" s="849"/>
    </row>
    <row r="22" spans="1:7" x14ac:dyDescent="0.2">
      <c r="A22" s="853" t="s">
        <v>461</v>
      </c>
      <c r="B22" s="854" t="s">
        <v>1014</v>
      </c>
      <c r="C22" s="861">
        <f>'Revenues 9-14'!B50</f>
        <v>1424</v>
      </c>
      <c r="D22" s="860" t="str">
        <f>'Revenues 9-14'!A50</f>
        <v>Summer Sch - Transp. Fees from Other Sources (Out of State)</v>
      </c>
      <c r="E22" s="852"/>
      <c r="F22" s="1896">
        <f ca="1">'Revenues 9-14'!F50</f>
        <v>0</v>
      </c>
      <c r="G22" s="849"/>
    </row>
    <row r="23" spans="1:7" x14ac:dyDescent="0.2">
      <c r="A23" s="853" t="s">
        <v>461</v>
      </c>
      <c r="B23" s="854" t="s">
        <v>1015</v>
      </c>
      <c r="C23" s="859">
        <f>'Revenues 9-14'!B52</f>
        <v>1432</v>
      </c>
      <c r="D23" s="860" t="str">
        <f>'Revenues 9-14'!A52</f>
        <v>CTE - Transp Fees from Other Districts (In State)</v>
      </c>
      <c r="E23" s="852"/>
      <c r="F23" s="1896">
        <f ca="1">'Revenues 9-14'!F52</f>
        <v>0</v>
      </c>
      <c r="G23" s="849"/>
    </row>
    <row r="24" spans="1:7" x14ac:dyDescent="0.2">
      <c r="A24" s="853" t="s">
        <v>461</v>
      </c>
      <c r="B24" s="854" t="s">
        <v>1016</v>
      </c>
      <c r="C24" s="859">
        <f>'Revenues 9-14'!B56</f>
        <v>1442</v>
      </c>
      <c r="D24" s="860" t="str">
        <f>'Revenues 9-14'!A56</f>
        <v>Special Ed - Transp Fees from Other Districts (In State)</v>
      </c>
      <c r="E24" s="852"/>
      <c r="F24" s="1896">
        <f ca="1">'Revenues 9-14'!F56</f>
        <v>6875</v>
      </c>
      <c r="G24" s="849"/>
    </row>
    <row r="25" spans="1:7" x14ac:dyDescent="0.2">
      <c r="A25" s="853" t="s">
        <v>461</v>
      </c>
      <c r="B25" s="854" t="s">
        <v>1017</v>
      </c>
      <c r="C25" s="859">
        <f>'Revenues 9-14'!B59</f>
        <v>1451</v>
      </c>
      <c r="D25" s="860" t="str">
        <f>'Revenues 9-14'!A59</f>
        <v>Adult - Transp Fees from Pupils or Parents (In State)</v>
      </c>
      <c r="E25" s="852"/>
      <c r="F25" s="1896">
        <f ca="1">'Revenues 9-14'!F59</f>
        <v>0</v>
      </c>
      <c r="G25" s="849"/>
    </row>
    <row r="26" spans="1:7" x14ac:dyDescent="0.2">
      <c r="A26" s="853" t="s">
        <v>461</v>
      </c>
      <c r="B26" s="854" t="s">
        <v>1018</v>
      </c>
      <c r="C26" s="859">
        <f>'Revenues 9-14'!B60</f>
        <v>1452</v>
      </c>
      <c r="D26" s="860" t="str">
        <f>'Revenues 9-14'!A60</f>
        <v>Adult - Transp Fees from Other Districts (In State)</v>
      </c>
      <c r="E26" s="852"/>
      <c r="F26" s="1896">
        <f ca="1">'Revenues 9-14'!F60</f>
        <v>0</v>
      </c>
      <c r="G26" s="849"/>
    </row>
    <row r="27" spans="1:7" x14ac:dyDescent="0.2">
      <c r="A27" s="853" t="s">
        <v>461</v>
      </c>
      <c r="B27" s="854" t="s">
        <v>1019</v>
      </c>
      <c r="C27" s="859">
        <f>'Revenues 9-14'!B61</f>
        <v>1453</v>
      </c>
      <c r="D27" s="860" t="str">
        <f>'Revenues 9-14'!A61</f>
        <v>Adult - Transp Fees from Other Sources (In State)</v>
      </c>
      <c r="E27" s="852"/>
      <c r="F27" s="1896">
        <f ca="1">'Revenues 9-14'!F61</f>
        <v>0</v>
      </c>
      <c r="G27" s="849"/>
    </row>
    <row r="28" spans="1:7" x14ac:dyDescent="0.2">
      <c r="A28" s="853" t="s">
        <v>461</v>
      </c>
      <c r="B28" s="854" t="s">
        <v>1020</v>
      </c>
      <c r="C28" s="859">
        <f>'Revenues 9-14'!B62</f>
        <v>1454</v>
      </c>
      <c r="D28" s="860" t="str">
        <f>'Revenues 9-14'!A62</f>
        <v>Adult - Transp Fees from Other Sources (Out of State)</v>
      </c>
      <c r="E28" s="852"/>
      <c r="F28" s="1896">
        <f ca="1">'Revenues 9-14'!F62</f>
        <v>0</v>
      </c>
      <c r="G28" s="849"/>
    </row>
    <row r="29" spans="1:7" x14ac:dyDescent="0.2">
      <c r="A29" s="853" t="s">
        <v>1097</v>
      </c>
      <c r="B29" s="854" t="s">
        <v>810</v>
      </c>
      <c r="C29" s="864">
        <f>'Revenues 9-14'!B149</f>
        <v>3410</v>
      </c>
      <c r="D29" s="865" t="str">
        <f>'Revenues 9-14'!A149</f>
        <v>Adult Ed (from ICCB)</v>
      </c>
      <c r="E29" s="852"/>
      <c r="F29" s="1896">
        <f ca="1">SUM('Revenues 9-14'!D149,'Revenues 9-14'!F149)</f>
        <v>0</v>
      </c>
      <c r="G29" s="849"/>
    </row>
    <row r="30" spans="1:7" x14ac:dyDescent="0.2">
      <c r="A30" s="853" t="s">
        <v>1097</v>
      </c>
      <c r="B30" s="854" t="s">
        <v>1998</v>
      </c>
      <c r="C30" s="864">
        <f>'Revenues 9-14'!B150</f>
        <v>3499</v>
      </c>
      <c r="D30" s="865" t="str">
        <f>'Revenues 9-14'!A150</f>
        <v>Adult Ed - Other (Describe &amp; Itemize)</v>
      </c>
      <c r="E30" s="852"/>
      <c r="F30" s="1897">
        <f ca="1">('Revenues 9-14'!D150+'Revenues 9-14'!F150)</f>
        <v>0</v>
      </c>
      <c r="G30" s="849"/>
    </row>
    <row r="31" spans="1:7" x14ac:dyDescent="0.2">
      <c r="A31" s="853" t="s">
        <v>1097</v>
      </c>
      <c r="B31" s="854" t="s">
        <v>1999</v>
      </c>
      <c r="C31" s="859">
        <f>'Revenues 9-14'!B211</f>
        <v>4600</v>
      </c>
      <c r="D31" s="867" t="str">
        <f>'Revenues 9-14'!A211</f>
        <v>Fed - Spec Education - Preschool Flow-Through</v>
      </c>
      <c r="E31" s="868"/>
      <c r="F31" s="1896">
        <f ca="1">SUM('Revenues 9-14'!D211,'Revenues 9-14'!F211)</f>
        <v>0</v>
      </c>
      <c r="G31" s="849"/>
    </row>
    <row r="32" spans="1:7" x14ac:dyDescent="0.2">
      <c r="A32" s="853" t="s">
        <v>1097</v>
      </c>
      <c r="B32" s="854" t="s">
        <v>2000</v>
      </c>
      <c r="C32" s="859">
        <f>'Revenues 9-14'!B212</f>
        <v>4605</v>
      </c>
      <c r="D32" s="869" t="str">
        <f>'Revenues 9-14'!A212</f>
        <v>Fed - Spec Education - Preschool Discretionary</v>
      </c>
      <c r="E32" s="868"/>
      <c r="F32" s="1896">
        <f ca="1">SUM('Revenues 9-14'!D212,'Revenues 9-14'!F212)</f>
        <v>0</v>
      </c>
      <c r="G32" s="849"/>
    </row>
    <row r="33" spans="1:7" x14ac:dyDescent="0.2">
      <c r="A33" s="853" t="s">
        <v>460</v>
      </c>
      <c r="B33" s="854" t="s">
        <v>2001</v>
      </c>
      <c r="C33" s="859">
        <f>'Revenues 9-14'!B222</f>
        <v>4810</v>
      </c>
      <c r="D33" s="867" t="str">
        <f>'Revenues 9-14'!A222</f>
        <v>Federal - Adult Education</v>
      </c>
      <c r="E33" s="852"/>
      <c r="F33" s="1896">
        <f ca="1">'Revenues 9-14'!D222</f>
        <v>0</v>
      </c>
      <c r="G33" s="849"/>
    </row>
    <row r="34" spans="1:7" x14ac:dyDescent="0.2">
      <c r="A34" s="853" t="s">
        <v>459</v>
      </c>
      <c r="B34" s="853" t="s">
        <v>1469</v>
      </c>
      <c r="C34" s="870" t="str">
        <f>'Expenditures 15-22'!B7</f>
        <v>1125</v>
      </c>
      <c r="D34" s="871" t="str">
        <f>'Expenditures 15-22'!A7</f>
        <v>Pre-K Programs</v>
      </c>
      <c r="E34" s="852"/>
      <c r="F34" s="1896">
        <f ca="1">'Expenditures 15-22'!K7-SUM('Expenditures 15-22'!G7,'Expenditures 15-22'!I7)</f>
        <v>71471</v>
      </c>
      <c r="G34" s="849"/>
    </row>
    <row r="35" spans="1:7" x14ac:dyDescent="0.2">
      <c r="A35" s="853" t="s">
        <v>459</v>
      </c>
      <c r="B35" s="853" t="s">
        <v>1470</v>
      </c>
      <c r="C35" s="870" t="str">
        <f>'Expenditures 15-22'!B9</f>
        <v>1225</v>
      </c>
      <c r="D35" s="871" t="str">
        <f>'Expenditures 15-22'!A9</f>
        <v>Special Education Programs Pre-K</v>
      </c>
      <c r="E35" s="852"/>
      <c r="F35" s="1896">
        <f ca="1">'Expenditures 15-22'!K9-SUM('Expenditures 15-22'!G9+'Expenditures 15-22'!I9)</f>
        <v>0</v>
      </c>
      <c r="G35" s="849"/>
    </row>
    <row r="36" spans="1:7" x14ac:dyDescent="0.2">
      <c r="A36" s="853" t="s">
        <v>459</v>
      </c>
      <c r="B36" s="853" t="s">
        <v>116</v>
      </c>
      <c r="C36" s="870" t="str">
        <f>'Expenditures 15-22'!B11</f>
        <v>1275</v>
      </c>
      <c r="D36" s="871" t="str">
        <f>'Expenditures 15-22'!A11</f>
        <v>Remedial and Supplemental Programs Pre-K</v>
      </c>
      <c r="E36" s="852"/>
      <c r="F36" s="1896">
        <f ca="1">'Expenditures 15-22'!K11-SUM('Expenditures 15-22'!G11,'Expenditures 15-22'!I11)</f>
        <v>0</v>
      </c>
      <c r="G36" s="849"/>
    </row>
    <row r="37" spans="1:7" x14ac:dyDescent="0.2">
      <c r="A37" s="853" t="s">
        <v>459</v>
      </c>
      <c r="B37" s="853" t="s">
        <v>1471</v>
      </c>
      <c r="C37" s="870">
        <f>'Expenditures 15-22'!B12</f>
        <v>1300</v>
      </c>
      <c r="D37" s="872" t="str">
        <f>'Expenditures 15-22'!A12</f>
        <v>Adult/Continuing Education Programs</v>
      </c>
      <c r="E37" s="852"/>
      <c r="F37" s="1896">
        <f ca="1">'Expenditures 15-22'!K12-SUM('Expenditures 15-22'!G12+'Expenditures 15-22'!I12)</f>
        <v>0</v>
      </c>
      <c r="G37" s="849"/>
    </row>
    <row r="38" spans="1:7" x14ac:dyDescent="0.2">
      <c r="A38" s="853" t="s">
        <v>459</v>
      </c>
      <c r="B38" s="853" t="s">
        <v>1472</v>
      </c>
      <c r="C38" s="870">
        <f>'Expenditures 15-22'!B15</f>
        <v>1600</v>
      </c>
      <c r="D38" s="872" t="str">
        <f>'Expenditures 15-22'!A15</f>
        <v>Summer School Programs</v>
      </c>
      <c r="E38" s="852"/>
      <c r="F38" s="1896">
        <f ca="1">'Expenditures 15-22'!K15-SUM('Expenditures 15-22'!G15,'Expenditures 15-22'!I15)</f>
        <v>0</v>
      </c>
      <c r="G38" s="849"/>
    </row>
    <row r="39" spans="1:7" x14ac:dyDescent="0.2">
      <c r="A39" s="853" t="s">
        <v>459</v>
      </c>
      <c r="B39" s="853" t="s">
        <v>117</v>
      </c>
      <c r="C39" s="870" t="str">
        <f>'Expenditures 15-22'!B20</f>
        <v>1910</v>
      </c>
      <c r="D39" s="872" t="str">
        <f>'Expenditures 15-22'!A20</f>
        <v>Pre-K Programs - Private Tuition</v>
      </c>
      <c r="E39" s="852"/>
      <c r="F39" s="1896">
        <f ca="1">'Expenditures 15-22'!K20</f>
        <v>0</v>
      </c>
      <c r="G39" s="849"/>
    </row>
    <row r="40" spans="1:7" x14ac:dyDescent="0.2">
      <c r="A40" s="853" t="s">
        <v>459</v>
      </c>
      <c r="B40" s="853" t="s">
        <v>118</v>
      </c>
      <c r="C40" s="870" t="str">
        <f>'Expenditures 15-22'!B21</f>
        <v>1911</v>
      </c>
      <c r="D40" s="872" t="str">
        <f>'Expenditures 15-22'!A21</f>
        <v>Regular K-12 Programs - Private Tuition</v>
      </c>
      <c r="E40" s="852"/>
      <c r="F40" s="1896">
        <f ca="1">'Expenditures 15-22'!K21</f>
        <v>0</v>
      </c>
      <c r="G40" s="849"/>
    </row>
    <row r="41" spans="1:7" x14ac:dyDescent="0.2">
      <c r="A41" s="853" t="s">
        <v>459</v>
      </c>
      <c r="B41" s="853" t="s">
        <v>119</v>
      </c>
      <c r="C41" s="870" t="str">
        <f>'Expenditures 15-22'!B22</f>
        <v>1912</v>
      </c>
      <c r="D41" s="872" t="str">
        <f>'Expenditures 15-22'!A22</f>
        <v>Special Education Programs K-12 - Private Tuition</v>
      </c>
      <c r="E41" s="852"/>
      <c r="F41" s="1896">
        <f ca="1">'Expenditures 15-22'!K22</f>
        <v>0</v>
      </c>
      <c r="G41" s="849"/>
    </row>
    <row r="42" spans="1:7" x14ac:dyDescent="0.2">
      <c r="A42" s="853" t="s">
        <v>459</v>
      </c>
      <c r="B42" s="853" t="s">
        <v>120</v>
      </c>
      <c r="C42" s="873" t="str">
        <f>'Expenditures 15-22'!B23</f>
        <v>1913</v>
      </c>
      <c r="D42" s="872" t="str">
        <f>'Expenditures 15-22'!A23</f>
        <v>Special Education Programs Pre-K - Tuition</v>
      </c>
      <c r="E42" s="852"/>
      <c r="F42" s="1896">
        <f ca="1">'Expenditures 15-22'!K23</f>
        <v>0</v>
      </c>
      <c r="G42" s="849"/>
    </row>
    <row r="43" spans="1:7" x14ac:dyDescent="0.2">
      <c r="A43" s="853" t="s">
        <v>459</v>
      </c>
      <c r="B43" s="853" t="s">
        <v>121</v>
      </c>
      <c r="C43" s="870" t="str">
        <f>'Expenditures 15-22'!B24</f>
        <v>1914</v>
      </c>
      <c r="D43" s="872" t="str">
        <f>'Expenditures 15-22'!A24</f>
        <v>Remedial/Supplemental Programs K-12 - Private Tuition</v>
      </c>
      <c r="E43" s="852"/>
      <c r="F43" s="1896">
        <f ca="1">'Expenditures 15-22'!K24</f>
        <v>0</v>
      </c>
      <c r="G43" s="849"/>
    </row>
    <row r="44" spans="1:7" x14ac:dyDescent="0.2">
      <c r="A44" s="853" t="s">
        <v>459</v>
      </c>
      <c r="B44" s="853" t="s">
        <v>122</v>
      </c>
      <c r="C44" s="873" t="str">
        <f>'Expenditures 15-22'!B25</f>
        <v>1915</v>
      </c>
      <c r="D44" s="872" t="str">
        <f>'Expenditures 15-22'!A25</f>
        <v>Remedial/Supplemental Programs Pre-K - Private Tuition</v>
      </c>
      <c r="E44" s="852"/>
      <c r="F44" s="1896">
        <f ca="1">'Expenditures 15-22'!K25</f>
        <v>0</v>
      </c>
      <c r="G44" s="849"/>
    </row>
    <row r="45" spans="1:7" x14ac:dyDescent="0.2">
      <c r="A45" s="853" t="s">
        <v>459</v>
      </c>
      <c r="B45" s="853" t="s">
        <v>123</v>
      </c>
      <c r="C45" s="873" t="str">
        <f>'Expenditures 15-22'!B26</f>
        <v>1916</v>
      </c>
      <c r="D45" s="872" t="str">
        <f>'Expenditures 15-22'!A26</f>
        <v>Adult/Continuing Education Programs - Private Tuition</v>
      </c>
      <c r="E45" s="852"/>
      <c r="F45" s="1896">
        <f ca="1">'Expenditures 15-22'!K26</f>
        <v>0</v>
      </c>
      <c r="G45" s="849"/>
    </row>
    <row r="46" spans="1:7" x14ac:dyDescent="0.2">
      <c r="A46" s="853" t="s">
        <v>459</v>
      </c>
      <c r="B46" s="853" t="s">
        <v>124</v>
      </c>
      <c r="C46" s="870" t="str">
        <f>'Expenditures 15-22'!B27</f>
        <v>1917</v>
      </c>
      <c r="D46" s="872" t="str">
        <f>'Expenditures 15-22'!A27</f>
        <v>CTE Programs - Private Tuition</v>
      </c>
      <c r="E46" s="852"/>
      <c r="F46" s="1896">
        <f ca="1">'Expenditures 15-22'!K27</f>
        <v>0</v>
      </c>
      <c r="G46" s="849"/>
    </row>
    <row r="47" spans="1:7" x14ac:dyDescent="0.2">
      <c r="A47" s="853" t="s">
        <v>459</v>
      </c>
      <c r="B47" s="853" t="s">
        <v>125</v>
      </c>
      <c r="C47" s="874" t="str">
        <f>'Expenditures 15-22'!B28</f>
        <v>1918</v>
      </c>
      <c r="D47" s="875" t="str">
        <f>'Expenditures 15-22'!A28</f>
        <v>Interscholastic Programs - Private Tuition</v>
      </c>
      <c r="E47" s="852"/>
      <c r="F47" s="1896">
        <f ca="1">'Expenditures 15-22'!K28</f>
        <v>0</v>
      </c>
      <c r="G47" s="849"/>
    </row>
    <row r="48" spans="1:7" x14ac:dyDescent="0.2">
      <c r="A48" s="853" t="s">
        <v>459</v>
      </c>
      <c r="B48" s="853" t="s">
        <v>126</v>
      </c>
      <c r="C48" s="873" t="str">
        <f>'Expenditures 15-22'!B29</f>
        <v>1919</v>
      </c>
      <c r="D48" s="872" t="str">
        <f>'Expenditures 15-22'!A29</f>
        <v>Summer School Programs - Private Tuition</v>
      </c>
      <c r="E48" s="852"/>
      <c r="F48" s="1896">
        <f ca="1">'Expenditures 15-22'!K29</f>
        <v>0</v>
      </c>
      <c r="G48" s="849"/>
    </row>
    <row r="49" spans="1:7" x14ac:dyDescent="0.2">
      <c r="A49" s="853" t="s">
        <v>459</v>
      </c>
      <c r="B49" s="853" t="s">
        <v>127</v>
      </c>
      <c r="C49" s="870" t="str">
        <f>'Expenditures 15-22'!B30</f>
        <v>1920</v>
      </c>
      <c r="D49" s="872" t="str">
        <f>'Expenditures 15-22'!A30</f>
        <v>Gifted Programs - Private Tuition</v>
      </c>
      <c r="E49" s="852"/>
      <c r="F49" s="1896">
        <f ca="1">'Expenditures 15-22'!K30</f>
        <v>0</v>
      </c>
      <c r="G49" s="849"/>
    </row>
    <row r="50" spans="1:7" x14ac:dyDescent="0.2">
      <c r="A50" s="853" t="s">
        <v>459</v>
      </c>
      <c r="B50" s="853" t="s">
        <v>128</v>
      </c>
      <c r="C50" s="870" t="str">
        <f>'Expenditures 15-22'!B31</f>
        <v>1921</v>
      </c>
      <c r="D50" s="872" t="str">
        <f>'Expenditures 15-22'!A31</f>
        <v>Bilingual Programs - Private Tuition</v>
      </c>
      <c r="E50" s="852"/>
      <c r="F50" s="1896">
        <f ca="1">'Expenditures 15-22'!K31</f>
        <v>0</v>
      </c>
      <c r="G50" s="849"/>
    </row>
    <row r="51" spans="1:7" x14ac:dyDescent="0.2">
      <c r="A51" s="853" t="s">
        <v>459</v>
      </c>
      <c r="B51" s="853" t="s">
        <v>1473</v>
      </c>
      <c r="C51" s="870" t="str">
        <f>'Expenditures 15-22'!B32</f>
        <v>1922</v>
      </c>
      <c r="D51" s="872" t="str">
        <f>'Expenditures 15-22'!A32</f>
        <v>Truants Alternative/Optional Ed Progms - Private Tuition</v>
      </c>
      <c r="E51" s="852"/>
      <c r="F51" s="1896">
        <f ca="1">'Expenditures 15-22'!K32</f>
        <v>0</v>
      </c>
      <c r="G51" s="849"/>
    </row>
    <row r="52" spans="1:7" x14ac:dyDescent="0.2">
      <c r="A52" s="853" t="s">
        <v>459</v>
      </c>
      <c r="B52" s="853" t="s">
        <v>1474</v>
      </c>
      <c r="C52" s="873" t="str">
        <f>'Expenditures 15-22'!B75</f>
        <v>3000</v>
      </c>
      <c r="D52" s="872" t="s">
        <v>449</v>
      </c>
      <c r="E52" s="852"/>
      <c r="F52" s="1896">
        <f ca="1">'Expenditures 15-22'!K75-SUM('Expenditures 15-22'!G75,'Expenditures 15-22'!I75)</f>
        <v>0</v>
      </c>
      <c r="G52" s="849"/>
    </row>
    <row r="53" spans="1:7" x14ac:dyDescent="0.2">
      <c r="A53" s="853" t="s">
        <v>459</v>
      </c>
      <c r="B53" s="853" t="s">
        <v>1475</v>
      </c>
      <c r="C53" s="873">
        <f>'Expenditures 15-22'!B102</f>
        <v>4000</v>
      </c>
      <c r="D53" s="872" t="str">
        <f>'Expenditures 15-22'!A102</f>
        <v>Total Payments to Other Govt Units</v>
      </c>
      <c r="E53" s="852"/>
      <c r="F53" s="1896">
        <f ca="1">'Expenditures 15-22'!K102</f>
        <v>34422</v>
      </c>
      <c r="G53" s="849"/>
    </row>
    <row r="54" spans="1:7" x14ac:dyDescent="0.2">
      <c r="A54" s="853" t="s">
        <v>459</v>
      </c>
      <c r="B54" s="853" t="s">
        <v>1476</v>
      </c>
      <c r="C54" s="873" t="s">
        <v>982</v>
      </c>
      <c r="D54" s="869" t="s">
        <v>1095</v>
      </c>
      <c r="E54" s="852"/>
      <c r="F54" s="1896">
        <f ca="1">'Expenditures 15-22'!G114</f>
        <v>7766</v>
      </c>
      <c r="G54" s="849"/>
    </row>
    <row r="55" spans="1:7" x14ac:dyDescent="0.2">
      <c r="A55" s="853" t="s">
        <v>459</v>
      </c>
      <c r="B55" s="853" t="s">
        <v>1477</v>
      </c>
      <c r="C55" s="873" t="s">
        <v>982</v>
      </c>
      <c r="D55" s="869" t="s">
        <v>291</v>
      </c>
      <c r="E55" s="852"/>
      <c r="F55" s="1896">
        <f ca="1">'Expenditures 15-22'!I114</f>
        <v>0</v>
      </c>
      <c r="G55" s="849"/>
    </row>
    <row r="56" spans="1:7" x14ac:dyDescent="0.2">
      <c r="A56" s="853" t="s">
        <v>460</v>
      </c>
      <c r="B56" s="853" t="s">
        <v>1478</v>
      </c>
      <c r="C56" s="870" t="str">
        <f>'Expenditures 15-22'!B130</f>
        <v>3000</v>
      </c>
      <c r="D56" s="876" t="s">
        <v>449</v>
      </c>
      <c r="E56" s="852"/>
      <c r="F56" s="1896">
        <f ca="1">'Expenditures 15-22'!K130-SUM('Expenditures 15-22'!G130+'Expenditures 15-22'!I130)</f>
        <v>19198</v>
      </c>
      <c r="G56" s="849"/>
    </row>
    <row r="57" spans="1:7" x14ac:dyDescent="0.2">
      <c r="A57" s="853" t="s">
        <v>460</v>
      </c>
      <c r="B57" s="853" t="s">
        <v>1881</v>
      </c>
      <c r="C57" s="873">
        <f>'Expenditures 15-22'!B139</f>
        <v>4000</v>
      </c>
      <c r="D57" s="871" t="str">
        <f>'Expenditures 15-22'!A139</f>
        <v>Total Payments to Other Govt Units</v>
      </c>
      <c r="E57" s="852"/>
      <c r="F57" s="1896">
        <f ca="1">'Expenditures 15-22'!K139</f>
        <v>0</v>
      </c>
      <c r="G57" s="849"/>
    </row>
    <row r="58" spans="1:7" x14ac:dyDescent="0.2">
      <c r="A58" s="853" t="s">
        <v>460</v>
      </c>
      <c r="B58" s="853" t="s">
        <v>1882</v>
      </c>
      <c r="C58" s="870" t="s">
        <v>982</v>
      </c>
      <c r="D58" s="869" t="s">
        <v>1095</v>
      </c>
      <c r="E58" s="852"/>
      <c r="F58" s="1898">
        <f ca="1">'Expenditures 15-22'!G151</f>
        <v>2997</v>
      </c>
      <c r="G58" s="849"/>
    </row>
    <row r="59" spans="1:7" x14ac:dyDescent="0.2">
      <c r="A59" s="877" t="s">
        <v>460</v>
      </c>
      <c r="B59" s="840" t="s">
        <v>1883</v>
      </c>
      <c r="C59" s="878" t="s">
        <v>982</v>
      </c>
      <c r="D59" s="840" t="s">
        <v>291</v>
      </c>
      <c r="F59" s="1899">
        <f ca="1">'Expenditures 15-22'!I151</f>
        <v>0</v>
      </c>
      <c r="G59" s="849"/>
    </row>
    <row r="60" spans="1:7" x14ac:dyDescent="0.2">
      <c r="A60" s="877" t="s">
        <v>499</v>
      </c>
      <c r="B60" s="840" t="s">
        <v>1884</v>
      </c>
      <c r="C60" s="878">
        <v>4000</v>
      </c>
      <c r="D60" s="840" t="s">
        <v>312</v>
      </c>
      <c r="F60" s="1897">
        <f ca="1">'Expenditures 15-22'!K160</f>
        <v>0</v>
      </c>
      <c r="G60" s="849"/>
    </row>
    <row r="61" spans="1:7" x14ac:dyDescent="0.2">
      <c r="A61" s="879" t="s">
        <v>499</v>
      </c>
      <c r="B61" s="879" t="s">
        <v>1885</v>
      </c>
      <c r="C61" s="880" t="str">
        <f>'Expenditures 15-22'!B170</f>
        <v>5300</v>
      </c>
      <c r="D61" s="881" t="s">
        <v>311</v>
      </c>
      <c r="E61" s="863"/>
      <c r="F61" s="1896">
        <f ca="1">'Expenditures 15-22'!K170</f>
        <v>0</v>
      </c>
      <c r="G61" s="849"/>
    </row>
    <row r="62" spans="1:7" x14ac:dyDescent="0.2">
      <c r="A62" s="853" t="s">
        <v>461</v>
      </c>
      <c r="B62" s="853" t="s">
        <v>1886</v>
      </c>
      <c r="C62" s="870">
        <f>'Expenditures 15-22'!B185</f>
        <v>3000</v>
      </c>
      <c r="D62" s="860" t="s">
        <v>449</v>
      </c>
      <c r="E62" s="852"/>
      <c r="F62" s="1896">
        <f ca="1">'Expenditures 15-22'!K185-SUM('Expenditures 15-22'!G185,'Expenditures 15-22'!I185)</f>
        <v>0</v>
      </c>
      <c r="G62" s="849"/>
    </row>
    <row r="63" spans="1:7" x14ac:dyDescent="0.2">
      <c r="A63" s="853" t="s">
        <v>461</v>
      </c>
      <c r="B63" s="853" t="s">
        <v>1887</v>
      </c>
      <c r="C63" s="870" t="str">
        <f>'Expenditures 15-22'!B196</f>
        <v>4000</v>
      </c>
      <c r="D63" s="871" t="str">
        <f>'Expenditures 15-22'!A196</f>
        <v>Total Payments to Other Govt Units</v>
      </c>
      <c r="E63" s="852"/>
      <c r="F63" s="1896">
        <f ca="1">'Expenditures 15-22'!K196</f>
        <v>0</v>
      </c>
      <c r="G63" s="849"/>
    </row>
    <row r="64" spans="1:7" x14ac:dyDescent="0.2">
      <c r="A64" s="879" t="s">
        <v>461</v>
      </c>
      <c r="B64" s="879" t="s">
        <v>1888</v>
      </c>
      <c r="C64" s="880" t="str">
        <f>'Expenditures 15-22'!B206</f>
        <v>5300</v>
      </c>
      <c r="D64" s="876" t="s">
        <v>311</v>
      </c>
      <c r="E64" s="852"/>
      <c r="F64" s="1896">
        <f ca="1">'Expenditures 15-22'!K206</f>
        <v>7690</v>
      </c>
      <c r="G64" s="849"/>
    </row>
    <row r="65" spans="1:8" x14ac:dyDescent="0.2">
      <c r="A65" s="853" t="s">
        <v>461</v>
      </c>
      <c r="B65" s="853" t="s">
        <v>1889</v>
      </c>
      <c r="C65" s="870" t="s">
        <v>982</v>
      </c>
      <c r="D65" s="869" t="s">
        <v>1095</v>
      </c>
      <c r="E65" s="852"/>
      <c r="F65" s="1896">
        <f ca="1">'Expenditures 15-22'!G210</f>
        <v>21651</v>
      </c>
      <c r="G65" s="849"/>
    </row>
    <row r="66" spans="1:8" x14ac:dyDescent="0.2">
      <c r="A66" s="853" t="s">
        <v>461</v>
      </c>
      <c r="B66" s="853" t="s">
        <v>1890</v>
      </c>
      <c r="C66" s="870" t="s">
        <v>982</v>
      </c>
      <c r="D66" s="869" t="s">
        <v>291</v>
      </c>
      <c r="E66" s="852"/>
      <c r="F66" s="1896">
        <f ca="1">'Expenditures 15-22'!I210</f>
        <v>0</v>
      </c>
      <c r="G66" s="849"/>
    </row>
    <row r="67" spans="1:8" x14ac:dyDescent="0.2">
      <c r="A67" s="853" t="s">
        <v>462</v>
      </c>
      <c r="B67" s="853" t="s">
        <v>1891</v>
      </c>
      <c r="C67" s="870" t="str">
        <f>'Expenditures 15-22'!B216</f>
        <v>1125</v>
      </c>
      <c r="D67" s="876" t="str">
        <f>'Expenditures 15-22'!A216</f>
        <v>Pre-K Programs</v>
      </c>
      <c r="E67" s="852"/>
      <c r="F67" s="1896">
        <f ca="1">'Expenditures 15-22'!K216</f>
        <v>2180</v>
      </c>
      <c r="G67" s="849"/>
    </row>
    <row r="68" spans="1:8" x14ac:dyDescent="0.2">
      <c r="A68" s="853" t="s">
        <v>462</v>
      </c>
      <c r="B68" s="853" t="s">
        <v>1479</v>
      </c>
      <c r="C68" s="870" t="str">
        <f>'Expenditures 15-22'!B218</f>
        <v>1225</v>
      </c>
      <c r="D68" s="876" t="str">
        <f>'Expenditures 15-22'!A218</f>
        <v>Special Education Programs - Pre-K</v>
      </c>
      <c r="E68" s="852"/>
      <c r="F68" s="1896">
        <f ca="1">'Expenditures 15-22'!K218</f>
        <v>0</v>
      </c>
      <c r="G68" s="849"/>
    </row>
    <row r="69" spans="1:8" x14ac:dyDescent="0.2">
      <c r="A69" s="853" t="s">
        <v>462</v>
      </c>
      <c r="B69" s="853" t="s">
        <v>1892</v>
      </c>
      <c r="C69" s="870" t="str">
        <f>'Expenditures 15-22'!B220</f>
        <v>1275</v>
      </c>
      <c r="D69" s="876" t="str">
        <f>'Expenditures 15-22'!A220</f>
        <v>Remedial and Supplemental Programs - Pre-K</v>
      </c>
      <c r="E69" s="852"/>
      <c r="F69" s="1896">
        <f ca="1">'Expenditures 15-22'!K220</f>
        <v>0</v>
      </c>
      <c r="G69" s="849"/>
    </row>
    <row r="70" spans="1:8" x14ac:dyDescent="0.2">
      <c r="A70" s="853" t="s">
        <v>462</v>
      </c>
      <c r="B70" s="853" t="s">
        <v>1893</v>
      </c>
      <c r="C70" s="870">
        <f>'Expenditures 15-22'!B221</f>
        <v>1300</v>
      </c>
      <c r="D70" s="871" t="str">
        <f>'Expenditures 15-22'!A221</f>
        <v>Adult/Continuing Education Programs</v>
      </c>
      <c r="E70" s="852"/>
      <c r="F70" s="1896">
        <f ca="1">'Expenditures 15-22'!K221</f>
        <v>0</v>
      </c>
      <c r="G70" s="849"/>
    </row>
    <row r="71" spans="1:8" x14ac:dyDescent="0.2">
      <c r="A71" s="853" t="s">
        <v>462</v>
      </c>
      <c r="B71" s="853" t="s">
        <v>1894</v>
      </c>
      <c r="C71" s="870">
        <f>'Expenditures 15-22'!B224</f>
        <v>1600</v>
      </c>
      <c r="D71" s="871" t="str">
        <f>'Expenditures 15-22'!A224</f>
        <v>Summer School Programs</v>
      </c>
      <c r="E71" s="852"/>
      <c r="F71" s="1896">
        <f ca="1">'Expenditures 15-22'!K224</f>
        <v>0</v>
      </c>
      <c r="G71" s="849"/>
    </row>
    <row r="72" spans="1:8" x14ac:dyDescent="0.2">
      <c r="A72" s="853" t="s">
        <v>462</v>
      </c>
      <c r="B72" s="853" t="s">
        <v>1895</v>
      </c>
      <c r="C72" s="870">
        <f>'Expenditures 15-22'!B280</f>
        <v>3000</v>
      </c>
      <c r="D72" s="860" t="s">
        <v>449</v>
      </c>
      <c r="E72" s="852"/>
      <c r="F72" s="1896">
        <f ca="1">'Expenditures 15-22'!K280</f>
        <v>1599</v>
      </c>
      <c r="G72" s="849"/>
    </row>
    <row r="73" spans="1:8" x14ac:dyDescent="0.2">
      <c r="A73" s="853" t="s">
        <v>462</v>
      </c>
      <c r="B73" s="853" t="s">
        <v>1896</v>
      </c>
      <c r="C73" s="870" t="str">
        <f>'Expenditures 15-22'!B285</f>
        <v>4000</v>
      </c>
      <c r="D73" s="871" t="str">
        <f>'Expenditures 15-22'!A285</f>
        <v>Total Payments to Other Govt Units</v>
      </c>
      <c r="E73" s="852"/>
      <c r="F73" s="1896">
        <f ca="1">'Expenditures 15-22'!K285</f>
        <v>0</v>
      </c>
      <c r="G73" s="849"/>
    </row>
    <row r="74" spans="1:8" x14ac:dyDescent="0.2">
      <c r="A74" s="853" t="s">
        <v>436</v>
      </c>
      <c r="B74" s="853" t="s">
        <v>1897</v>
      </c>
      <c r="C74" s="870" t="s">
        <v>860</v>
      </c>
      <c r="D74" s="871" t="s">
        <v>1487</v>
      </c>
      <c r="E74" s="852"/>
      <c r="F74" s="1900">
        <f ca="1">'Expenditures 15-22'!K334</f>
        <v>0</v>
      </c>
      <c r="G74" s="849"/>
    </row>
    <row r="75" spans="1:8" ht="5.25" customHeight="1" x14ac:dyDescent="0.2">
      <c r="A75" s="849"/>
      <c r="B75" s="859"/>
      <c r="C75" s="859"/>
      <c r="D75" s="849"/>
      <c r="E75" s="852"/>
      <c r="F75" s="866"/>
      <c r="G75" s="851"/>
    </row>
    <row r="76" spans="1:8" ht="12" thickBot="1" x14ac:dyDescent="0.25">
      <c r="A76" s="1753"/>
      <c r="B76" s="1759"/>
      <c r="C76" s="1755"/>
      <c r="D76" s="1760" t="s">
        <v>1898</v>
      </c>
      <c r="E76" s="1757" t="s">
        <v>958</v>
      </c>
      <c r="F76" s="1761">
        <f ca="1">SUM(F18:F74)</f>
        <v>175849</v>
      </c>
      <c r="G76" s="849"/>
    </row>
    <row r="77" spans="1:8" s="877" customFormat="1" ht="12" customHeight="1" thickTop="1" thickBot="1" x14ac:dyDescent="0.25">
      <c r="A77" s="1762"/>
      <c r="B77" s="1759"/>
      <c r="C77" s="1755"/>
      <c r="D77" s="1760" t="s">
        <v>1899</v>
      </c>
      <c r="E77" s="1757"/>
      <c r="F77" s="1763">
        <f ca="1">(F14-F76)</f>
        <v>2037407</v>
      </c>
      <c r="G77" s="853"/>
    </row>
    <row r="78" spans="1:8" s="877" customFormat="1" ht="12" customHeight="1" thickTop="1" x14ac:dyDescent="0.2">
      <c r="A78" s="1764"/>
      <c r="B78" s="1759"/>
      <c r="C78" s="1755"/>
      <c r="D78" s="1760" t="s">
        <v>2061</v>
      </c>
      <c r="E78" s="1757"/>
      <c r="F78" s="882">
        <v>111.2</v>
      </c>
      <c r="G78" s="883"/>
      <c r="H78" s="853"/>
    </row>
    <row r="79" spans="1:8" s="877" customFormat="1" ht="12" customHeight="1" thickBot="1" x14ac:dyDescent="0.25">
      <c r="A79" s="1765"/>
      <c r="B79" s="1759"/>
      <c r="C79" s="1755"/>
      <c r="D79" s="1760" t="s">
        <v>1900</v>
      </c>
      <c r="E79" s="1757" t="s">
        <v>958</v>
      </c>
      <c r="F79" s="1766">
        <f ca="1">IF(F78&gt;0,F77/F78," Complete Line 78")</f>
        <v>18322.005395683453</v>
      </c>
      <c r="G79" s="853"/>
    </row>
    <row r="80" spans="1:8" s="877" customFormat="1" ht="8.25" customHeight="1" thickTop="1" x14ac:dyDescent="0.2">
      <c r="A80" s="884"/>
      <c r="B80" s="853"/>
      <c r="C80" s="855"/>
      <c r="D80" s="885"/>
      <c r="E80" s="852"/>
      <c r="F80" s="886"/>
      <c r="G80" s="853"/>
    </row>
    <row r="81" spans="1:7" s="877" customFormat="1" ht="12" thickBot="1" x14ac:dyDescent="0.25">
      <c r="A81" s="2317" t="s">
        <v>1105</v>
      </c>
      <c r="B81" s="2318"/>
      <c r="C81" s="2318"/>
      <c r="D81" s="2318"/>
      <c r="E81" s="2318"/>
      <c r="F81" s="2319"/>
      <c r="G81" s="853"/>
    </row>
    <row r="82" spans="1:7" s="877" customFormat="1" ht="5.25" customHeight="1" thickTop="1" x14ac:dyDescent="0.2">
      <c r="A82" s="853"/>
      <c r="B82" s="853"/>
      <c r="C82" s="855"/>
      <c r="D82" s="853"/>
      <c r="E82" s="855"/>
      <c r="F82" s="853"/>
      <c r="G82" s="887"/>
    </row>
    <row r="83" spans="1:7" ht="12" customHeight="1" x14ac:dyDescent="0.2">
      <c r="A83" s="888" t="s">
        <v>813</v>
      </c>
      <c r="B83" s="889"/>
      <c r="C83" s="890"/>
      <c r="D83" s="891"/>
      <c r="E83" s="890"/>
      <c r="F83" s="889"/>
      <c r="G83" s="889"/>
    </row>
    <row r="84" spans="1:7" x14ac:dyDescent="0.2">
      <c r="A84" s="892" t="s">
        <v>461</v>
      </c>
      <c r="B84" s="893" t="s">
        <v>146</v>
      </c>
      <c r="C84" s="894">
        <f>'Revenues 9-14'!B42</f>
        <v>1411</v>
      </c>
      <c r="D84" s="895" t="str">
        <f>'Revenues 9-14'!A42</f>
        <v>Regular -Transp Fees from Pupils or Parents (In State)</v>
      </c>
      <c r="E84" s="890" t="s">
        <v>958</v>
      </c>
      <c r="F84" s="1890">
        <f ca="1">'Revenues 9-14'!F42</f>
        <v>0</v>
      </c>
      <c r="G84" s="896"/>
    </row>
    <row r="85" spans="1:7" x14ac:dyDescent="0.2">
      <c r="A85" s="892" t="s">
        <v>461</v>
      </c>
      <c r="B85" s="892" t="s">
        <v>183</v>
      </c>
      <c r="C85" s="897">
        <f>'Revenues 9-14'!B44</f>
        <v>1413</v>
      </c>
      <c r="D85" s="895" t="str">
        <f>'Revenues 9-14'!A44</f>
        <v>Regular - Transp Fees from Other Sources (In State)</v>
      </c>
      <c r="E85" s="890"/>
      <c r="F85" s="1772">
        <f ca="1">'Revenues 9-14'!F44</f>
        <v>0</v>
      </c>
      <c r="G85" s="898"/>
    </row>
    <row r="86" spans="1:7" x14ac:dyDescent="0.2">
      <c r="A86" s="892" t="s">
        <v>461</v>
      </c>
      <c r="B86" s="892" t="s">
        <v>166</v>
      </c>
      <c r="C86" s="894">
        <f>'Revenues 9-14'!B45</f>
        <v>1415</v>
      </c>
      <c r="D86" s="895" t="str">
        <f>'Revenues 9-14'!A45</f>
        <v>Regular - Transp Fees from Co-curricular Activities (In State)</v>
      </c>
      <c r="E86" s="890"/>
      <c r="F86" s="1772">
        <f ca="1">'Revenues 9-14'!F45</f>
        <v>0</v>
      </c>
      <c r="G86" s="898"/>
    </row>
    <row r="87" spans="1:7" x14ac:dyDescent="0.2">
      <c r="A87" s="892" t="s">
        <v>461</v>
      </c>
      <c r="B87" s="892" t="s">
        <v>167</v>
      </c>
      <c r="C87" s="894">
        <v>1416</v>
      </c>
      <c r="D87" s="895" t="str">
        <f>'Revenues 9-14'!A46</f>
        <v>Regular Transp Fees from Other Sources (Out of State)</v>
      </c>
      <c r="E87" s="890"/>
      <c r="F87" s="1772">
        <f ca="1">'Revenues 9-14'!F46</f>
        <v>0</v>
      </c>
      <c r="G87" s="898"/>
    </row>
    <row r="88" spans="1:7" x14ac:dyDescent="0.2">
      <c r="A88" s="892" t="s">
        <v>461</v>
      </c>
      <c r="B88" s="892" t="s">
        <v>168</v>
      </c>
      <c r="C88" s="894">
        <f>'Revenues 9-14'!B51</f>
        <v>1431</v>
      </c>
      <c r="D88" s="895" t="str">
        <f>'Revenues 9-14'!A51</f>
        <v>CTE - Transp Fees from Pupils or Parents (In State)</v>
      </c>
      <c r="E88" s="890"/>
      <c r="F88" s="1772">
        <f ca="1">'Revenues 9-14'!F51</f>
        <v>0</v>
      </c>
      <c r="G88" s="898"/>
    </row>
    <row r="89" spans="1:7" x14ac:dyDescent="0.2">
      <c r="A89" s="892" t="s">
        <v>461</v>
      </c>
      <c r="B89" s="892" t="s">
        <v>169</v>
      </c>
      <c r="C89" s="894">
        <f>'Revenues 9-14'!B53</f>
        <v>1433</v>
      </c>
      <c r="D89" s="895" t="str">
        <f>'Revenues 9-14'!A53</f>
        <v>CTE - Transp Fees from Other Sources (In State)</v>
      </c>
      <c r="E89" s="890"/>
      <c r="F89" s="1772">
        <f ca="1">'Revenues 9-14'!F53</f>
        <v>0</v>
      </c>
      <c r="G89" s="898"/>
    </row>
    <row r="90" spans="1:7" x14ac:dyDescent="0.2">
      <c r="A90" s="892" t="s">
        <v>461</v>
      </c>
      <c r="B90" s="892" t="s">
        <v>170</v>
      </c>
      <c r="C90" s="894">
        <f>'Revenues 9-14'!B54</f>
        <v>1434</v>
      </c>
      <c r="D90" s="895" t="str">
        <f>'Revenues 9-14'!A54</f>
        <v>CTE - Transp Fees from Other Sources (Out of State)</v>
      </c>
      <c r="E90" s="890"/>
      <c r="F90" s="1772">
        <f ca="1">'Revenues 9-14'!F54</f>
        <v>0</v>
      </c>
      <c r="G90" s="898"/>
    </row>
    <row r="91" spans="1:7" x14ac:dyDescent="0.2">
      <c r="A91" s="892" t="s">
        <v>461</v>
      </c>
      <c r="B91" s="892" t="s">
        <v>171</v>
      </c>
      <c r="C91" s="899">
        <f>'Revenues 9-14'!B55</f>
        <v>1441</v>
      </c>
      <c r="D91" s="895" t="str">
        <f>'Revenues 9-14'!A55</f>
        <v>Special Ed - Transp Fees from Pupils or Parents (In State)</v>
      </c>
      <c r="E91" s="890"/>
      <c r="F91" s="1772">
        <f ca="1">'Revenues 9-14'!F55</f>
        <v>0</v>
      </c>
      <c r="G91" s="898"/>
    </row>
    <row r="92" spans="1:7" x14ac:dyDescent="0.2">
      <c r="A92" s="892" t="s">
        <v>461</v>
      </c>
      <c r="B92" s="892" t="s">
        <v>172</v>
      </c>
      <c r="C92" s="894">
        <f>'Revenues 9-14'!B57</f>
        <v>1443</v>
      </c>
      <c r="D92" s="895" t="str">
        <f>'Revenues 9-14'!A57</f>
        <v>Special Ed - Transp Fees from Other Sources (In State)</v>
      </c>
      <c r="E92" s="890"/>
      <c r="F92" s="1772">
        <f ca="1">'Revenues 9-14'!F57</f>
        <v>0</v>
      </c>
      <c r="G92" s="900"/>
    </row>
    <row r="93" spans="1:7" x14ac:dyDescent="0.2">
      <c r="A93" s="892" t="s">
        <v>461</v>
      </c>
      <c r="B93" s="892" t="s">
        <v>173</v>
      </c>
      <c r="C93" s="894">
        <f>'Revenues 9-14'!B58</f>
        <v>1444</v>
      </c>
      <c r="D93" s="895" t="str">
        <f>'Revenues 9-14'!A58</f>
        <v>Special Ed - Transp Fees from Other Sources (Out of State)</v>
      </c>
      <c r="E93" s="890"/>
      <c r="F93" s="1772">
        <f ca="1">'Revenues 9-14'!F58</f>
        <v>0</v>
      </c>
      <c r="G93" s="900"/>
    </row>
    <row r="94" spans="1:7" x14ac:dyDescent="0.2">
      <c r="A94" s="892" t="s">
        <v>459</v>
      </c>
      <c r="B94" s="892" t="s">
        <v>174</v>
      </c>
      <c r="C94" s="894">
        <v>1600</v>
      </c>
      <c r="D94" s="901" t="str">
        <f>'Revenues 9-14'!A75</f>
        <v>Total Food Service</v>
      </c>
      <c r="E94" s="890"/>
      <c r="F94" s="1772">
        <f ca="1">'Revenues 9-14'!C75</f>
        <v>13588</v>
      </c>
      <c r="G94" s="896"/>
    </row>
    <row r="95" spans="1:7" x14ac:dyDescent="0.2">
      <c r="A95" s="892" t="s">
        <v>140</v>
      </c>
      <c r="B95" s="892" t="s">
        <v>175</v>
      </c>
      <c r="C95" s="894">
        <v>1700</v>
      </c>
      <c r="D95" s="902" t="str">
        <f>'Revenues 9-14'!A82</f>
        <v>Total District/School Activity Income</v>
      </c>
      <c r="E95" s="890"/>
      <c r="F95" s="1772">
        <f ca="1">SUM('Revenues 9-14'!C82,'Revenues 9-14'!D82)</f>
        <v>16658</v>
      </c>
      <c r="G95" s="896"/>
    </row>
    <row r="96" spans="1:7" x14ac:dyDescent="0.2">
      <c r="A96" s="892" t="s">
        <v>459</v>
      </c>
      <c r="B96" s="892" t="s">
        <v>176</v>
      </c>
      <c r="C96" s="894">
        <f>'Revenues 9-14'!B84</f>
        <v>1811</v>
      </c>
      <c r="D96" s="895" t="str">
        <f>'Revenues 9-14'!A84</f>
        <v>Rentals - Regular Textbooks</v>
      </c>
      <c r="E96" s="890"/>
      <c r="F96" s="1772">
        <f ca="1">'Revenues 9-14'!C84</f>
        <v>2664</v>
      </c>
      <c r="G96" s="896"/>
    </row>
    <row r="97" spans="1:7" x14ac:dyDescent="0.2">
      <c r="A97" s="892" t="s">
        <v>459</v>
      </c>
      <c r="B97" s="892" t="s">
        <v>177</v>
      </c>
      <c r="C97" s="894">
        <f>'Revenues 9-14'!B87</f>
        <v>1819</v>
      </c>
      <c r="D97" s="895" t="str">
        <f>'Revenues 9-14'!A87</f>
        <v>Rentals - Other (Describe &amp; Itemize)</v>
      </c>
      <c r="E97" s="890"/>
      <c r="F97" s="1772">
        <f ca="1">'Revenues 9-14'!C87</f>
        <v>0</v>
      </c>
      <c r="G97" s="896"/>
    </row>
    <row r="98" spans="1:7" x14ac:dyDescent="0.2">
      <c r="A98" s="892" t="s">
        <v>459</v>
      </c>
      <c r="B98" s="892" t="s">
        <v>178</v>
      </c>
      <c r="C98" s="894">
        <f>'Revenues 9-14'!B88</f>
        <v>1821</v>
      </c>
      <c r="D98" s="895" t="str">
        <f>'Revenues 9-14'!A88</f>
        <v>Sales - Regular Textbooks</v>
      </c>
      <c r="E98" s="890"/>
      <c r="F98" s="1772">
        <f ca="1">'Revenues 9-14'!C88</f>
        <v>0</v>
      </c>
      <c r="G98" s="896"/>
    </row>
    <row r="99" spans="1:7" x14ac:dyDescent="0.2">
      <c r="A99" s="892" t="s">
        <v>459</v>
      </c>
      <c r="B99" s="892" t="s">
        <v>179</v>
      </c>
      <c r="C99" s="894">
        <f>'Revenues 9-14'!B91</f>
        <v>1829</v>
      </c>
      <c r="D99" s="895" t="str">
        <f>'Revenues 9-14'!A91</f>
        <v>Sales - Other (Describe &amp; Itemize)</v>
      </c>
      <c r="E99" s="890"/>
      <c r="F99" s="1772">
        <f ca="1">'Revenues 9-14'!C91</f>
        <v>0</v>
      </c>
      <c r="G99" s="896"/>
    </row>
    <row r="100" spans="1:7" x14ac:dyDescent="0.2">
      <c r="A100" s="892" t="s">
        <v>459</v>
      </c>
      <c r="B100" s="892" t="s">
        <v>180</v>
      </c>
      <c r="C100" s="894">
        <f>'Revenues 9-14'!B92</f>
        <v>1890</v>
      </c>
      <c r="D100" s="895" t="str">
        <f>'Revenues 9-14'!A92</f>
        <v>Other (Describe &amp; Itemize)</v>
      </c>
      <c r="E100" s="890"/>
      <c r="F100" s="1772">
        <f ca="1">'Revenues 9-14'!C92</f>
        <v>0</v>
      </c>
      <c r="G100" s="896"/>
    </row>
    <row r="101" spans="1:7" x14ac:dyDescent="0.2">
      <c r="A101" s="892" t="s">
        <v>140</v>
      </c>
      <c r="B101" s="892" t="s">
        <v>181</v>
      </c>
      <c r="C101" s="894">
        <f>'Revenues 9-14'!B95</f>
        <v>1910</v>
      </c>
      <c r="D101" s="895" t="str">
        <f>'Revenues 9-14'!A95</f>
        <v>Rentals</v>
      </c>
      <c r="E101" s="890"/>
      <c r="F101" s="1772">
        <f ca="1">SUM('Revenues 9-14'!C95:D95)</f>
        <v>0</v>
      </c>
      <c r="G101" s="896"/>
    </row>
    <row r="102" spans="1:7" x14ac:dyDescent="0.2">
      <c r="A102" s="892" t="s">
        <v>503</v>
      </c>
      <c r="B102" s="892" t="s">
        <v>182</v>
      </c>
      <c r="C102" s="894">
        <f>'Revenues 9-14'!B98</f>
        <v>1940</v>
      </c>
      <c r="D102" s="895" t="str">
        <f>'Revenues 9-14'!A98</f>
        <v>Services Provided Other Districts</v>
      </c>
      <c r="E102" s="890"/>
      <c r="F102" s="1772">
        <f ca="1">SUM('Revenues 9-14'!C98,'Revenues 9-14'!D98,'Revenues 9-14'!F98)</f>
        <v>0</v>
      </c>
      <c r="G102" s="896"/>
    </row>
    <row r="103" spans="1:7" x14ac:dyDescent="0.2">
      <c r="A103" s="892" t="s">
        <v>1009</v>
      </c>
      <c r="B103" s="892" t="s">
        <v>801</v>
      </c>
      <c r="C103" s="894">
        <f>'Revenues 9-14'!B104</f>
        <v>1991</v>
      </c>
      <c r="D103" s="903" t="str">
        <f>'Revenues 9-14'!A104</f>
        <v>Payment from Other Districts</v>
      </c>
      <c r="E103" s="890"/>
      <c r="F103" s="1772">
        <f ca="1">SUM('Revenues 9-14'!C104,'Revenues 9-14'!D104,'Revenues 9-14'!E104,'Revenues 9-14'!F104,'Revenues 9-14'!G104)</f>
        <v>0</v>
      </c>
      <c r="G103" s="896"/>
    </row>
    <row r="104" spans="1:7" x14ac:dyDescent="0.2">
      <c r="A104" s="892" t="s">
        <v>459</v>
      </c>
      <c r="B104" s="892" t="s">
        <v>808</v>
      </c>
      <c r="C104" s="894">
        <f>'Revenues 9-14'!B106</f>
        <v>1993</v>
      </c>
      <c r="D104" s="895" t="str">
        <f>'Revenues 9-14'!A106</f>
        <v>Other Local Fees (Describe &amp; Itemize)</v>
      </c>
      <c r="E104" s="890"/>
      <c r="F104" s="1772">
        <f ca="1">('Revenues 9-14'!C106)</f>
        <v>0</v>
      </c>
      <c r="G104" s="896"/>
    </row>
    <row r="105" spans="1:7" x14ac:dyDescent="0.2">
      <c r="A105" s="892" t="s">
        <v>503</v>
      </c>
      <c r="B105" s="892" t="s">
        <v>2002</v>
      </c>
      <c r="C105" s="897">
        <v>3100</v>
      </c>
      <c r="D105" s="903" t="str">
        <f>'Revenues 9-14'!A132</f>
        <v>Total Special Education</v>
      </c>
      <c r="E105" s="890"/>
      <c r="F105" s="1772">
        <f ca="1">SUM('Revenues 9-14'!C132:D132,'Revenues 9-14'!F132)</f>
        <v>0</v>
      </c>
      <c r="G105" s="896"/>
    </row>
    <row r="106" spans="1:7" x14ac:dyDescent="0.2">
      <c r="A106" s="892" t="s">
        <v>673</v>
      </c>
      <c r="B106" s="892" t="s">
        <v>2003</v>
      </c>
      <c r="C106" s="904">
        <v>3200</v>
      </c>
      <c r="D106" s="895" t="str">
        <f>'Revenues 9-14'!A141</f>
        <v>Total Career and Technical Education</v>
      </c>
      <c r="E106" s="890"/>
      <c r="F106" s="1772">
        <f ca="1">SUM('Revenues 9-14'!C141,'Revenues 9-14'!D141,'Revenues 9-14'!G141)</f>
        <v>0</v>
      </c>
      <c r="G106" s="896"/>
    </row>
    <row r="107" spans="1:7" x14ac:dyDescent="0.2">
      <c r="A107" s="905" t="s">
        <v>664</v>
      </c>
      <c r="B107" s="892" t="s">
        <v>2004</v>
      </c>
      <c r="C107" s="904">
        <v>3300</v>
      </c>
      <c r="D107" s="895" t="str">
        <f>'Revenues 9-14'!A145</f>
        <v>Total Bilingual Ed</v>
      </c>
      <c r="E107" s="890"/>
      <c r="F107" s="1772">
        <f ca="1">SUM('Revenues 9-14'!C145,'Revenues 9-14'!G145)</f>
        <v>0</v>
      </c>
      <c r="G107" s="896"/>
    </row>
    <row r="108" spans="1:7" x14ac:dyDescent="0.2">
      <c r="A108" s="892" t="s">
        <v>459</v>
      </c>
      <c r="B108" s="892" t="s">
        <v>2005</v>
      </c>
      <c r="C108" s="904">
        <f>'Revenues 9-14'!B146</f>
        <v>3360</v>
      </c>
      <c r="D108" s="895" t="str">
        <f>'Revenues 9-14'!A146</f>
        <v>State Free Lunch &amp; Breakfast</v>
      </c>
      <c r="E108" s="890"/>
      <c r="F108" s="1772">
        <f ca="1">'Revenues 9-14'!C146</f>
        <v>644</v>
      </c>
      <c r="G108" s="896"/>
    </row>
    <row r="109" spans="1:7" x14ac:dyDescent="0.2">
      <c r="A109" s="892" t="s">
        <v>673</v>
      </c>
      <c r="B109" s="892" t="s">
        <v>2006</v>
      </c>
      <c r="C109" s="904">
        <f>'Revenues 9-14'!B147</f>
        <v>3365</v>
      </c>
      <c r="D109" s="895" t="str">
        <f>'Revenues 9-14'!A147</f>
        <v>School Breakfast Initiative</v>
      </c>
      <c r="E109" s="890"/>
      <c r="F109" s="1772">
        <f ca="1">SUM('Revenues 9-14'!C147,'Revenues 9-14'!D147,'Revenues 9-14'!G147)</f>
        <v>0</v>
      </c>
      <c r="G109" s="896"/>
    </row>
    <row r="110" spans="1:7" x14ac:dyDescent="0.2">
      <c r="A110" s="892" t="s">
        <v>140</v>
      </c>
      <c r="B110" s="892" t="s">
        <v>2007</v>
      </c>
      <c r="C110" s="904">
        <f>'Revenues 9-14'!B148</f>
        <v>3370</v>
      </c>
      <c r="D110" s="895" t="str">
        <f>'Revenues 9-14'!A148</f>
        <v>Driver Education</v>
      </c>
      <c r="E110" s="890"/>
      <c r="F110" s="1772">
        <f ca="1">SUM('Revenues 9-14'!C148,'Revenues 9-14'!D148)</f>
        <v>0</v>
      </c>
      <c r="G110" s="896"/>
    </row>
    <row r="111" spans="1:7" x14ac:dyDescent="0.2">
      <c r="A111" s="892" t="s">
        <v>668</v>
      </c>
      <c r="B111" s="892" t="s">
        <v>2008</v>
      </c>
      <c r="C111" s="906">
        <v>3500</v>
      </c>
      <c r="D111" s="895" t="str">
        <f>'Revenues 9-14'!A155</f>
        <v>Total Transportation</v>
      </c>
      <c r="E111" s="890"/>
      <c r="F111" s="1772">
        <f ca="1">SUM('Revenues 9-14'!C155,'Revenues 9-14'!D155,'Revenues 9-14'!F155,'Revenues 9-14'!G155)</f>
        <v>69442</v>
      </c>
      <c r="G111" s="896"/>
    </row>
    <row r="112" spans="1:7" x14ac:dyDescent="0.2">
      <c r="A112" s="892" t="s">
        <v>459</v>
      </c>
      <c r="B112" s="892" t="s">
        <v>2009</v>
      </c>
      <c r="C112" s="904">
        <f>'Revenues 9-14'!B156</f>
        <v>3610</v>
      </c>
      <c r="D112" s="895" t="str">
        <f>'Revenues 9-14'!A156</f>
        <v>Learning Improvement - Change Grants</v>
      </c>
      <c r="E112" s="890"/>
      <c r="F112" s="1772">
        <f ca="1">'Revenues 9-14'!C156</f>
        <v>0</v>
      </c>
      <c r="G112" s="896"/>
    </row>
    <row r="113" spans="1:7" x14ac:dyDescent="0.2">
      <c r="A113" s="892" t="s">
        <v>668</v>
      </c>
      <c r="B113" s="892" t="s">
        <v>2010</v>
      </c>
      <c r="C113" s="904">
        <f>'Revenues 9-14'!B157</f>
        <v>3660</v>
      </c>
      <c r="D113" s="895" t="str">
        <f>'Revenues 9-14'!A157</f>
        <v>Scientific Literacy</v>
      </c>
      <c r="E113" s="890"/>
      <c r="F113" s="1772">
        <f ca="1">SUM('Revenues 9-14'!C157,'Revenues 9-14'!D157,'Revenues 9-14'!F157,'Revenues 9-14'!G157)</f>
        <v>0</v>
      </c>
      <c r="G113" s="896"/>
    </row>
    <row r="114" spans="1:7" x14ac:dyDescent="0.2">
      <c r="A114" s="892" t="s">
        <v>5</v>
      </c>
      <c r="B114" s="892" t="s">
        <v>2011</v>
      </c>
      <c r="C114" s="904">
        <f>'Revenues 9-14'!B158</f>
        <v>3695</v>
      </c>
      <c r="D114" s="895" t="str">
        <f>'Revenues 9-14'!A158</f>
        <v>Truant Alternative/Optional Education</v>
      </c>
      <c r="E114" s="890"/>
      <c r="F114" s="1772">
        <f ca="1">SUM('Revenues 9-14'!C158,'Revenues 9-14'!F158,'Revenues 9-14'!G158)</f>
        <v>0</v>
      </c>
      <c r="G114" s="896"/>
    </row>
    <row r="115" spans="1:7" x14ac:dyDescent="0.2">
      <c r="A115" s="892" t="s">
        <v>668</v>
      </c>
      <c r="B115" s="892" t="s">
        <v>2012</v>
      </c>
      <c r="C115" s="904">
        <f>'Revenues 9-14'!B160</f>
        <v>3766</v>
      </c>
      <c r="D115" s="895" t="str">
        <f>'Revenues 9-14'!A160</f>
        <v>Chicago General Education Block Grant</v>
      </c>
      <c r="E115" s="890"/>
      <c r="F115" s="1772">
        <f ca="1">SUM('Revenues 9-14'!C160,'Revenues 9-14'!D160,'Revenues 9-14'!F160,'Revenues 9-14'!G160)</f>
        <v>0</v>
      </c>
      <c r="G115" s="896"/>
    </row>
    <row r="116" spans="1:7" x14ac:dyDescent="0.2">
      <c r="A116" s="892" t="s">
        <v>668</v>
      </c>
      <c r="B116" s="892" t="s">
        <v>2013</v>
      </c>
      <c r="C116" s="904">
        <f>'Revenues 9-14'!B161</f>
        <v>3767</v>
      </c>
      <c r="D116" s="895" t="str">
        <f>'Revenues 9-14'!A161</f>
        <v>Chicago Educational Services Block Grant</v>
      </c>
      <c r="E116" s="890"/>
      <c r="F116" s="1772">
        <f ca="1">SUM('Revenues 9-14'!C161,'Revenues 9-14'!D161,'Revenues 9-14'!F161,'Revenues 9-14'!G161)</f>
        <v>0</v>
      </c>
      <c r="G116" s="896"/>
    </row>
    <row r="117" spans="1:7" x14ac:dyDescent="0.2">
      <c r="A117" s="907" t="s">
        <v>1009</v>
      </c>
      <c r="B117" s="907" t="s">
        <v>2014</v>
      </c>
      <c r="C117" s="908">
        <f>'Revenues 9-14'!B162</f>
        <v>3775</v>
      </c>
      <c r="D117" s="909" t="str">
        <f>'Revenues 9-14'!A162</f>
        <v>School Safety &amp; Educational Improvement Block Grant</v>
      </c>
      <c r="E117" s="890"/>
      <c r="F117" s="1890">
        <f ca="1">SUM('Revenues 9-14'!C162,'Revenues 9-14'!D162,'Revenues 9-14'!E162,'Revenues 9-14'!F162,'Revenues 9-14'!G162)</f>
        <v>0</v>
      </c>
      <c r="G117" s="896"/>
    </row>
    <row r="118" spans="1:7" x14ac:dyDescent="0.2">
      <c r="A118" s="907" t="s">
        <v>1009</v>
      </c>
      <c r="B118" s="907" t="s">
        <v>2015</v>
      </c>
      <c r="C118" s="908">
        <f>'Revenues 9-14'!B163</f>
        <v>3780</v>
      </c>
      <c r="D118" s="909" t="str">
        <f>'Revenues 9-14'!A163</f>
        <v>Technology - Technology for Success</v>
      </c>
      <c r="E118" s="890"/>
      <c r="F118" s="1890">
        <f ca="1">SUM('Revenues 9-14'!C163:G163)</f>
        <v>0</v>
      </c>
      <c r="G118" s="896"/>
    </row>
    <row r="119" spans="1:7" x14ac:dyDescent="0.2">
      <c r="A119" s="907" t="s">
        <v>504</v>
      </c>
      <c r="B119" s="907" t="s">
        <v>2016</v>
      </c>
      <c r="C119" s="908">
        <f>'Revenues 9-14'!B164</f>
        <v>3815</v>
      </c>
      <c r="D119" s="909" t="str">
        <f>'Revenues 9-14'!A164</f>
        <v>State Charter Schools</v>
      </c>
      <c r="E119" s="890"/>
      <c r="F119" s="1890">
        <f ca="1">SUM('Revenues 9-14'!C164,'Revenues 9-14'!F164)</f>
        <v>0</v>
      </c>
      <c r="G119" s="896"/>
    </row>
    <row r="120" spans="1:7" x14ac:dyDescent="0.2">
      <c r="A120" s="911" t="s">
        <v>460</v>
      </c>
      <c r="B120" s="911" t="s">
        <v>2017</v>
      </c>
      <c r="C120" s="912">
        <f>'Revenues 9-14'!B167</f>
        <v>3925</v>
      </c>
      <c r="D120" s="913" t="str">
        <f>'Revenues 9-14'!A167</f>
        <v>School Infrastructure - Maintenance Projects</v>
      </c>
      <c r="E120" s="890"/>
      <c r="F120" s="1772">
        <f ca="1">'Revenues 9-14'!D167</f>
        <v>0</v>
      </c>
      <c r="G120" s="914"/>
    </row>
    <row r="121" spans="1:7" x14ac:dyDescent="0.2">
      <c r="A121" s="911" t="s">
        <v>500</v>
      </c>
      <c r="B121" s="911" t="s">
        <v>2018</v>
      </c>
      <c r="C121" s="912">
        <f>'Revenues 9-14'!B168</f>
        <v>3999</v>
      </c>
      <c r="D121" s="913" t="s">
        <v>543</v>
      </c>
      <c r="E121" s="915"/>
      <c r="F121" s="1772">
        <f ca="1">SUM('Revenues 9-14'!C168:G168,'Revenues 9-14'!J168)</f>
        <v>0</v>
      </c>
      <c r="G121" s="914"/>
    </row>
    <row r="122" spans="1:7" x14ac:dyDescent="0.2">
      <c r="A122" s="911" t="s">
        <v>459</v>
      </c>
      <c r="B122" s="911" t="s">
        <v>2019</v>
      </c>
      <c r="C122" s="916">
        <f>'Revenues 9-14'!B177</f>
        <v>4045</v>
      </c>
      <c r="D122" s="913" t="str">
        <f>'Revenues 9-14'!A177 &amp; " (Subtract)"</f>
        <v>Head Start (Subtract)</v>
      </c>
      <c r="E122" s="890"/>
      <c r="F122" s="1772">
        <f ca="1">SUM(-'Revenues 9-14'!C177)</f>
        <v>0</v>
      </c>
      <c r="G122" s="914"/>
    </row>
    <row r="123" spans="1:7" x14ac:dyDescent="0.2">
      <c r="A123" s="911" t="s">
        <v>668</v>
      </c>
      <c r="B123" s="911" t="s">
        <v>2020</v>
      </c>
      <c r="C123" s="916" t="s">
        <v>982</v>
      </c>
      <c r="D123" s="913" t="str">
        <f>('Revenues 9-14'!A181)</f>
        <v>Total Restricted Grants-In-Aid Received Directly from Federal Govt</v>
      </c>
      <c r="E123" s="890"/>
      <c r="F123" s="1772">
        <f ca="1">SUM('Revenues 9-14'!C181,'Revenues 9-14'!D181,'Revenues 9-14'!F181,'Revenues 9-14'!G181)</f>
        <v>23992</v>
      </c>
      <c r="G123" s="914"/>
    </row>
    <row r="124" spans="1:7" x14ac:dyDescent="0.2">
      <c r="A124" s="911" t="s">
        <v>668</v>
      </c>
      <c r="B124" s="911" t="s">
        <v>2021</v>
      </c>
      <c r="C124" s="916">
        <v>4100</v>
      </c>
      <c r="D124" s="917" t="str">
        <f>'Revenues 9-14'!A188</f>
        <v>Total Title V</v>
      </c>
      <c r="E124" s="890"/>
      <c r="F124" s="1772">
        <f ca="1">SUM('Revenues 9-14'!C188,'Revenues 9-14'!D188,'Revenues 9-14'!F188,'Revenues 9-14'!G188)</f>
        <v>0</v>
      </c>
      <c r="G124" s="914"/>
    </row>
    <row r="125" spans="1:7" x14ac:dyDescent="0.2">
      <c r="A125" s="911" t="s">
        <v>664</v>
      </c>
      <c r="B125" s="911" t="s">
        <v>2022</v>
      </c>
      <c r="C125" s="916">
        <v>4200</v>
      </c>
      <c r="D125" s="913" t="str">
        <f>'Revenues 9-14'!A198</f>
        <v>Total Food Service</v>
      </c>
      <c r="E125" s="890"/>
      <c r="F125" s="1772">
        <f ca="1">SUM('Revenues 9-14'!C198,'Revenues 9-14'!G198)</f>
        <v>34400</v>
      </c>
      <c r="G125" s="914"/>
    </row>
    <row r="126" spans="1:7" x14ac:dyDescent="0.2">
      <c r="A126" s="911" t="s">
        <v>668</v>
      </c>
      <c r="B126" s="911" t="s">
        <v>2023</v>
      </c>
      <c r="C126" s="916">
        <v>4300</v>
      </c>
      <c r="D126" s="917" t="str">
        <f>'Revenues 9-14'!A204</f>
        <v>Total Title I</v>
      </c>
      <c r="E126" s="890"/>
      <c r="F126" s="1772">
        <f ca="1">SUM('Revenues 9-14'!C204,'Revenues 9-14'!D204,'Revenues 9-14'!F204,'Revenues 9-14'!G204)</f>
        <v>37345</v>
      </c>
      <c r="G126" s="914"/>
    </row>
    <row r="127" spans="1:7" x14ac:dyDescent="0.2">
      <c r="A127" s="911" t="s">
        <v>668</v>
      </c>
      <c r="B127" s="911" t="s">
        <v>2024</v>
      </c>
      <c r="C127" s="916">
        <v>4400</v>
      </c>
      <c r="D127" s="917" t="str">
        <f>'Revenues 9-14'!A209</f>
        <v>Total Title IV</v>
      </c>
      <c r="E127" s="890"/>
      <c r="F127" s="1772">
        <f ca="1">SUM('Revenues 9-14'!C209,'Revenues 9-14'!D209,'Revenues 9-14'!F209,'Revenues 9-14'!G209)</f>
        <v>10000</v>
      </c>
      <c r="G127" s="914"/>
    </row>
    <row r="128" spans="1:7" x14ac:dyDescent="0.2">
      <c r="A128" s="911" t="s">
        <v>668</v>
      </c>
      <c r="B128" s="911" t="s">
        <v>2025</v>
      </c>
      <c r="C128" s="916">
        <f>'Revenues 9-14'!B213</f>
        <v>4620</v>
      </c>
      <c r="D128" s="917" t="str">
        <f>'Revenues 9-14'!A213</f>
        <v>Fed - Spec Education - IDEA - Flow Through</v>
      </c>
      <c r="E128" s="890"/>
      <c r="F128" s="1772">
        <f ca="1">SUM('Revenues 9-14'!C213:D213,'Revenues 9-14'!F213:G213)</f>
        <v>0</v>
      </c>
      <c r="G128" s="914"/>
    </row>
    <row r="129" spans="1:7" x14ac:dyDescent="0.2">
      <c r="A129" s="911" t="s">
        <v>668</v>
      </c>
      <c r="B129" s="911" t="s">
        <v>2026</v>
      </c>
      <c r="C129" s="916">
        <f>'Revenues 9-14'!B214</f>
        <v>4625</v>
      </c>
      <c r="D129" s="917" t="str">
        <f>'Revenues 9-14'!A214</f>
        <v>Fed - Spec Education - IDEA - Room &amp; Board</v>
      </c>
      <c r="E129" s="890"/>
      <c r="F129" s="1772">
        <f ca="1">SUM('Revenues 9-14'!C214,'Revenues 9-14'!D214,'Revenues 9-14'!F214,'Revenues 9-14'!G214)</f>
        <v>11788</v>
      </c>
      <c r="G129" s="914"/>
    </row>
    <row r="130" spans="1:7" x14ac:dyDescent="0.2">
      <c r="A130" s="911" t="s">
        <v>668</v>
      </c>
      <c r="B130" s="911" t="s">
        <v>2027</v>
      </c>
      <c r="C130" s="916">
        <f>'Revenues 9-14'!B215</f>
        <v>4630</v>
      </c>
      <c r="D130" s="917" t="str">
        <f>'Revenues 9-14'!A215</f>
        <v>Fed - Spec Education - IDEA - Discretionary</v>
      </c>
      <c r="E130" s="890"/>
      <c r="F130" s="1772">
        <f ca="1">SUM('Revenues 9-14'!C215:D215,'Revenues 9-14'!F215:G215)</f>
        <v>0</v>
      </c>
      <c r="G130" s="914">
        <v>6297</v>
      </c>
    </row>
    <row r="131" spans="1:7" x14ac:dyDescent="0.2">
      <c r="A131" s="911" t="s">
        <v>668</v>
      </c>
      <c r="B131" s="911" t="s">
        <v>776</v>
      </c>
      <c r="C131" s="916">
        <f>'Revenues 9-14'!B216</f>
        <v>4699</v>
      </c>
      <c r="D131" s="917" t="str">
        <f>'Revenues 9-14'!A216</f>
        <v>Fed - Spec Education - IDEA - Other (Describe &amp; Itemize)</v>
      </c>
      <c r="E131" s="890"/>
      <c r="F131" s="1772">
        <f ca="1">SUM('Revenues 9-14'!C216:D216,'Revenues 9-14'!F216:G216)</f>
        <v>0</v>
      </c>
      <c r="G131" s="914"/>
    </row>
    <row r="132" spans="1:7" x14ac:dyDescent="0.2">
      <c r="A132" s="911" t="s">
        <v>673</v>
      </c>
      <c r="B132" s="911" t="s">
        <v>2028</v>
      </c>
      <c r="C132" s="916">
        <v>4700</v>
      </c>
      <c r="D132" s="913" t="str">
        <f>'Revenues 9-14'!A221</f>
        <v>Total CTE - Perkins</v>
      </c>
      <c r="E132" s="890"/>
      <c r="F132" s="1772">
        <f ca="1">SUM('Revenues 9-14'!C221,'Revenues 9-14'!D221,'Revenues 9-14'!G221)</f>
        <v>0</v>
      </c>
      <c r="G132" s="914">
        <v>6303</v>
      </c>
    </row>
    <row r="133" spans="1:7" s="851" customFormat="1" hidden="1" x14ac:dyDescent="0.2">
      <c r="A133" s="918" t="s">
        <v>206</v>
      </c>
      <c r="B133" s="918" t="s">
        <v>2029</v>
      </c>
      <c r="C133" s="919" t="s">
        <v>207</v>
      </c>
      <c r="D133" s="920" t="str">
        <f>'Revenues 9-14'!A224</f>
        <v>ARRA - Title I - Low Income</v>
      </c>
      <c r="E133" s="921"/>
      <c r="F133" s="1890">
        <f ca="1">SUM('Revenues 9-14'!$C$224:$D$224,'Revenues 9-14'!$F$224:$G$224)</f>
        <v>0</v>
      </c>
      <c r="G133" s="889"/>
    </row>
    <row r="134" spans="1:7" s="851" customFormat="1" hidden="1" x14ac:dyDescent="0.2">
      <c r="A134" s="918" t="s">
        <v>206</v>
      </c>
      <c r="B134" s="918" t="s">
        <v>2030</v>
      </c>
      <c r="C134" s="919" t="s">
        <v>208</v>
      </c>
      <c r="D134" s="920" t="str">
        <f>'Revenues 9-14'!A225</f>
        <v>ARRA - Title I - Neglected, Private</v>
      </c>
      <c r="E134" s="921"/>
      <c r="F134" s="1772">
        <f ca="1">SUM('Revenues 9-14'!C225:G225,'Revenues 9-14'!J225)</f>
        <v>0</v>
      </c>
      <c r="G134" s="889"/>
    </row>
    <row r="135" spans="1:7" s="851" customFormat="1" hidden="1" x14ac:dyDescent="0.2">
      <c r="A135" s="918" t="s">
        <v>206</v>
      </c>
      <c r="B135" s="918" t="s">
        <v>2031</v>
      </c>
      <c r="C135" s="919" t="s">
        <v>209</v>
      </c>
      <c r="D135" s="920" t="str">
        <f>'Revenues 9-14'!A226</f>
        <v>ARRA - Title I - Delinquent, Private</v>
      </c>
      <c r="E135" s="921"/>
      <c r="F135" s="1772">
        <f ca="1">SUM('Revenues 9-14'!C226:G226,'Revenues 9-14'!J226)</f>
        <v>0</v>
      </c>
      <c r="G135" s="889"/>
    </row>
    <row r="136" spans="1:7" s="851" customFormat="1" hidden="1" x14ac:dyDescent="0.2">
      <c r="A136" s="918" t="s">
        <v>206</v>
      </c>
      <c r="B136" s="918" t="s">
        <v>2032</v>
      </c>
      <c r="C136" s="919" t="s">
        <v>210</v>
      </c>
      <c r="D136" s="920" t="str">
        <f>'Revenues 9-14'!A227</f>
        <v>ARRA - Title I - School Improvement (Part A)</v>
      </c>
      <c r="E136" s="921"/>
      <c r="F136" s="1772">
        <f ca="1">SUM('Revenues 9-14'!C227:G227,'Revenues 9-14'!J227)</f>
        <v>0</v>
      </c>
      <c r="G136" s="889"/>
    </row>
    <row r="137" spans="1:7" s="851" customFormat="1" hidden="1" x14ac:dyDescent="0.2">
      <c r="A137" s="918" t="s">
        <v>206</v>
      </c>
      <c r="B137" s="918" t="s">
        <v>2033</v>
      </c>
      <c r="C137" s="919" t="s">
        <v>211</v>
      </c>
      <c r="D137" s="920" t="str">
        <f>'Revenues 9-14'!A228</f>
        <v>ARRA - Title I - School Improvement (Section 1003g)</v>
      </c>
      <c r="E137" s="921"/>
      <c r="F137" s="1772">
        <f ca="1">SUM('Revenues 9-14'!C228:G228,'Revenues 9-14'!J228)</f>
        <v>0</v>
      </c>
      <c r="G137" s="889"/>
    </row>
    <row r="138" spans="1:7" s="851" customFormat="1" hidden="1" x14ac:dyDescent="0.2">
      <c r="A138" s="918" t="s">
        <v>206</v>
      </c>
      <c r="B138" s="918" t="s">
        <v>2034</v>
      </c>
      <c r="C138" s="919" t="s">
        <v>212</v>
      </c>
      <c r="D138" s="920" t="str">
        <f>'Revenues 9-14'!A229</f>
        <v>ARRA - IDEA - Part B - Preschool</v>
      </c>
      <c r="E138" s="921"/>
      <c r="F138" s="1772">
        <v>0</v>
      </c>
      <c r="G138" s="889"/>
    </row>
    <row r="139" spans="1:7" s="851" customFormat="1" hidden="1" x14ac:dyDescent="0.2">
      <c r="A139" s="918" t="s">
        <v>206</v>
      </c>
      <c r="B139" s="918" t="s">
        <v>2035</v>
      </c>
      <c r="C139" s="919" t="s">
        <v>213</v>
      </c>
      <c r="D139" s="920" t="str">
        <f>'Revenues 9-14'!A230</f>
        <v>ARRA - IDEA - Part B - Flow-Through</v>
      </c>
      <c r="E139" s="921"/>
      <c r="F139" s="1772">
        <f ca="1">SUM('Revenues 9-14'!C230:G230,'Revenues 9-14'!J230)</f>
        <v>0</v>
      </c>
      <c r="G139" s="889"/>
    </row>
    <row r="140" spans="1:7" s="851" customFormat="1" hidden="1" x14ac:dyDescent="0.2">
      <c r="A140" s="918" t="s">
        <v>206</v>
      </c>
      <c r="B140" s="918" t="s">
        <v>2036</v>
      </c>
      <c r="C140" s="919" t="s">
        <v>214</v>
      </c>
      <c r="D140" s="920" t="str">
        <f>'Revenues 9-14'!A231</f>
        <v>ARRA - Title IID - Technology-Formula</v>
      </c>
      <c r="E140" s="921"/>
      <c r="F140" s="1772">
        <f ca="1">SUM('Revenues 9-14'!C231:G231,'Revenues 9-14'!J231)</f>
        <v>0</v>
      </c>
      <c r="G140" s="889"/>
    </row>
    <row r="141" spans="1:7" s="851" customFormat="1" hidden="1" x14ac:dyDescent="0.2">
      <c r="A141" s="918" t="s">
        <v>206</v>
      </c>
      <c r="B141" s="918" t="s">
        <v>2037</v>
      </c>
      <c r="C141" s="919" t="s">
        <v>216</v>
      </c>
      <c r="D141" s="920" t="str">
        <f>'Revenues 9-14'!A232</f>
        <v>ARRA - Title IID - Technology-Competitive</v>
      </c>
      <c r="E141" s="921"/>
      <c r="F141" s="1772">
        <f ca="1">SUM('Revenues 9-14'!C232:G232,'Revenues 9-14'!J232)</f>
        <v>0</v>
      </c>
      <c r="G141" s="889"/>
    </row>
    <row r="142" spans="1:7" s="851" customFormat="1" hidden="1" x14ac:dyDescent="0.2">
      <c r="A142" s="918" t="s">
        <v>668</v>
      </c>
      <c r="B142" s="918" t="s">
        <v>2038</v>
      </c>
      <c r="C142" s="919" t="s">
        <v>217</v>
      </c>
      <c r="D142" s="920" t="str">
        <f>'Revenues 9-14'!A233</f>
        <v>ARRA - McKinney - Vento Homeless Education</v>
      </c>
      <c r="E142" s="921"/>
      <c r="F142" s="1772">
        <f ca="1">SUM('Revenues 9-14'!C233:G233,'Revenues 9-14'!J233)</f>
        <v>0</v>
      </c>
      <c r="G142" s="889"/>
    </row>
    <row r="143" spans="1:7" s="851" customFormat="1" hidden="1" x14ac:dyDescent="0.2">
      <c r="A143" s="918" t="s">
        <v>206</v>
      </c>
      <c r="B143" s="918" t="s">
        <v>215</v>
      </c>
      <c r="C143" s="919" t="s">
        <v>218</v>
      </c>
      <c r="D143" s="920" t="str">
        <f>'Revenues 9-14'!A237</f>
        <v>Qualified Zone Academy Bond Tax Credits</v>
      </c>
      <c r="E143" s="921"/>
      <c r="F143" s="1772">
        <f ca="1">SUM('Revenues 9-14'!C237:G237,'Revenues 9-14'!J237)</f>
        <v>0</v>
      </c>
      <c r="G143" s="889"/>
    </row>
    <row r="144" spans="1:7" s="851" customFormat="1" hidden="1" x14ac:dyDescent="0.2">
      <c r="A144" s="918" t="s">
        <v>206</v>
      </c>
      <c r="B144" s="918" t="s">
        <v>809</v>
      </c>
      <c r="C144" s="919" t="s">
        <v>219</v>
      </c>
      <c r="D144" s="920" t="str">
        <f>'Revenues 9-14'!A238</f>
        <v>Qualified School Construction Bond Credits</v>
      </c>
      <c r="E144" s="921"/>
      <c r="F144" s="1772">
        <f ca="1">SUM('Revenues 9-14'!C238:G238,'Revenues 9-14'!J238)</f>
        <v>0</v>
      </c>
      <c r="G144" s="889"/>
    </row>
    <row r="145" spans="1:7" s="851" customFormat="1" hidden="1" x14ac:dyDescent="0.2">
      <c r="A145" s="918" t="s">
        <v>206</v>
      </c>
      <c r="B145" s="918" t="s">
        <v>1416</v>
      </c>
      <c r="C145" s="919" t="s">
        <v>221</v>
      </c>
      <c r="D145" s="920" t="str">
        <f>'Revenues 9-14'!A239</f>
        <v>Build America Bond Tax Credits</v>
      </c>
      <c r="E145" s="921"/>
      <c r="F145" s="1772">
        <f ca="1">SUM('Revenues 9-14'!C239:G239,'Revenues 9-14'!J239)</f>
        <v>0</v>
      </c>
      <c r="G145" s="889"/>
    </row>
    <row r="146" spans="1:7" s="851" customFormat="1" hidden="1" x14ac:dyDescent="0.2">
      <c r="A146" s="918" t="s">
        <v>206</v>
      </c>
      <c r="B146" s="918" t="s">
        <v>2039</v>
      </c>
      <c r="C146" s="919" t="s">
        <v>223</v>
      </c>
      <c r="D146" s="920" t="str">
        <f>'Revenues 9-14'!A240</f>
        <v>Build America Bond Interest Reimbursement</v>
      </c>
      <c r="E146" s="921"/>
      <c r="F146" s="1772">
        <f ca="1">SUM('Revenues 9-14'!C240:G240,'Revenues 9-14'!J240)</f>
        <v>0</v>
      </c>
      <c r="G146" s="889"/>
    </row>
    <row r="147" spans="1:7" s="851" customFormat="1" hidden="1" x14ac:dyDescent="0.2">
      <c r="A147" s="918" t="s">
        <v>206</v>
      </c>
      <c r="B147" s="918" t="s">
        <v>2040</v>
      </c>
      <c r="C147" s="919" t="s">
        <v>225</v>
      </c>
      <c r="D147" s="920" t="str">
        <f>'Revenues 9-14'!A242</f>
        <v>Other ARRA Funds - II</v>
      </c>
      <c r="E147" s="921"/>
      <c r="F147" s="1772">
        <f ca="1">SUM('Revenues 9-14'!C242:G242,'Revenues 9-14'!J242)</f>
        <v>0</v>
      </c>
      <c r="G147" s="889"/>
    </row>
    <row r="148" spans="1:7" s="851" customFormat="1" hidden="1" x14ac:dyDescent="0.2">
      <c r="A148" s="918" t="s">
        <v>206</v>
      </c>
      <c r="B148" s="918" t="s">
        <v>2041</v>
      </c>
      <c r="C148" s="919" t="s">
        <v>226</v>
      </c>
      <c r="D148" s="920" t="str">
        <f>'Revenues 9-14'!A243</f>
        <v>Other ARRA Funds - III</v>
      </c>
      <c r="E148" s="921"/>
      <c r="F148" s="1772">
        <f ca="1">SUM('Revenues 9-14'!C243:G243,'Revenues 9-14'!J243)</f>
        <v>0</v>
      </c>
      <c r="G148" s="889"/>
    </row>
    <row r="149" spans="1:7" s="851" customFormat="1" hidden="1" x14ac:dyDescent="0.2">
      <c r="A149" s="918" t="s">
        <v>206</v>
      </c>
      <c r="B149" s="918" t="s">
        <v>220</v>
      </c>
      <c r="C149" s="919" t="s">
        <v>228</v>
      </c>
      <c r="D149" s="920" t="str">
        <f>'Revenues 9-14'!A244</f>
        <v>Other ARRA Funds - IV</v>
      </c>
      <c r="E149" s="921"/>
      <c r="F149" s="1772">
        <f ca="1">SUM('Revenues 9-14'!C244:G244,'Revenues 9-14'!J244)</f>
        <v>0</v>
      </c>
      <c r="G149" s="889"/>
    </row>
    <row r="150" spans="1:7" s="851" customFormat="1" hidden="1" x14ac:dyDescent="0.2">
      <c r="A150" s="918" t="s">
        <v>206</v>
      </c>
      <c r="B150" s="918" t="s">
        <v>222</v>
      </c>
      <c r="C150" s="919" t="s">
        <v>230</v>
      </c>
      <c r="D150" s="920" t="str">
        <f>'Revenues 9-14'!A245</f>
        <v>Other ARRA Funds - V</v>
      </c>
      <c r="E150" s="921"/>
      <c r="F150" s="1772">
        <f ca="1">SUM('Revenues 9-14'!C245:G245,'Revenues 9-14'!J245)</f>
        <v>0</v>
      </c>
      <c r="G150" s="889"/>
    </row>
    <row r="151" spans="1:7" s="851" customFormat="1" hidden="1" x14ac:dyDescent="0.2">
      <c r="A151" s="918" t="s">
        <v>206</v>
      </c>
      <c r="B151" s="918" t="s">
        <v>224</v>
      </c>
      <c r="C151" s="919" t="s">
        <v>232</v>
      </c>
      <c r="D151" s="920" t="str">
        <f>'Revenues 9-14'!A246</f>
        <v>ARRA - Early Childhood</v>
      </c>
      <c r="E151" s="921"/>
      <c r="F151" s="1772">
        <v>0</v>
      </c>
      <c r="G151" s="889"/>
    </row>
    <row r="152" spans="1:7" s="851" customFormat="1" hidden="1" x14ac:dyDescent="0.2">
      <c r="A152" s="918" t="s">
        <v>206</v>
      </c>
      <c r="B152" s="918" t="s">
        <v>1417</v>
      </c>
      <c r="C152" s="919" t="s">
        <v>233</v>
      </c>
      <c r="D152" s="920" t="str">
        <f>'Revenues 9-14'!A247</f>
        <v>Other ARRA Funds VII</v>
      </c>
      <c r="E152" s="921"/>
      <c r="F152" s="1772">
        <f ca="1">SUM('Revenues 9-14'!C247:G247,'Revenues 9-14'!J247)</f>
        <v>0</v>
      </c>
      <c r="G152" s="889"/>
    </row>
    <row r="153" spans="1:7" s="851" customFormat="1" hidden="1" x14ac:dyDescent="0.2">
      <c r="A153" s="918" t="s">
        <v>206</v>
      </c>
      <c r="B153" s="918" t="s">
        <v>2042</v>
      </c>
      <c r="C153" s="919" t="s">
        <v>234</v>
      </c>
      <c r="D153" s="920" t="str">
        <f>'Revenues 9-14'!A248</f>
        <v>Other ARRA Funds VIII</v>
      </c>
      <c r="E153" s="921"/>
      <c r="F153" s="1772">
        <f ca="1">SUM('Revenues 9-14'!C248:G248,'Revenues 9-14'!J248)</f>
        <v>0</v>
      </c>
      <c r="G153" s="889"/>
    </row>
    <row r="154" spans="1:7" s="851" customFormat="1" hidden="1" x14ac:dyDescent="0.2">
      <c r="A154" s="918" t="s">
        <v>206</v>
      </c>
      <c r="B154" s="918" t="s">
        <v>227</v>
      </c>
      <c r="C154" s="919" t="s">
        <v>235</v>
      </c>
      <c r="D154" s="920" t="str">
        <f>'Revenues 9-14'!A249</f>
        <v>Other ARRA Funds IX</v>
      </c>
      <c r="E154" s="921"/>
      <c r="F154" s="1772">
        <f ca="1">SUM('Revenues 9-14'!C249:G249,'Revenues 9-14'!J249)</f>
        <v>0</v>
      </c>
      <c r="G154" s="889"/>
    </row>
    <row r="155" spans="1:7" s="851" customFormat="1" hidden="1" x14ac:dyDescent="0.2">
      <c r="A155" s="918" t="s">
        <v>206</v>
      </c>
      <c r="B155" s="918" t="s">
        <v>229</v>
      </c>
      <c r="C155" s="919" t="s">
        <v>236</v>
      </c>
      <c r="D155" s="920" t="str">
        <f>'Revenues 9-14'!A250</f>
        <v>Other ARRA Funds X</v>
      </c>
      <c r="E155" s="921"/>
      <c r="F155" s="1772">
        <f ca="1">SUM('Revenues 9-14'!C250:G250,'Revenues 9-14'!J250)</f>
        <v>0</v>
      </c>
      <c r="G155" s="889"/>
    </row>
    <row r="156" spans="1:7" s="851" customFormat="1" hidden="1" x14ac:dyDescent="0.2">
      <c r="A156" s="918" t="s">
        <v>206</v>
      </c>
      <c r="B156" s="918" t="s">
        <v>231</v>
      </c>
      <c r="C156" s="919" t="s">
        <v>237</v>
      </c>
      <c r="D156" s="920" t="str">
        <f>'Revenues 9-14'!A251</f>
        <v>Other ARRA Funds Ed Job Fund Program</v>
      </c>
      <c r="E156" s="921"/>
      <c r="F156" s="1772">
        <f ca="1">SUM('Revenues 9-14'!C251:G251,'Revenues 9-14'!J251)</f>
        <v>0</v>
      </c>
      <c r="G156" s="889"/>
    </row>
    <row r="157" spans="1:7" s="851" customFormat="1" x14ac:dyDescent="0.2">
      <c r="A157" s="922" t="s">
        <v>500</v>
      </c>
      <c r="B157" s="923" t="s">
        <v>2043</v>
      </c>
      <c r="C157" s="924" t="s">
        <v>841</v>
      </c>
      <c r="D157" s="925" t="s">
        <v>777</v>
      </c>
      <c r="E157" s="926"/>
      <c r="F157" s="1772">
        <f ca="1">SUM(F133:F156)</f>
        <v>0</v>
      </c>
      <c r="G157" s="889"/>
    </row>
    <row r="158" spans="1:7" s="851" customFormat="1" x14ac:dyDescent="0.2">
      <c r="A158" s="922" t="s">
        <v>459</v>
      </c>
      <c r="B158" s="923" t="s">
        <v>2044</v>
      </c>
      <c r="C158" s="924" t="s">
        <v>1427</v>
      </c>
      <c r="D158" s="925" t="s">
        <v>1428</v>
      </c>
      <c r="E158" s="926"/>
      <c r="F158" s="1772">
        <f ca="1">SUM('Revenues 9-14'!C253)</f>
        <v>0</v>
      </c>
      <c r="G158" s="889"/>
    </row>
    <row r="159" spans="1:7" s="851" customFormat="1" x14ac:dyDescent="0.2">
      <c r="A159" s="922" t="s">
        <v>500</v>
      </c>
      <c r="B159" s="923" t="s">
        <v>2045</v>
      </c>
      <c r="C159" s="924" t="s">
        <v>1466</v>
      </c>
      <c r="D159" s="925" t="s">
        <v>1467</v>
      </c>
      <c r="E159" s="926"/>
      <c r="F159" s="1772">
        <f ca="1">SUM('Revenues 9-14'!C254:H254,'Revenues 9-14'!J254:K254)</f>
        <v>0</v>
      </c>
      <c r="G159" s="889"/>
    </row>
    <row r="160" spans="1:7" x14ac:dyDescent="0.2">
      <c r="A160" s="911" t="s">
        <v>5</v>
      </c>
      <c r="B160" s="911" t="s">
        <v>2046</v>
      </c>
      <c r="C160" s="916">
        <f>'Revenues 9-14'!B255</f>
        <v>4905</v>
      </c>
      <c r="D160" s="913" t="str">
        <f>'Revenues 9-14'!A255</f>
        <v>Title III - Immigrant Education Program (IEP)</v>
      </c>
      <c r="E160" s="890"/>
      <c r="F160" s="1772">
        <f ca="1">SUM('Revenues 9-14'!C255,'Revenues 9-14'!F255,'Revenues 9-14'!G255)</f>
        <v>0</v>
      </c>
      <c r="G160" s="927">
        <v>6306</v>
      </c>
    </row>
    <row r="161" spans="1:7" x14ac:dyDescent="0.2">
      <c r="A161" s="911" t="s">
        <v>5</v>
      </c>
      <c r="B161" s="911" t="s">
        <v>2047</v>
      </c>
      <c r="C161" s="916">
        <f>'Revenues 9-14'!B256</f>
        <v>4909</v>
      </c>
      <c r="D161" s="913" t="str">
        <f>'Revenues 9-14'!A256</f>
        <v>Title III - Language Inst Program - Limited Eng (LIPLEP)</v>
      </c>
      <c r="E161" s="890"/>
      <c r="F161" s="1772">
        <f ca="1">SUM('Revenues 9-14'!C256,'Revenues 9-14'!F256,'Revenues 9-14'!G256)</f>
        <v>0</v>
      </c>
      <c r="G161" s="927"/>
    </row>
    <row r="162" spans="1:7" x14ac:dyDescent="0.2">
      <c r="A162" s="911" t="s">
        <v>668</v>
      </c>
      <c r="B162" s="911" t="s">
        <v>2048</v>
      </c>
      <c r="C162" s="916">
        <f>'Revenues 9-14'!B257</f>
        <v>4920</v>
      </c>
      <c r="D162" s="913" t="str">
        <f>'Revenues 9-14'!A257</f>
        <v>McKinney Education for Homeless Children</v>
      </c>
      <c r="E162" s="890"/>
      <c r="F162" s="1772">
        <f ca="1">SUM('Revenues 9-14'!C257,'Revenues 9-14'!D257,'Revenues 9-14'!F257,'Revenues 9-14'!G257)</f>
        <v>0</v>
      </c>
      <c r="G162" s="914"/>
    </row>
    <row r="163" spans="1:7" x14ac:dyDescent="0.2">
      <c r="A163" s="928" t="s">
        <v>668</v>
      </c>
      <c r="B163" s="928" t="s">
        <v>2049</v>
      </c>
      <c r="C163" s="929">
        <f>'Revenues 9-14'!B258</f>
        <v>4930</v>
      </c>
      <c r="D163" s="930" t="str">
        <f>'Revenues 9-14'!A258</f>
        <v>Title II - Eisenhower Professional Development Formula</v>
      </c>
      <c r="E163" s="910"/>
      <c r="F163" s="1890">
        <f ca="1">SUM('Revenues 9-14'!C258:D258,'Revenues 9-14'!F258,'Revenues 9-14'!G258)</f>
        <v>0</v>
      </c>
      <c r="G163" s="914"/>
    </row>
    <row r="164" spans="1:7" x14ac:dyDescent="0.2">
      <c r="A164" s="911" t="s">
        <v>668</v>
      </c>
      <c r="B164" s="911" t="s">
        <v>2050</v>
      </c>
      <c r="C164" s="916">
        <f>'Revenues 9-14'!B259</f>
        <v>4932</v>
      </c>
      <c r="D164" s="917" t="str">
        <f>'Revenues 9-14'!A259</f>
        <v>Title II - Teacher Quality</v>
      </c>
      <c r="E164" s="890"/>
      <c r="F164" s="1890">
        <f ca="1">SUM('Revenues 9-14'!C259,'Revenues 9-14'!D259,'Revenues 9-14'!F259,'Revenues 9-14'!G259)</f>
        <v>3286</v>
      </c>
      <c r="G164" s="914"/>
    </row>
    <row r="165" spans="1:7" x14ac:dyDescent="0.2">
      <c r="A165" s="911" t="s">
        <v>668</v>
      </c>
      <c r="B165" s="911" t="s">
        <v>2051</v>
      </c>
      <c r="C165" s="916">
        <f>'Revenues 9-14'!B260</f>
        <v>4960</v>
      </c>
      <c r="D165" s="913" t="str">
        <f>'Revenues 9-14'!A260</f>
        <v>Federal Charter Schools</v>
      </c>
      <c r="E165" s="890"/>
      <c r="F165" s="1772">
        <f ca="1">SUM('Revenues 9-14'!C260:D260,'Revenues 9-14'!F260:G260)</f>
        <v>0</v>
      </c>
      <c r="G165" s="914"/>
    </row>
    <row r="166" spans="1:7" x14ac:dyDescent="0.2">
      <c r="A166" s="911" t="s">
        <v>668</v>
      </c>
      <c r="B166" s="911" t="s">
        <v>1996</v>
      </c>
      <c r="C166" s="916">
        <f>'Revenues 9-14'!B261</f>
        <v>4981</v>
      </c>
      <c r="D166" s="913" t="str">
        <f>'Revenues 9-14'!A261</f>
        <v>State Assessment Grants</v>
      </c>
      <c r="E166" s="890"/>
      <c r="F166" s="1772">
        <f ca="1">SUM('Revenues 9-14'!C261:D261,'Revenues 9-14'!F261:G261)</f>
        <v>0</v>
      </c>
      <c r="G166" s="914"/>
    </row>
    <row r="167" spans="1:7" x14ac:dyDescent="0.2">
      <c r="A167" s="911" t="s">
        <v>668</v>
      </c>
      <c r="B167" s="911" t="s">
        <v>1997</v>
      </c>
      <c r="C167" s="916">
        <f>'Revenues 9-14'!B262</f>
        <v>4982</v>
      </c>
      <c r="D167" s="913" t="str">
        <f>'Revenues 9-14'!A262</f>
        <v>Grant for State Assessments and Related Activities</v>
      </c>
      <c r="E167" s="890"/>
      <c r="F167" s="1772">
        <f ca="1">SUM('Revenues 9-14'!C262:D262,'Revenues 9-14'!F262:G262)</f>
        <v>0</v>
      </c>
      <c r="G167" s="914"/>
    </row>
    <row r="168" spans="1:7" x14ac:dyDescent="0.2">
      <c r="A168" s="911" t="s">
        <v>668</v>
      </c>
      <c r="B168" s="911" t="s">
        <v>2052</v>
      </c>
      <c r="C168" s="916">
        <f>'Revenues 9-14'!B263</f>
        <v>4991</v>
      </c>
      <c r="D168" s="917" t="str">
        <f>'Revenues 9-14'!A263</f>
        <v>Medicaid Matching Funds - Administrative Outreach</v>
      </c>
      <c r="E168" s="890"/>
      <c r="F168" s="1772">
        <f ca="1">SUM('Revenues 9-14'!C263:D263,'Revenues 9-14'!F263:G263)</f>
        <v>0</v>
      </c>
      <c r="G168" s="931">
        <v>6320</v>
      </c>
    </row>
    <row r="169" spans="1:7" x14ac:dyDescent="0.2">
      <c r="A169" s="911" t="s">
        <v>668</v>
      </c>
      <c r="B169" s="911" t="s">
        <v>2053</v>
      </c>
      <c r="C169" s="916">
        <f>'Revenues 9-14'!B264</f>
        <v>4992</v>
      </c>
      <c r="D169" s="917" t="str">
        <f>'Revenues 9-14'!A264</f>
        <v>Medicaid Matching Funds - Fee-for-Service Program</v>
      </c>
      <c r="E169" s="890"/>
      <c r="F169" s="1772">
        <f ca="1">SUM('Revenues 9-14'!C264:D264,'Revenues 9-14'!F264:G264)</f>
        <v>0</v>
      </c>
      <c r="G169" s="931"/>
    </row>
    <row r="170" spans="1:7" x14ac:dyDescent="0.2">
      <c r="A170" s="932" t="s">
        <v>668</v>
      </c>
      <c r="B170" s="928" t="s">
        <v>2054</v>
      </c>
      <c r="C170" s="929">
        <f>'Revenues 9-14'!B265</f>
        <v>4999</v>
      </c>
      <c r="D170" s="930" t="str">
        <f>'Revenues 9-14'!A265</f>
        <v>Other Restricted Revenue from Federal Sources (Describe &amp; Itemize)</v>
      </c>
      <c r="E170" s="890"/>
      <c r="F170" s="1772">
        <f ca="1">SUM('Revenues 9-14'!C265:D265,'Revenues 9-14'!F265:G265)</f>
        <v>0</v>
      </c>
      <c r="G170" s="911"/>
    </row>
    <row r="171" spans="1:7" x14ac:dyDescent="0.2">
      <c r="A171" s="1901" t="s">
        <v>5</v>
      </c>
      <c r="B171" s="1902" t="s">
        <v>1919</v>
      </c>
      <c r="C171" s="1903">
        <v>3100</v>
      </c>
      <c r="D171" s="1904" t="s">
        <v>1921</v>
      </c>
      <c r="E171" s="890"/>
      <c r="F171" s="1889"/>
      <c r="G171" s="911"/>
    </row>
    <row r="172" spans="1:7" x14ac:dyDescent="0.2">
      <c r="A172" s="1901" t="s">
        <v>664</v>
      </c>
      <c r="B172" s="1902" t="s">
        <v>1919</v>
      </c>
      <c r="C172" s="1903">
        <v>3300</v>
      </c>
      <c r="D172" s="1904" t="s">
        <v>1922</v>
      </c>
      <c r="E172" s="890"/>
      <c r="F172" s="1889"/>
      <c r="G172" s="911"/>
    </row>
    <row r="173" spans="1:7" ht="6" customHeight="1" x14ac:dyDescent="0.2">
      <c r="A173" s="911"/>
      <c r="B173" s="911"/>
      <c r="C173" s="933"/>
      <c r="D173" s="911"/>
      <c r="E173" s="890"/>
      <c r="F173" s="934"/>
      <c r="G173" s="931"/>
    </row>
    <row r="174" spans="1:7" x14ac:dyDescent="0.2">
      <c r="A174" s="1753"/>
      <c r="B174" s="1767"/>
      <c r="C174" s="1768"/>
      <c r="D174" s="1769" t="s">
        <v>2055</v>
      </c>
      <c r="E174" s="1770" t="s">
        <v>958</v>
      </c>
      <c r="F174" s="1771">
        <f ca="1">SUM(F84:F132,F157:F172)</f>
        <v>223807</v>
      </c>
    </row>
    <row r="175" spans="1:7" ht="12" customHeight="1" x14ac:dyDescent="0.2">
      <c r="A175" s="1753"/>
      <c r="B175" s="1767"/>
      <c r="C175" s="1768"/>
      <c r="D175" s="1769" t="s">
        <v>2056</v>
      </c>
      <c r="E175" s="1770"/>
      <c r="F175" s="1772">
        <f ca="1">'PCTC-OEPP 27-28'!F77-F174</f>
        <v>1813600</v>
      </c>
    </row>
    <row r="176" spans="1:7" ht="12" customHeight="1" x14ac:dyDescent="0.2">
      <c r="A176" s="1753"/>
      <c r="B176" s="1767"/>
      <c r="C176" s="1768"/>
      <c r="D176" s="1769" t="s">
        <v>1816</v>
      </c>
      <c r="E176" s="1770"/>
      <c r="F176" s="1772">
        <f ca="1">'Cap Outlay Deprec 26'!I18</f>
        <v>100590</v>
      </c>
    </row>
    <row r="177" spans="1:7" ht="12" customHeight="1" x14ac:dyDescent="0.2">
      <c r="A177" s="1753"/>
      <c r="B177" s="1767"/>
      <c r="C177" s="1768"/>
      <c r="D177" s="1769" t="s">
        <v>2057</v>
      </c>
      <c r="E177" s="1770"/>
      <c r="F177" s="1772">
        <f ca="1">F175+F176</f>
        <v>1914190</v>
      </c>
    </row>
    <row r="178" spans="1:7" ht="12" customHeight="1" x14ac:dyDescent="0.2">
      <c r="A178" s="1753"/>
      <c r="B178" s="1773"/>
      <c r="C178" s="1768"/>
      <c r="D178" s="1769" t="str">
        <f>D78</f>
        <v>9 Month ADA from District Average Daily Attendance/Prior General State Aid Inquiry 2018-2019</v>
      </c>
      <c r="E178" s="1770"/>
      <c r="F178" s="1774">
        <f>'PCTC-OEPP 27-28'!F78</f>
        <v>111.2</v>
      </c>
      <c r="G178" s="914"/>
    </row>
    <row r="179" spans="1:7" ht="12" customHeight="1" thickBot="1" x14ac:dyDescent="0.25">
      <c r="A179" s="1753"/>
      <c r="B179" s="1773"/>
      <c r="C179" s="1768"/>
      <c r="D179" s="1769" t="s">
        <v>2058</v>
      </c>
      <c r="E179" s="1770" t="s">
        <v>1545</v>
      </c>
      <c r="F179" s="1775">
        <f ca="1">F177/F178</f>
        <v>17213.938848920861</v>
      </c>
      <c r="G179" s="840">
        <v>6323</v>
      </c>
    </row>
    <row r="180" spans="1:7" ht="12" thickTop="1" x14ac:dyDescent="0.2">
      <c r="B180" s="914"/>
      <c r="C180" s="933"/>
      <c r="D180" s="914"/>
      <c r="E180" s="933"/>
      <c r="F180" s="914"/>
      <c r="G180" s="935">
        <v>6326</v>
      </c>
    </row>
    <row r="181" spans="1:7" ht="12.2" customHeight="1" x14ac:dyDescent="0.2">
      <c r="A181" s="914" t="s">
        <v>1920</v>
      </c>
      <c r="B181" s="914"/>
      <c r="C181" s="933"/>
      <c r="D181" s="914"/>
      <c r="E181" s="933"/>
      <c r="F181" s="914"/>
      <c r="G181" s="914"/>
    </row>
    <row r="182" spans="1:7" s="1905" customFormat="1" ht="12.2" customHeight="1" x14ac:dyDescent="0.2">
      <c r="A182" s="1905" t="s">
        <v>1993</v>
      </c>
      <c r="B182" s="1906"/>
      <c r="C182" s="1907"/>
      <c r="D182" s="1906"/>
      <c r="E182" s="1907"/>
      <c r="F182" s="1906"/>
      <c r="G182" s="1906"/>
    </row>
    <row r="183" spans="1:7" s="1905" customFormat="1" ht="12.2" customHeight="1" x14ac:dyDescent="0.2">
      <c r="A183" s="1908" t="s">
        <v>1995</v>
      </c>
      <c r="C183" s="1907"/>
      <c r="D183" s="1906"/>
      <c r="E183" s="1907"/>
      <c r="F183" s="1906"/>
      <c r="G183" s="1906"/>
    </row>
    <row r="184" spans="1:7" ht="12" customHeight="1" x14ac:dyDescent="0.2">
      <c r="C184" s="933"/>
      <c r="D184" s="914"/>
      <c r="E184" s="933"/>
      <c r="F184" s="914"/>
      <c r="G184" s="914"/>
    </row>
    <row r="185" spans="1:7" x14ac:dyDescent="0.2">
      <c r="A185" s="1909" t="s">
        <v>1924</v>
      </c>
      <c r="B185" s="1910" t="s">
        <v>1923</v>
      </c>
      <c r="C185" s="933"/>
      <c r="D185" s="914"/>
      <c r="E185" s="933"/>
      <c r="F185" s="914"/>
      <c r="G185" s="914"/>
    </row>
    <row r="186" spans="1:7" x14ac:dyDescent="0.2">
      <c r="A186" s="914"/>
      <c r="B186" s="914"/>
      <c r="C186" s="933"/>
      <c r="D186" s="914"/>
      <c r="E186" s="933"/>
      <c r="F186" s="914"/>
      <c r="G186" s="914"/>
    </row>
    <row r="187" spans="1:7" x14ac:dyDescent="0.2">
      <c r="A187" s="914"/>
      <c r="B187" s="914"/>
      <c r="C187" s="933"/>
      <c r="D187" s="914"/>
      <c r="E187" s="933"/>
      <c r="F187" s="914"/>
      <c r="G187" s="914"/>
    </row>
    <row r="188" spans="1:7" x14ac:dyDescent="0.2">
      <c r="A188" s="914"/>
      <c r="B188" s="914"/>
      <c r="C188" s="933"/>
      <c r="D188" s="914"/>
      <c r="E188" s="933"/>
      <c r="F188" s="914"/>
      <c r="G188" s="914"/>
    </row>
    <row r="189" spans="1:7" x14ac:dyDescent="0.2">
      <c r="A189" s="914"/>
      <c r="B189" s="914"/>
      <c r="C189" s="933"/>
      <c r="D189" s="914"/>
      <c r="E189" s="933"/>
      <c r="F189" s="914"/>
      <c r="G189" s="914"/>
    </row>
    <row r="190" spans="1:7" x14ac:dyDescent="0.2">
      <c r="A190" s="914"/>
      <c r="B190" s="914"/>
      <c r="C190" s="933"/>
      <c r="D190" s="914"/>
      <c r="E190" s="933"/>
      <c r="F190" s="914"/>
      <c r="G190" s="914"/>
    </row>
    <row r="191" spans="1:7" x14ac:dyDescent="0.2">
      <c r="A191" s="914"/>
      <c r="B191" s="914"/>
      <c r="C191" s="933"/>
      <c r="D191" s="914"/>
      <c r="E191" s="933"/>
      <c r="F191" s="914"/>
      <c r="G191" s="914"/>
    </row>
    <row r="192" spans="1:7" x14ac:dyDescent="0.2">
      <c r="A192" s="914"/>
      <c r="B192" s="914"/>
      <c r="C192" s="933"/>
      <c r="D192" s="914"/>
      <c r="E192" s="933"/>
      <c r="F192" s="914"/>
      <c r="G192" s="914"/>
    </row>
    <row r="193" spans="1:7" x14ac:dyDescent="0.2">
      <c r="A193" s="914"/>
      <c r="B193" s="914"/>
      <c r="C193" s="933"/>
      <c r="D193" s="914"/>
      <c r="E193" s="933"/>
      <c r="F193" s="914"/>
      <c r="G193" s="914"/>
    </row>
    <row r="194" spans="1:7" x14ac:dyDescent="0.2">
      <c r="A194" s="914"/>
      <c r="B194" s="914"/>
      <c r="C194" s="933"/>
      <c r="D194" s="914"/>
      <c r="E194" s="933"/>
      <c r="F194" s="914"/>
      <c r="G194" s="914"/>
    </row>
    <row r="195" spans="1:7" x14ac:dyDescent="0.2">
      <c r="A195" s="914"/>
      <c r="B195" s="914"/>
      <c r="C195" s="933"/>
      <c r="D195" s="914"/>
      <c r="E195" s="933"/>
      <c r="F195" s="914"/>
      <c r="G195" s="914"/>
    </row>
    <row r="196" spans="1:7" x14ac:dyDescent="0.2">
      <c r="A196" s="914"/>
      <c r="B196" s="914"/>
      <c r="C196" s="933"/>
      <c r="D196" s="914"/>
      <c r="E196" s="933"/>
      <c r="F196" s="914"/>
      <c r="G196" s="914"/>
    </row>
    <row r="197" spans="1:7" x14ac:dyDescent="0.2">
      <c r="A197" s="914"/>
      <c r="B197" s="914"/>
      <c r="C197" s="933"/>
      <c r="D197" s="914"/>
      <c r="E197" s="933"/>
      <c r="F197" s="914"/>
      <c r="G197" s="914"/>
    </row>
    <row r="198" spans="1:7" x14ac:dyDescent="0.2">
      <c r="A198" s="914"/>
      <c r="B198" s="914"/>
      <c r="C198" s="933"/>
      <c r="D198" s="914"/>
      <c r="E198" s="933"/>
      <c r="F198" s="914"/>
      <c r="G198" s="914"/>
    </row>
    <row r="199" spans="1:7" x14ac:dyDescent="0.2">
      <c r="A199" s="914"/>
      <c r="B199" s="914"/>
      <c r="C199" s="933"/>
      <c r="D199" s="914"/>
      <c r="E199" s="933"/>
      <c r="F199" s="914"/>
      <c r="G199" s="914"/>
    </row>
    <row r="200" spans="1:7" x14ac:dyDescent="0.2">
      <c r="A200" s="914"/>
      <c r="B200" s="914"/>
      <c r="C200" s="933"/>
      <c r="D200" s="914"/>
      <c r="E200" s="933"/>
      <c r="F200" s="914"/>
      <c r="G200" s="914"/>
    </row>
    <row r="201" spans="1:7" x14ac:dyDescent="0.2">
      <c r="A201" s="914"/>
      <c r="B201" s="914"/>
      <c r="C201" s="933"/>
      <c r="D201" s="914"/>
      <c r="E201" s="933"/>
      <c r="F201" s="914"/>
      <c r="G201" s="914"/>
    </row>
    <row r="202" spans="1:7" x14ac:dyDescent="0.2">
      <c r="A202" s="914"/>
      <c r="B202" s="914"/>
      <c r="C202" s="933"/>
      <c r="D202" s="914"/>
      <c r="E202" s="933"/>
      <c r="F202" s="914"/>
      <c r="G202" s="914"/>
    </row>
  </sheetData>
  <sheetProtection password="F60E" sheet="1" objects="1" scenarios="1"/>
  <mergeCells count="5">
    <mergeCell ref="A6:F6"/>
    <mergeCell ref="A1:F1"/>
    <mergeCell ref="A81:F81"/>
    <mergeCell ref="A2:F2"/>
    <mergeCell ref="A5:F5"/>
  </mergeCells>
  <phoneticPr fontId="20"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topLeftCell="A22" zoomScaleNormal="100" workbookViewId="0">
      <selection activeCell="D35" sqref="D35"/>
    </sheetView>
  </sheetViews>
  <sheetFormatPr defaultColWidth="9.140625" defaultRowHeight="15" x14ac:dyDescent="0.25"/>
  <cols>
    <col min="1" max="1" width="52" style="1525" customWidth="1"/>
    <col min="2" max="2" width="16.42578125" style="1526" bestFit="1" customWidth="1"/>
    <col min="3" max="3" width="33.7109375" style="1526" customWidth="1"/>
    <col min="4" max="4" width="16.28515625" style="1527" customWidth="1"/>
    <col min="5" max="5" width="30" style="1527" hidden="1" customWidth="1"/>
    <col min="6" max="6" width="23.5703125" style="1527" customWidth="1"/>
    <col min="7" max="7" width="23.28515625" style="1526" customWidth="1"/>
    <col min="8" max="16384" width="9.140625" style="1516"/>
  </cols>
  <sheetData>
    <row r="1" spans="1:7" ht="15" customHeight="1" x14ac:dyDescent="0.25">
      <c r="A1" s="1642" t="s">
        <v>1831</v>
      </c>
      <c r="B1" s="1643"/>
      <c r="C1" s="1643"/>
      <c r="D1" s="1643"/>
      <c r="E1" s="1643"/>
      <c r="F1" s="1643"/>
      <c r="G1" s="1643"/>
    </row>
    <row r="2" spans="1:7" x14ac:dyDescent="0.25">
      <c r="A2" s="1640"/>
      <c r="B2" s="1640"/>
      <c r="C2" s="1641" t="s">
        <v>979</v>
      </c>
      <c r="D2" s="1640"/>
      <c r="E2" s="1640"/>
      <c r="F2" s="1640"/>
      <c r="G2" s="1640"/>
    </row>
    <row r="3" spans="1:7" ht="5.25" customHeight="1" x14ac:dyDescent="0.25">
      <c r="A3" s="1528"/>
      <c r="B3" s="1528"/>
      <c r="C3" s="1528"/>
      <c r="D3" s="1528"/>
      <c r="E3" s="1528"/>
      <c r="F3" s="1528"/>
      <c r="G3" s="1528"/>
    </row>
    <row r="4" spans="1:7" ht="18.75" customHeight="1" x14ac:dyDescent="0.25">
      <c r="A4" s="2331" t="s">
        <v>1817</v>
      </c>
      <c r="B4" s="2332"/>
      <c r="C4" s="2332"/>
      <c r="D4" s="2332"/>
      <c r="E4" s="2332"/>
      <c r="F4" s="2332"/>
      <c r="G4" s="2333"/>
    </row>
    <row r="5" spans="1:7" x14ac:dyDescent="0.25">
      <c r="A5" s="2334"/>
      <c r="B5" s="2335"/>
      <c r="C5" s="2335"/>
      <c r="D5" s="2335"/>
      <c r="E5" s="2335"/>
      <c r="F5" s="2335"/>
      <c r="G5" s="2336"/>
    </row>
    <row r="6" spans="1:7" ht="18.75" x14ac:dyDescent="0.25">
      <c r="A6" s="1517" t="s">
        <v>1818</v>
      </c>
      <c r="B6" s="1518"/>
      <c r="C6" s="1518"/>
      <c r="D6" s="1518"/>
      <c r="E6" s="1518"/>
      <c r="F6" s="1518"/>
      <c r="G6" s="1519"/>
    </row>
    <row r="7" spans="1:7" ht="30.75" customHeight="1" x14ac:dyDescent="0.25">
      <c r="A7" s="2337" t="s">
        <v>1931</v>
      </c>
      <c r="B7" s="2338"/>
      <c r="C7" s="2338"/>
      <c r="D7" s="2338"/>
      <c r="E7" s="2338"/>
      <c r="F7" s="2338"/>
      <c r="G7" s="2339"/>
    </row>
    <row r="8" spans="1:7" ht="15.75" customHeight="1" x14ac:dyDescent="0.25">
      <c r="A8" s="2340" t="s">
        <v>1906</v>
      </c>
      <c r="B8" s="2341"/>
      <c r="C8" s="2341"/>
      <c r="D8" s="2341"/>
      <c r="E8" s="2341"/>
      <c r="F8" s="2341"/>
      <c r="G8" s="2342"/>
    </row>
    <row r="9" spans="1:7" ht="35.25" customHeight="1" x14ac:dyDescent="0.25">
      <c r="A9" s="2337" t="s">
        <v>1934</v>
      </c>
      <c r="B9" s="2338"/>
      <c r="C9" s="2338"/>
      <c r="D9" s="2338"/>
      <c r="E9" s="2338"/>
      <c r="F9" s="2338"/>
      <c r="G9" s="2339"/>
    </row>
    <row r="10" spans="1:7" ht="15" customHeight="1" x14ac:dyDescent="0.25">
      <c r="A10" s="1520" t="s">
        <v>1819</v>
      </c>
      <c r="B10" s="1521"/>
      <c r="C10" s="1521"/>
      <c r="D10" s="1521"/>
      <c r="E10" s="1521"/>
      <c r="F10" s="1521"/>
      <c r="G10" s="1522"/>
    </row>
    <row r="11" spans="1:7" ht="17.25" customHeight="1" x14ac:dyDescent="0.25">
      <c r="A11" s="2337" t="s">
        <v>1933</v>
      </c>
      <c r="B11" s="2338"/>
      <c r="C11" s="2338"/>
      <c r="D11" s="2338"/>
      <c r="E11" s="2338"/>
      <c r="F11" s="2338"/>
      <c r="G11" s="2339"/>
    </row>
    <row r="12" spans="1:7" ht="15" customHeight="1" x14ac:dyDescent="0.25">
      <c r="A12" s="1520" t="s">
        <v>1824</v>
      </c>
      <c r="B12" s="1521"/>
      <c r="C12" s="1521"/>
      <c r="D12" s="1521"/>
      <c r="E12" s="1521"/>
      <c r="F12" s="1521"/>
      <c r="G12" s="1522"/>
    </row>
    <row r="13" spans="1:7" ht="32.25" customHeight="1" x14ac:dyDescent="0.25">
      <c r="A13" s="2328" t="s">
        <v>1975</v>
      </c>
      <c r="B13" s="2329"/>
      <c r="C13" s="2329"/>
      <c r="D13" s="2329"/>
      <c r="E13" s="2329"/>
      <c r="F13" s="2329"/>
      <c r="G13" s="2330"/>
    </row>
    <row r="14" spans="1:7" x14ac:dyDescent="0.25">
      <c r="A14" s="1644" t="s">
        <v>1832</v>
      </c>
      <c r="B14" s="1645"/>
      <c r="C14" s="1645"/>
      <c r="D14" s="1645"/>
      <c r="E14" s="1645"/>
      <c r="F14" s="1645"/>
      <c r="G14" s="1646"/>
    </row>
    <row r="15" spans="1:7" ht="61.5" customHeight="1" x14ac:dyDescent="0.25">
      <c r="A15" s="1529" t="s">
        <v>1825</v>
      </c>
      <c r="B15" s="1529" t="s">
        <v>1826</v>
      </c>
      <c r="C15" s="1529" t="s">
        <v>1827</v>
      </c>
      <c r="D15" s="1530" t="s">
        <v>1828</v>
      </c>
      <c r="E15" s="1530" t="s">
        <v>1820</v>
      </c>
      <c r="F15" s="1530" t="s">
        <v>1829</v>
      </c>
      <c r="G15" s="1530" t="s">
        <v>1830</v>
      </c>
    </row>
    <row r="16" spans="1:7" x14ac:dyDescent="0.25">
      <c r="A16" s="1631" t="s">
        <v>1833</v>
      </c>
      <c r="B16" s="1632" t="s">
        <v>1823</v>
      </c>
      <c r="C16" s="1633" t="s">
        <v>1821</v>
      </c>
      <c r="D16" s="1634">
        <v>500000</v>
      </c>
      <c r="E16" s="1634">
        <f t="shared" ref="E16:E34" si="0">IF(D16&lt;=25000,D16,IF(D16&gt;25000,25000,0))</f>
        <v>25000</v>
      </c>
      <c r="F16" s="1634">
        <f t="shared" ref="F16:F34" si="1">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35">
        <f>IF(F16=0,"0",D16-F16)</f>
        <v>475000</v>
      </c>
    </row>
    <row r="17" spans="1:8" x14ac:dyDescent="0.25">
      <c r="A17" s="1978" t="s">
        <v>3142</v>
      </c>
      <c r="B17" s="1979" t="s">
        <v>3150</v>
      </c>
      <c r="C17" s="1980" t="s">
        <v>3151</v>
      </c>
      <c r="D17" s="1997">
        <v>3392.91</v>
      </c>
      <c r="E17" s="1523">
        <f t="shared" si="0"/>
        <v>3392.91</v>
      </c>
      <c r="F17" s="1915">
        <f t="shared" si="1"/>
        <v>3392.91</v>
      </c>
      <c r="G17" s="1776">
        <f t="shared" ref="G17:G34" si="2">IF(F17=0,0,D17-F17)</f>
        <v>0</v>
      </c>
      <c r="H17" s="1630"/>
    </row>
    <row r="18" spans="1:8" x14ac:dyDescent="0.25">
      <c r="A18" s="1978" t="s">
        <v>3142</v>
      </c>
      <c r="B18" s="1979" t="s">
        <v>3150</v>
      </c>
      <c r="C18" s="1981" t="s">
        <v>3149</v>
      </c>
      <c r="D18" s="1998">
        <v>9769.5499999999993</v>
      </c>
      <c r="E18" s="1523">
        <f t="shared" si="0"/>
        <v>9769.5499999999993</v>
      </c>
      <c r="F18" s="1915">
        <f t="shared" si="1"/>
        <v>9769.5499999999993</v>
      </c>
      <c r="G18" s="1776">
        <f t="shared" si="2"/>
        <v>0</v>
      </c>
    </row>
    <row r="19" spans="1:8" x14ac:dyDescent="0.25">
      <c r="A19" s="1978" t="s">
        <v>3175</v>
      </c>
      <c r="B19" s="1979" t="s">
        <v>1823</v>
      </c>
      <c r="C19" s="1982" t="s">
        <v>3148</v>
      </c>
      <c r="D19" s="1999">
        <v>114242.74</v>
      </c>
      <c r="E19" s="1523">
        <f t="shared" si="0"/>
        <v>25000</v>
      </c>
      <c r="F19" s="1915">
        <f t="shared" si="1"/>
        <v>25000</v>
      </c>
      <c r="G19" s="1776">
        <f t="shared" si="2"/>
        <v>89242.74</v>
      </c>
    </row>
    <row r="20" spans="1:8" x14ac:dyDescent="0.25">
      <c r="A20" s="1978" t="s">
        <v>3175</v>
      </c>
      <c r="B20" s="1979" t="s">
        <v>1823</v>
      </c>
      <c r="C20" s="1982" t="s">
        <v>3147</v>
      </c>
      <c r="D20" s="1999">
        <v>46983.14</v>
      </c>
      <c r="E20" s="1523">
        <f t="shared" si="0"/>
        <v>25000</v>
      </c>
      <c r="F20" s="1915">
        <f t="shared" si="1"/>
        <v>25000</v>
      </c>
      <c r="G20" s="1776">
        <f t="shared" si="2"/>
        <v>21983.14</v>
      </c>
    </row>
    <row r="21" spans="1:8" x14ac:dyDescent="0.25">
      <c r="A21" s="1978" t="s">
        <v>3140</v>
      </c>
      <c r="B21" s="1979" t="s">
        <v>3173</v>
      </c>
      <c r="C21" s="1982" t="s">
        <v>3147</v>
      </c>
      <c r="D21" s="1999">
        <v>1702.98</v>
      </c>
      <c r="E21" s="1523">
        <f t="shared" si="0"/>
        <v>1702.98</v>
      </c>
      <c r="F21" s="1915">
        <f t="shared" si="1"/>
        <v>1702.98</v>
      </c>
      <c r="G21" s="1776">
        <f t="shared" si="2"/>
        <v>0</v>
      </c>
    </row>
    <row r="22" spans="1:8" x14ac:dyDescent="0.25">
      <c r="A22" s="1983" t="s">
        <v>3138</v>
      </c>
      <c r="B22" s="1979" t="s">
        <v>3174</v>
      </c>
      <c r="C22" s="1982" t="s">
        <v>3147</v>
      </c>
      <c r="D22" s="1999">
        <v>1500</v>
      </c>
      <c r="E22" s="1523">
        <f t="shared" si="0"/>
        <v>1500</v>
      </c>
      <c r="F22" s="1915">
        <f t="shared" si="1"/>
        <v>1500</v>
      </c>
      <c r="G22" s="1776">
        <f t="shared" si="2"/>
        <v>0</v>
      </c>
    </row>
    <row r="23" spans="1:8" x14ac:dyDescent="0.25">
      <c r="A23" s="1984" t="s">
        <v>3175</v>
      </c>
      <c r="B23" s="1985" t="s">
        <v>1823</v>
      </c>
      <c r="C23" s="1980" t="s">
        <v>3146</v>
      </c>
      <c r="D23" s="1997">
        <v>1350</v>
      </c>
      <c r="E23" s="1523">
        <f t="shared" si="0"/>
        <v>1350</v>
      </c>
      <c r="F23" s="1915">
        <f t="shared" si="1"/>
        <v>1350</v>
      </c>
      <c r="G23" s="1776">
        <f t="shared" si="2"/>
        <v>0</v>
      </c>
    </row>
    <row r="24" spans="1:8" x14ac:dyDescent="0.25">
      <c r="A24" s="1984" t="s">
        <v>3175</v>
      </c>
      <c r="B24" s="1986" t="s">
        <v>1823</v>
      </c>
      <c r="C24" s="1981" t="s">
        <v>3145</v>
      </c>
      <c r="D24" s="1998">
        <v>448.2</v>
      </c>
      <c r="E24" s="1523">
        <f t="shared" si="0"/>
        <v>448.2</v>
      </c>
      <c r="F24" s="1915">
        <f t="shared" si="1"/>
        <v>448.2</v>
      </c>
      <c r="G24" s="1776">
        <f t="shared" si="2"/>
        <v>0</v>
      </c>
    </row>
    <row r="25" spans="1:8" x14ac:dyDescent="0.25">
      <c r="A25" s="1984" t="s">
        <v>3175</v>
      </c>
      <c r="B25" s="1986" t="s">
        <v>1823</v>
      </c>
      <c r="C25" s="1981" t="s">
        <v>3144</v>
      </c>
      <c r="D25" s="1998">
        <v>228</v>
      </c>
      <c r="E25" s="1523">
        <f t="shared" si="0"/>
        <v>228</v>
      </c>
      <c r="F25" s="1915">
        <f t="shared" si="1"/>
        <v>228</v>
      </c>
      <c r="G25" s="1776">
        <f t="shared" si="2"/>
        <v>0</v>
      </c>
    </row>
    <row r="26" spans="1:8" x14ac:dyDescent="0.25">
      <c r="A26" s="1984" t="s">
        <v>3175</v>
      </c>
      <c r="B26" s="1986" t="s">
        <v>1823</v>
      </c>
      <c r="C26" s="1981" t="s">
        <v>3143</v>
      </c>
      <c r="D26" s="1998">
        <v>1500</v>
      </c>
      <c r="E26" s="1523">
        <f t="shared" si="0"/>
        <v>1500</v>
      </c>
      <c r="F26" s="1915">
        <f t="shared" si="1"/>
        <v>1500</v>
      </c>
      <c r="G26" s="1776">
        <f t="shared" si="2"/>
        <v>0</v>
      </c>
    </row>
    <row r="27" spans="1:8" x14ac:dyDescent="0.25">
      <c r="A27" s="1984" t="s">
        <v>3175</v>
      </c>
      <c r="B27" s="1986" t="s">
        <v>1823</v>
      </c>
      <c r="C27" s="1981" t="s">
        <v>3141</v>
      </c>
      <c r="D27" s="1998">
        <v>3039.05</v>
      </c>
      <c r="E27" s="1523">
        <f t="shared" si="0"/>
        <v>3039.05</v>
      </c>
      <c r="F27" s="1915">
        <f t="shared" si="1"/>
        <v>3039.05</v>
      </c>
      <c r="G27" s="1776">
        <f t="shared" si="2"/>
        <v>0</v>
      </c>
    </row>
    <row r="28" spans="1:8" x14ac:dyDescent="0.25">
      <c r="A28" s="1978" t="s">
        <v>3140</v>
      </c>
      <c r="B28" s="1979" t="s">
        <v>3173</v>
      </c>
      <c r="C28" s="1982" t="s">
        <v>3137</v>
      </c>
      <c r="D28" s="1999">
        <v>350</v>
      </c>
      <c r="E28" s="1523">
        <f t="shared" si="0"/>
        <v>350</v>
      </c>
      <c r="F28" s="1915">
        <f t="shared" si="1"/>
        <v>350</v>
      </c>
      <c r="G28" s="1776">
        <f t="shared" si="2"/>
        <v>0</v>
      </c>
    </row>
    <row r="29" spans="1:8" x14ac:dyDescent="0.25">
      <c r="A29" s="1978" t="s">
        <v>3139</v>
      </c>
      <c r="B29" s="1979" t="s">
        <v>3168</v>
      </c>
      <c r="C29" s="1982" t="s">
        <v>3137</v>
      </c>
      <c r="D29" s="1999">
        <v>486</v>
      </c>
      <c r="E29" s="1523">
        <f t="shared" si="0"/>
        <v>486</v>
      </c>
      <c r="F29" s="1915">
        <f t="shared" si="1"/>
        <v>486</v>
      </c>
      <c r="G29" s="1776">
        <f t="shared" si="2"/>
        <v>0</v>
      </c>
    </row>
    <row r="30" spans="1:8" x14ac:dyDescent="0.25">
      <c r="A30" s="1978" t="s">
        <v>3138</v>
      </c>
      <c r="B30" s="1979" t="s">
        <v>3174</v>
      </c>
      <c r="C30" s="1982" t="s">
        <v>3137</v>
      </c>
      <c r="D30" s="1999">
        <v>25112</v>
      </c>
      <c r="E30" s="1523">
        <f t="shared" si="0"/>
        <v>25000</v>
      </c>
      <c r="F30" s="1915">
        <f t="shared" si="1"/>
        <v>25000</v>
      </c>
      <c r="G30" s="1776">
        <f t="shared" si="2"/>
        <v>112</v>
      </c>
    </row>
    <row r="31" spans="1:8" x14ac:dyDescent="0.25">
      <c r="A31" s="1978" t="s">
        <v>3133</v>
      </c>
      <c r="B31" s="1979" t="s">
        <v>3167</v>
      </c>
      <c r="C31" s="1982" t="s">
        <v>3136</v>
      </c>
      <c r="D31" s="1999">
        <v>2960</v>
      </c>
      <c r="E31" s="1523">
        <f t="shared" si="0"/>
        <v>2960</v>
      </c>
      <c r="F31" s="1915">
        <f t="shared" si="1"/>
        <v>2960</v>
      </c>
      <c r="G31" s="1776">
        <f t="shared" si="2"/>
        <v>0</v>
      </c>
    </row>
    <row r="32" spans="1:8" x14ac:dyDescent="0.25">
      <c r="A32" s="1978" t="s">
        <v>3133</v>
      </c>
      <c r="B32" s="1979" t="s">
        <v>3167</v>
      </c>
      <c r="C32" s="1982" t="s">
        <v>3135</v>
      </c>
      <c r="D32" s="1999">
        <v>2326.1999999999998</v>
      </c>
      <c r="E32" s="1523">
        <f t="shared" si="0"/>
        <v>2326.1999999999998</v>
      </c>
      <c r="F32" s="1915">
        <f t="shared" si="1"/>
        <v>2326.1999999999998</v>
      </c>
      <c r="G32" s="1776">
        <f t="shared" si="2"/>
        <v>0</v>
      </c>
    </row>
    <row r="33" spans="1:7" x14ac:dyDescent="0.25">
      <c r="A33" s="1978" t="s">
        <v>3133</v>
      </c>
      <c r="B33" s="1979" t="s">
        <v>3167</v>
      </c>
      <c r="C33" s="1982" t="s">
        <v>3134</v>
      </c>
      <c r="D33" s="1999">
        <v>295</v>
      </c>
      <c r="E33" s="1523">
        <f t="shared" si="0"/>
        <v>295</v>
      </c>
      <c r="F33" s="1915">
        <f t="shared" si="1"/>
        <v>295</v>
      </c>
      <c r="G33" s="1776">
        <f t="shared" si="2"/>
        <v>0</v>
      </c>
    </row>
    <row r="34" spans="1:7" x14ac:dyDescent="0.25">
      <c r="A34" s="1987" t="s">
        <v>3133</v>
      </c>
      <c r="B34" s="1979" t="s">
        <v>3167</v>
      </c>
      <c r="C34" s="1982" t="s">
        <v>3132</v>
      </c>
      <c r="D34" s="1999">
        <v>505</v>
      </c>
      <c r="E34" s="1523">
        <f t="shared" si="0"/>
        <v>505</v>
      </c>
      <c r="F34" s="1915">
        <f t="shared" si="1"/>
        <v>505</v>
      </c>
      <c r="G34" s="1776">
        <f t="shared" si="2"/>
        <v>0</v>
      </c>
    </row>
    <row r="35" spans="1:7" x14ac:dyDescent="0.25">
      <c r="A35" s="1978" t="s">
        <v>3171</v>
      </c>
      <c r="B35" s="1979" t="s">
        <v>3172</v>
      </c>
      <c r="C35" s="1982" t="s">
        <v>3166</v>
      </c>
      <c r="D35" s="1999">
        <v>24250</v>
      </c>
      <c r="E35" s="1523">
        <f t="shared" ref="E35:E140" si="3">IF(D35&lt;=25000,D35,IF(D35&gt;25000,25000,0))</f>
        <v>24250</v>
      </c>
      <c r="F35" s="1915">
        <f t="shared" ref="F35:F80" si="4">IF(OR(B35="10-1000-100",B35="10-1000-200",B35="10-1000-300",B35="10-1000-400",B35="10-1000-600",B35="10-1000-800",B35="50-1000-200",B35="10-2100-100",B35="10-2100-200",B35="10-2100-300",B35="10-2100-400",B35="10-2100-600",B35="10-2100-800",B35="20-2100-100",B35="20-2100-200",B35="20-2100-300",B35="20-2100-400",B35="20-2100-600",B35="20-2100-800",B35="40-2100-100",B35="40-2100-200",B35="40-2100-300",B35="40-2100-400",B35="40-2100-600",B35="40-2100-800",B35="50-2100-200",B35="10-2200-100",B35="10-2200-200",B35="10-2200-300",B35="10-2200-400",B35="10-2200-600",B35="10-2200-800",B35="50-2200-200",B35="10-2300-100",B35="10-2300-200",B35="10-2300-300",B35="10-2300-400",B35="10-2300-600",B35="10-2300-800",B35="50-2300-200",B35="80-2300-100",B35="80-2300-200",B35="80-2300-300",B35="80-2300-400",B35="80-2300-600",B35="80-2300-800",B35="10-2400-100",B35="10-2400-200",B35="10-2400-300",B35="10-2400-400",B35="10-2400-600",B35="10-2400-800",B35="50-2400-200",B35="10-2510-100",B35="10-2510-200",B35="10-2510-300",B35="10-2510-400",B35="10-2510-600",B35="10-2510-800",B35="20-2510-100",B35="20-2510-200",B35="20-2510-300",B35="20-2510-400",B35="20-2510-600",B35="20-2510-800",B35="50-2510-200",B35="10-2520-100",B35="10-2520-200",B35="10-2520-300",B35="10-2520-400",B35="10-2520-600",B35="10-2520-800",B35="50-2520-200",B35="10-2540-100",B35="10-2540-200",B35="10-2540-300",B35="10-2540-400",B35="10-2540-600",B35="10-2540-800",B35="20-2540-100",B35="20-2540-200",B35="20-2540-300",B35="20-2540-400",B35="20-2540-600",B35="20-2540-800",B35="50-2540-200",B35="10-2550-100",B35="10-2550-200",B35="10-2550-300",B35="10-2550-400",B35="10-2550-600",B35="10-2550-800",B35="20-2550-100",B35="20-2550-200",B35="20-2550-300",B35="20-2550-400",B35="20-2550-600",B35="20-2550-800",B35="40-2550-100",B35="40-2550-200",B35="40-2550-300",B35="40-2550-400",B35="40-2550-600",B35="40-2550-800",B35="50-2550-200",B35="10-2560-100",B35="10-2560-200",B35="10-2560-300",B35="10-2560-400",B35="10-2560-600",B35="10-2560-800",B35="50-2560-200",B35="10-2570-100",B35="10-2570-200",B35="10-2570-300",B35="10-2570-400",B35="10-2570-600",B35="10-2570-800",B35="50-2570-200",B35="10-2610-100",B35="10-2610-200",B35="10-2610-300",B35="10-2610-400",B35="10-2610-600",B35="10-2610-800",B35="50-2610-200",B35="10-2620-100",B35="10-2620-200",B35="10-2620-300",B35="10-2620-400",B35="10-2620-600",B35="10-2620-800",B35="50-2620-200",B35="10-2630-100",B35="10-2630-200",B35="10-2630-300",B35="10-2630-400",B35="10-2630-600",B35="10-2630-800",B35="50-2630-200",B35="10-2640-100",B35="10-2640-200",B35="10-2640-300",B35="10-2640-400",B35="10-2640-600",B35="10-2640-800",B35="50-2640-200",B35="10-2660-100",B35="10-2660-200",B35="10-2660-300",B35="10-2660-400",B35="10-2660-600",B35="10-2660-800",B35="50-2660-200",B35="10-2900-100",B35="10-2900-200",B35="10-2900-300",B35="10-2900-400",B35="10-2900-600",B35="10-2900-800",B35="20-2900-100",B35="20-2900-200",B35="20-2900-300",B35="20-2900-400",B35="20-2900-600",B35="20-2900-800",B35="40-2900-100",B35="40-2900-200",B35="40-2900-300",B35="40-2900-400",B35="40-2900-600",B35="40-2900-800",B35="50-2900-200",B35="10-3000-100",B35="10-3000-200",B35="10-3000-300",B35="10-3000-400",B35="10-3000-600",B35="10-3000-800",B35="20-3000-100",B35="20-3000-200",B35="20-3000-300",B35="20-3000-400",B35="20-3000-600",B35="20-3000-800",B35="40-3000-100",B35="40-3000-200",B35="40-3000-300",B35="40-3000-400",B35="40-3000-600",B35="40-3000-800",B35="50-3000-200"),E35,0)</f>
        <v>0</v>
      </c>
      <c r="G35" s="1776">
        <f t="shared" ref="G35:G140" si="5">IF(F35=0,0,D35-F35)</f>
        <v>0</v>
      </c>
    </row>
    <row r="36" spans="1:7" x14ac:dyDescent="0.25">
      <c r="A36" s="1988" t="s">
        <v>3133</v>
      </c>
      <c r="B36" s="1979" t="s">
        <v>3167</v>
      </c>
      <c r="C36" s="1982" t="s">
        <v>3165</v>
      </c>
      <c r="D36" s="1999">
        <v>7807</v>
      </c>
      <c r="E36" s="1523">
        <f t="shared" si="3"/>
        <v>7807</v>
      </c>
      <c r="F36" s="1915">
        <f t="shared" si="4"/>
        <v>7807</v>
      </c>
      <c r="G36" s="1776">
        <f t="shared" si="5"/>
        <v>0</v>
      </c>
    </row>
    <row r="37" spans="1:7" x14ac:dyDescent="0.25">
      <c r="A37" s="1988" t="s">
        <v>3133</v>
      </c>
      <c r="B37" s="1979" t="s">
        <v>3167</v>
      </c>
      <c r="C37" s="1982" t="s">
        <v>3164</v>
      </c>
      <c r="D37" s="1999">
        <v>7797</v>
      </c>
      <c r="E37" s="1523">
        <f t="shared" si="3"/>
        <v>7797</v>
      </c>
      <c r="F37" s="1915">
        <f t="shared" si="4"/>
        <v>7797</v>
      </c>
      <c r="G37" s="1776">
        <f t="shared" si="5"/>
        <v>0</v>
      </c>
    </row>
    <row r="38" spans="1:7" x14ac:dyDescent="0.25">
      <c r="A38" s="1988" t="s">
        <v>3133</v>
      </c>
      <c r="B38" s="1979" t="s">
        <v>3167</v>
      </c>
      <c r="C38" s="1982" t="s">
        <v>3163</v>
      </c>
      <c r="D38" s="1999">
        <v>18877</v>
      </c>
      <c r="E38" s="1523">
        <f t="shared" si="3"/>
        <v>18877</v>
      </c>
      <c r="F38" s="1915">
        <f t="shared" si="4"/>
        <v>18877</v>
      </c>
      <c r="G38" s="1776">
        <f t="shared" si="5"/>
        <v>0</v>
      </c>
    </row>
    <row r="39" spans="1:7" x14ac:dyDescent="0.25">
      <c r="A39" s="1988" t="s">
        <v>3133</v>
      </c>
      <c r="B39" s="1979" t="s">
        <v>3167</v>
      </c>
      <c r="C39" s="1982" t="s">
        <v>3162</v>
      </c>
      <c r="D39" s="1999">
        <v>8949</v>
      </c>
      <c r="E39" s="1523">
        <f t="shared" si="3"/>
        <v>8949</v>
      </c>
      <c r="F39" s="1915">
        <f t="shared" si="4"/>
        <v>8949</v>
      </c>
      <c r="G39" s="1776">
        <f t="shared" si="5"/>
        <v>0</v>
      </c>
    </row>
    <row r="40" spans="1:7" x14ac:dyDescent="0.25">
      <c r="A40" s="1989" t="s">
        <v>3139</v>
      </c>
      <c r="B40" s="1990" t="s">
        <v>3168</v>
      </c>
      <c r="C40" s="1982" t="s">
        <v>3162</v>
      </c>
      <c r="D40" s="1999">
        <v>818</v>
      </c>
      <c r="E40" s="1523">
        <f t="shared" si="3"/>
        <v>818</v>
      </c>
      <c r="F40" s="1915">
        <f t="shared" si="4"/>
        <v>818</v>
      </c>
      <c r="G40" s="1776">
        <f t="shared" si="5"/>
        <v>0</v>
      </c>
    </row>
    <row r="41" spans="1:7" x14ac:dyDescent="0.25">
      <c r="A41" s="1989" t="s">
        <v>3139</v>
      </c>
      <c r="B41" s="1990" t="s">
        <v>3168</v>
      </c>
      <c r="C41" s="1982" t="s">
        <v>3161</v>
      </c>
      <c r="D41" s="1999">
        <v>61180</v>
      </c>
      <c r="E41" s="1523">
        <f t="shared" si="3"/>
        <v>25000</v>
      </c>
      <c r="F41" s="1915">
        <f t="shared" si="4"/>
        <v>25000</v>
      </c>
      <c r="G41" s="1776">
        <f t="shared" si="5"/>
        <v>36180</v>
      </c>
    </row>
    <row r="42" spans="1:7" x14ac:dyDescent="0.25">
      <c r="A42" s="1989" t="s">
        <v>3139</v>
      </c>
      <c r="B42" s="1990" t="s">
        <v>3168</v>
      </c>
      <c r="C42" s="1982" t="s">
        <v>3160</v>
      </c>
      <c r="D42" s="1999">
        <v>7690</v>
      </c>
      <c r="E42" s="1523">
        <f t="shared" si="3"/>
        <v>7690</v>
      </c>
      <c r="F42" s="1915">
        <f t="shared" si="4"/>
        <v>7690</v>
      </c>
      <c r="G42" s="1776">
        <f t="shared" si="5"/>
        <v>0</v>
      </c>
    </row>
    <row r="43" spans="1:7" x14ac:dyDescent="0.25">
      <c r="A43" s="1978" t="s">
        <v>3138</v>
      </c>
      <c r="B43" s="1979" t="s">
        <v>3174</v>
      </c>
      <c r="C43" s="1982" t="s">
        <v>3159</v>
      </c>
      <c r="D43" s="1999">
        <v>8666</v>
      </c>
      <c r="E43" s="1523">
        <f t="shared" si="3"/>
        <v>8666</v>
      </c>
      <c r="F43" s="1915">
        <f t="shared" si="4"/>
        <v>8666</v>
      </c>
      <c r="G43" s="1776">
        <f t="shared" si="5"/>
        <v>0</v>
      </c>
    </row>
    <row r="44" spans="1:7" x14ac:dyDescent="0.25">
      <c r="A44" s="1978" t="s">
        <v>3140</v>
      </c>
      <c r="B44" s="1979" t="s">
        <v>3170</v>
      </c>
      <c r="C44" s="1982" t="s">
        <v>3158</v>
      </c>
      <c r="D44" s="1999">
        <v>5850</v>
      </c>
      <c r="E44" s="1523">
        <f t="shared" si="3"/>
        <v>5850</v>
      </c>
      <c r="F44" s="1915">
        <f t="shared" si="4"/>
        <v>5850</v>
      </c>
      <c r="G44" s="1776">
        <f t="shared" si="5"/>
        <v>0</v>
      </c>
    </row>
    <row r="45" spans="1:7" x14ac:dyDescent="0.25">
      <c r="A45" s="1988" t="s">
        <v>3133</v>
      </c>
      <c r="B45" s="1979" t="s">
        <v>3167</v>
      </c>
      <c r="C45" s="1982" t="s">
        <v>3157</v>
      </c>
      <c r="D45" s="1999">
        <v>6845</v>
      </c>
      <c r="E45" s="1523">
        <f t="shared" si="3"/>
        <v>6845</v>
      </c>
      <c r="F45" s="1915">
        <f t="shared" si="4"/>
        <v>6845</v>
      </c>
      <c r="G45" s="1776">
        <f t="shared" si="5"/>
        <v>0</v>
      </c>
    </row>
    <row r="46" spans="1:7" x14ac:dyDescent="0.25">
      <c r="A46" s="1988" t="s">
        <v>3133</v>
      </c>
      <c r="B46" s="1979" t="s">
        <v>3167</v>
      </c>
      <c r="C46" s="1982" t="s">
        <v>3156</v>
      </c>
      <c r="D46" s="1999">
        <v>1662</v>
      </c>
      <c r="E46" s="1523">
        <f t="shared" si="3"/>
        <v>1662</v>
      </c>
      <c r="F46" s="1915">
        <f t="shared" si="4"/>
        <v>1662</v>
      </c>
      <c r="G46" s="1776">
        <f t="shared" si="5"/>
        <v>0</v>
      </c>
    </row>
    <row r="47" spans="1:7" x14ac:dyDescent="0.25">
      <c r="A47" s="1988" t="s">
        <v>3133</v>
      </c>
      <c r="B47" s="1979" t="s">
        <v>3167</v>
      </c>
      <c r="C47" s="1982" t="s">
        <v>3155</v>
      </c>
      <c r="D47" s="1999">
        <v>12511</v>
      </c>
      <c r="E47" s="1523">
        <f t="shared" si="3"/>
        <v>12511</v>
      </c>
      <c r="F47" s="1915">
        <f t="shared" si="4"/>
        <v>12511</v>
      </c>
      <c r="G47" s="1776">
        <f t="shared" si="5"/>
        <v>0</v>
      </c>
    </row>
    <row r="48" spans="1:7" x14ac:dyDescent="0.25">
      <c r="A48" s="1988" t="s">
        <v>3133</v>
      </c>
      <c r="B48" s="1979" t="s">
        <v>3167</v>
      </c>
      <c r="C48" s="1982" t="s">
        <v>3154</v>
      </c>
      <c r="D48" s="1999">
        <v>371.75</v>
      </c>
      <c r="E48" s="1523">
        <f t="shared" si="3"/>
        <v>371.75</v>
      </c>
      <c r="F48" s="1915">
        <f t="shared" si="4"/>
        <v>371.75</v>
      </c>
      <c r="G48" s="1776">
        <f t="shared" si="5"/>
        <v>0</v>
      </c>
    </row>
    <row r="49" spans="1:7" x14ac:dyDescent="0.25">
      <c r="A49" s="1988" t="s">
        <v>3133</v>
      </c>
      <c r="B49" s="1979" t="s">
        <v>3167</v>
      </c>
      <c r="C49" s="1982" t="s">
        <v>3153</v>
      </c>
      <c r="D49" s="1999">
        <v>20020</v>
      </c>
      <c r="E49" s="1523">
        <f t="shared" si="3"/>
        <v>20020</v>
      </c>
      <c r="F49" s="1915">
        <f t="shared" si="4"/>
        <v>20020</v>
      </c>
      <c r="G49" s="1776">
        <f t="shared" si="5"/>
        <v>0</v>
      </c>
    </row>
    <row r="50" spans="1:7" x14ac:dyDescent="0.25">
      <c r="A50" s="1978" t="s">
        <v>3176</v>
      </c>
      <c r="B50" s="1990" t="s">
        <v>3169</v>
      </c>
      <c r="C50" s="1991" t="s">
        <v>3152</v>
      </c>
      <c r="D50" s="1999">
        <v>50889</v>
      </c>
      <c r="E50" s="1523">
        <f t="shared" si="3"/>
        <v>25000</v>
      </c>
      <c r="F50" s="1915">
        <f t="shared" si="4"/>
        <v>25000</v>
      </c>
      <c r="G50" s="1776">
        <f t="shared" si="5"/>
        <v>25889</v>
      </c>
    </row>
    <row r="51" spans="1:7" x14ac:dyDescent="0.25">
      <c r="A51" s="1984"/>
      <c r="B51" s="1992"/>
      <c r="C51" s="1988"/>
      <c r="D51" s="2000"/>
      <c r="E51" s="1523">
        <f t="shared" si="3"/>
        <v>0</v>
      </c>
      <c r="F51" s="1915">
        <f t="shared" si="4"/>
        <v>0</v>
      </c>
      <c r="G51" s="1776">
        <f t="shared" si="5"/>
        <v>0</v>
      </c>
    </row>
    <row r="52" spans="1:7" x14ac:dyDescent="0.25">
      <c r="A52" s="1988"/>
      <c r="B52" s="1992"/>
      <c r="C52" s="1988"/>
      <c r="D52" s="2000"/>
      <c r="E52" s="1523">
        <f t="shared" si="3"/>
        <v>0</v>
      </c>
      <c r="F52" s="1915">
        <f t="shared" si="4"/>
        <v>0</v>
      </c>
      <c r="G52" s="1776">
        <f t="shared" si="5"/>
        <v>0</v>
      </c>
    </row>
    <row r="53" spans="1:7" x14ac:dyDescent="0.25">
      <c r="A53" s="1978"/>
      <c r="B53" s="1992"/>
      <c r="C53" s="1988"/>
      <c r="D53" s="2000"/>
      <c r="E53" s="1523">
        <f t="shared" si="3"/>
        <v>0</v>
      </c>
      <c r="F53" s="1915">
        <f t="shared" si="4"/>
        <v>0</v>
      </c>
      <c r="G53" s="1776">
        <f t="shared" si="5"/>
        <v>0</v>
      </c>
    </row>
    <row r="54" spans="1:7" x14ac:dyDescent="0.25">
      <c r="A54" s="1993"/>
      <c r="B54" s="1994"/>
      <c r="C54" s="1995"/>
      <c r="D54" s="2001"/>
      <c r="E54" s="1523">
        <f t="shared" si="3"/>
        <v>0</v>
      </c>
      <c r="F54" s="1915">
        <f t="shared" si="4"/>
        <v>0</v>
      </c>
      <c r="G54" s="1776">
        <f t="shared" si="5"/>
        <v>0</v>
      </c>
    </row>
    <row r="55" spans="1:7" x14ac:dyDescent="0.25">
      <c r="A55" s="1993"/>
      <c r="B55" s="1994"/>
      <c r="C55" s="1996"/>
      <c r="D55" s="2001"/>
      <c r="E55" s="1523">
        <f t="shared" si="3"/>
        <v>0</v>
      </c>
      <c r="F55" s="1915">
        <f t="shared" si="4"/>
        <v>0</v>
      </c>
      <c r="G55" s="1776">
        <f t="shared" si="5"/>
        <v>0</v>
      </c>
    </row>
    <row r="56" spans="1:7" x14ac:dyDescent="0.25">
      <c r="A56" s="1636"/>
      <c r="B56" s="1650"/>
      <c r="C56" s="1637"/>
      <c r="D56" s="2001"/>
      <c r="E56" s="1523">
        <f t="shared" si="3"/>
        <v>0</v>
      </c>
      <c r="F56" s="1915">
        <f t="shared" si="4"/>
        <v>0</v>
      </c>
      <c r="G56" s="1776">
        <f t="shared" si="5"/>
        <v>0</v>
      </c>
    </row>
    <row r="57" spans="1:7" x14ac:dyDescent="0.25">
      <c r="A57" s="1636"/>
      <c r="B57" s="1650"/>
      <c r="C57" s="1637"/>
      <c r="D57" s="2001"/>
      <c r="E57" s="1523">
        <f t="shared" si="3"/>
        <v>0</v>
      </c>
      <c r="F57" s="1915">
        <f t="shared" si="4"/>
        <v>0</v>
      </c>
      <c r="G57" s="1776">
        <f t="shared" si="5"/>
        <v>0</v>
      </c>
    </row>
    <row r="58" spans="1:7" x14ac:dyDescent="0.25">
      <c r="A58" s="1636"/>
      <c r="B58" s="1650"/>
      <c r="C58" s="1637"/>
      <c r="D58" s="2001"/>
      <c r="E58" s="1523">
        <f t="shared" si="3"/>
        <v>0</v>
      </c>
      <c r="F58" s="1915">
        <f t="shared" si="4"/>
        <v>0</v>
      </c>
      <c r="G58" s="1776">
        <f t="shared" si="5"/>
        <v>0</v>
      </c>
    </row>
    <row r="59" spans="1:7" x14ac:dyDescent="0.25">
      <c r="A59" s="1636"/>
      <c r="B59" s="1650"/>
      <c r="C59" s="1637"/>
      <c r="D59" s="2001"/>
      <c r="E59" s="1523">
        <f t="shared" si="3"/>
        <v>0</v>
      </c>
      <c r="F59" s="1915">
        <f t="shared" si="4"/>
        <v>0</v>
      </c>
      <c r="G59" s="1776">
        <f t="shared" si="5"/>
        <v>0</v>
      </c>
    </row>
    <row r="60" spans="1:7" x14ac:dyDescent="0.25">
      <c r="A60" s="1636"/>
      <c r="B60" s="1650"/>
      <c r="C60" s="1637"/>
      <c r="D60" s="2001"/>
      <c r="E60" s="1523">
        <f t="shared" si="3"/>
        <v>0</v>
      </c>
      <c r="F60" s="1915">
        <f t="shared" si="4"/>
        <v>0</v>
      </c>
      <c r="G60" s="1776">
        <f t="shared" si="5"/>
        <v>0</v>
      </c>
    </row>
    <row r="61" spans="1:7" x14ac:dyDescent="0.25">
      <c r="A61" s="1636"/>
      <c r="B61" s="1650"/>
      <c r="C61" s="1637"/>
      <c r="D61" s="2001"/>
      <c r="E61" s="1523">
        <f t="shared" si="3"/>
        <v>0</v>
      </c>
      <c r="F61" s="1915">
        <f t="shared" si="4"/>
        <v>0</v>
      </c>
      <c r="G61" s="1776">
        <f t="shared" si="5"/>
        <v>0</v>
      </c>
    </row>
    <row r="62" spans="1:7" x14ac:dyDescent="0.25">
      <c r="A62" s="1636"/>
      <c r="B62" s="1650"/>
      <c r="C62" s="1637"/>
      <c r="D62" s="2001"/>
      <c r="E62" s="1523">
        <f t="shared" si="3"/>
        <v>0</v>
      </c>
      <c r="F62" s="1915">
        <f t="shared" si="4"/>
        <v>0</v>
      </c>
      <c r="G62" s="1776">
        <f t="shared" si="5"/>
        <v>0</v>
      </c>
    </row>
    <row r="63" spans="1:7" x14ac:dyDescent="0.25">
      <c r="A63" s="1636"/>
      <c r="B63" s="1650"/>
      <c r="C63" s="1637"/>
      <c r="D63" s="2001"/>
      <c r="E63" s="1523">
        <f t="shared" si="3"/>
        <v>0</v>
      </c>
      <c r="F63" s="1915">
        <f t="shared" si="4"/>
        <v>0</v>
      </c>
      <c r="G63" s="1776">
        <f t="shared" si="5"/>
        <v>0</v>
      </c>
    </row>
    <row r="64" spans="1:7" x14ac:dyDescent="0.25">
      <c r="A64" s="1638"/>
      <c r="B64" s="1650"/>
      <c r="C64" s="1639"/>
      <c r="D64" s="2001"/>
      <c r="E64" s="1523">
        <f t="shared" si="3"/>
        <v>0</v>
      </c>
      <c r="F64" s="1915">
        <f t="shared" si="4"/>
        <v>0</v>
      </c>
      <c r="G64" s="1776">
        <f t="shared" si="5"/>
        <v>0</v>
      </c>
    </row>
    <row r="65" spans="1:7" x14ac:dyDescent="0.25">
      <c r="A65" s="1636"/>
      <c r="B65" s="1650"/>
      <c r="C65" s="1637"/>
      <c r="D65" s="2001"/>
      <c r="E65" s="1523">
        <f t="shared" si="3"/>
        <v>0</v>
      </c>
      <c r="F65" s="1915">
        <f t="shared" si="4"/>
        <v>0</v>
      </c>
      <c r="G65" s="1776">
        <f t="shared" si="5"/>
        <v>0</v>
      </c>
    </row>
    <row r="66" spans="1:7" x14ac:dyDescent="0.25">
      <c r="A66" s="1636"/>
      <c r="B66" s="1650"/>
      <c r="C66" s="1637"/>
      <c r="D66" s="2001"/>
      <c r="E66" s="1523">
        <f t="shared" si="3"/>
        <v>0</v>
      </c>
      <c r="F66" s="1915">
        <f t="shared" si="4"/>
        <v>0</v>
      </c>
      <c r="G66" s="1776">
        <f t="shared" si="5"/>
        <v>0</v>
      </c>
    </row>
    <row r="67" spans="1:7" x14ac:dyDescent="0.25">
      <c r="A67" s="1636"/>
      <c r="B67" s="1650"/>
      <c r="C67" s="1637"/>
      <c r="D67" s="2001"/>
      <c r="E67" s="1523">
        <f t="shared" si="3"/>
        <v>0</v>
      </c>
      <c r="F67" s="1915">
        <f t="shared" si="4"/>
        <v>0</v>
      </c>
      <c r="G67" s="1776">
        <f t="shared" si="5"/>
        <v>0</v>
      </c>
    </row>
    <row r="68" spans="1:7" x14ac:dyDescent="0.25">
      <c r="A68" s="1636"/>
      <c r="B68" s="1650"/>
      <c r="C68" s="1637"/>
      <c r="D68" s="2001"/>
      <c r="E68" s="1523">
        <f t="shared" si="3"/>
        <v>0</v>
      </c>
      <c r="F68" s="1915">
        <f t="shared" si="4"/>
        <v>0</v>
      </c>
      <c r="G68" s="1776">
        <f t="shared" si="5"/>
        <v>0</v>
      </c>
    </row>
    <row r="69" spans="1:7" x14ac:dyDescent="0.25">
      <c r="A69" s="1636"/>
      <c r="B69" s="1650"/>
      <c r="C69" s="1637"/>
      <c r="D69" s="2001"/>
      <c r="E69" s="1523">
        <f t="shared" si="3"/>
        <v>0</v>
      </c>
      <c r="F69" s="1915">
        <f t="shared" si="4"/>
        <v>0</v>
      </c>
      <c r="G69" s="1776">
        <f t="shared" si="5"/>
        <v>0</v>
      </c>
    </row>
    <row r="70" spans="1:7" x14ac:dyDescent="0.25">
      <c r="A70" s="1636"/>
      <c r="B70" s="1650"/>
      <c r="C70" s="1637"/>
      <c r="D70" s="2001"/>
      <c r="E70" s="1523">
        <f t="shared" si="3"/>
        <v>0</v>
      </c>
      <c r="F70" s="1915">
        <f t="shared" si="4"/>
        <v>0</v>
      </c>
      <c r="G70" s="1776">
        <f t="shared" si="5"/>
        <v>0</v>
      </c>
    </row>
    <row r="71" spans="1:7" x14ac:dyDescent="0.25">
      <c r="A71" s="1636"/>
      <c r="B71" s="1650"/>
      <c r="C71" s="1637"/>
      <c r="D71" s="2001"/>
      <c r="E71" s="1523">
        <f t="shared" si="3"/>
        <v>0</v>
      </c>
      <c r="F71" s="1915">
        <f t="shared" si="4"/>
        <v>0</v>
      </c>
      <c r="G71" s="1776">
        <f t="shared" si="5"/>
        <v>0</v>
      </c>
    </row>
    <row r="72" spans="1:7" x14ac:dyDescent="0.25">
      <c r="A72" s="1636"/>
      <c r="B72" s="1650"/>
      <c r="C72" s="1637"/>
      <c r="D72" s="2001"/>
      <c r="E72" s="1523">
        <f t="shared" si="3"/>
        <v>0</v>
      </c>
      <c r="F72" s="1915">
        <f t="shared" si="4"/>
        <v>0</v>
      </c>
      <c r="G72" s="1776">
        <f t="shared" si="5"/>
        <v>0</v>
      </c>
    </row>
    <row r="73" spans="1:7" x14ac:dyDescent="0.25">
      <c r="A73" s="1636"/>
      <c r="B73" s="1650"/>
      <c r="C73" s="1637"/>
      <c r="D73" s="2001"/>
      <c r="E73" s="1523">
        <f t="shared" ref="E73:E84" si="6">IF(D73&lt;=25000,D73,IF(D73&gt;25000,25000,0))</f>
        <v>0</v>
      </c>
      <c r="F73" s="1915">
        <f t="shared" si="4"/>
        <v>0</v>
      </c>
      <c r="G73" s="1776">
        <f t="shared" ref="G73:G84" si="7">IF(F73=0,0,D73-F73)</f>
        <v>0</v>
      </c>
    </row>
    <row r="74" spans="1:7" x14ac:dyDescent="0.25">
      <c r="A74" s="1636"/>
      <c r="B74" s="1650"/>
      <c r="C74" s="1637"/>
      <c r="D74" s="2001"/>
      <c r="E74" s="1523">
        <f t="shared" si="6"/>
        <v>0</v>
      </c>
      <c r="F74" s="1915">
        <f t="shared" si="4"/>
        <v>0</v>
      </c>
      <c r="G74" s="1776">
        <f t="shared" si="7"/>
        <v>0</v>
      </c>
    </row>
    <row r="75" spans="1:7" x14ac:dyDescent="0.25">
      <c r="A75" s="1636"/>
      <c r="B75" s="1650"/>
      <c r="C75" s="1637"/>
      <c r="D75" s="2001"/>
      <c r="E75" s="1523">
        <f t="shared" si="6"/>
        <v>0</v>
      </c>
      <c r="F75" s="1915">
        <f t="shared" si="4"/>
        <v>0</v>
      </c>
      <c r="G75" s="1776">
        <f t="shared" si="7"/>
        <v>0</v>
      </c>
    </row>
    <row r="76" spans="1:7" x14ac:dyDescent="0.25">
      <c r="A76" s="1636"/>
      <c r="B76" s="1650"/>
      <c r="C76" s="1637"/>
      <c r="D76" s="2001"/>
      <c r="E76" s="1523">
        <f t="shared" si="6"/>
        <v>0</v>
      </c>
      <c r="F76" s="1915">
        <f t="shared" si="4"/>
        <v>0</v>
      </c>
      <c r="G76" s="1776">
        <f t="shared" si="7"/>
        <v>0</v>
      </c>
    </row>
    <row r="77" spans="1:7" x14ac:dyDescent="0.25">
      <c r="A77" s="1636"/>
      <c r="B77" s="1650"/>
      <c r="C77" s="1637"/>
      <c r="D77" s="2001"/>
      <c r="E77" s="1523">
        <f t="shared" si="6"/>
        <v>0</v>
      </c>
      <c r="F77" s="1915">
        <f t="shared" si="4"/>
        <v>0</v>
      </c>
      <c r="G77" s="1776">
        <f t="shared" si="7"/>
        <v>0</v>
      </c>
    </row>
    <row r="78" spans="1:7" x14ac:dyDescent="0.25">
      <c r="A78" s="1636"/>
      <c r="B78" s="1650"/>
      <c r="C78" s="1637"/>
      <c r="D78" s="1827"/>
      <c r="E78" s="1523">
        <f t="shared" si="6"/>
        <v>0</v>
      </c>
      <c r="F78" s="1915">
        <f t="shared" si="4"/>
        <v>0</v>
      </c>
      <c r="G78" s="1776">
        <f t="shared" si="7"/>
        <v>0</v>
      </c>
    </row>
    <row r="79" spans="1:7" x14ac:dyDescent="0.25">
      <c r="A79" s="1636"/>
      <c r="B79" s="1650"/>
      <c r="C79" s="1637"/>
      <c r="D79" s="1827"/>
      <c r="E79" s="1523">
        <f t="shared" si="6"/>
        <v>0</v>
      </c>
      <c r="F79" s="1915">
        <f t="shared" si="4"/>
        <v>0</v>
      </c>
      <c r="G79" s="1776">
        <f t="shared" si="7"/>
        <v>0</v>
      </c>
    </row>
    <row r="80" spans="1:7" x14ac:dyDescent="0.25">
      <c r="A80" s="1636"/>
      <c r="B80" s="1650"/>
      <c r="C80" s="1637"/>
      <c r="D80" s="1827"/>
      <c r="E80" s="1523">
        <f t="shared" si="6"/>
        <v>0</v>
      </c>
      <c r="F80" s="1915">
        <f t="shared" si="4"/>
        <v>0</v>
      </c>
      <c r="G80" s="1776">
        <f t="shared" si="7"/>
        <v>0</v>
      </c>
    </row>
    <row r="81" spans="1:7" x14ac:dyDescent="0.25">
      <c r="A81" s="1636"/>
      <c r="B81" s="1650"/>
      <c r="C81" s="1637"/>
      <c r="D81" s="1827"/>
      <c r="E81" s="1523">
        <f t="shared" si="6"/>
        <v>0</v>
      </c>
      <c r="F81" s="1915">
        <f t="shared" ref="F81:F140" si="8">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76">
        <f t="shared" si="7"/>
        <v>0</v>
      </c>
    </row>
    <row r="82" spans="1:7" x14ac:dyDescent="0.25">
      <c r="A82" s="1636"/>
      <c r="B82" s="1650"/>
      <c r="C82" s="1637"/>
      <c r="D82" s="1827"/>
      <c r="E82" s="1523">
        <f t="shared" si="6"/>
        <v>0</v>
      </c>
      <c r="F82" s="1915">
        <f t="shared" si="8"/>
        <v>0</v>
      </c>
      <c r="G82" s="1776">
        <f t="shared" si="7"/>
        <v>0</v>
      </c>
    </row>
    <row r="83" spans="1:7" x14ac:dyDescent="0.25">
      <c r="A83" s="1636"/>
      <c r="B83" s="1650"/>
      <c r="C83" s="1637"/>
      <c r="D83" s="1827"/>
      <c r="E83" s="1523">
        <f t="shared" si="6"/>
        <v>0</v>
      </c>
      <c r="F83" s="1915">
        <f t="shared" si="8"/>
        <v>0</v>
      </c>
      <c r="G83" s="1776">
        <f t="shared" si="7"/>
        <v>0</v>
      </c>
    </row>
    <row r="84" spans="1:7" x14ac:dyDescent="0.25">
      <c r="A84" s="1636"/>
      <c r="B84" s="1650"/>
      <c r="C84" s="1637"/>
      <c r="D84" s="1827"/>
      <c r="E84" s="1523">
        <f t="shared" si="6"/>
        <v>0</v>
      </c>
      <c r="F84" s="1915">
        <f t="shared" si="8"/>
        <v>0</v>
      </c>
      <c r="G84" s="1776">
        <f t="shared" si="7"/>
        <v>0</v>
      </c>
    </row>
    <row r="85" spans="1:7" x14ac:dyDescent="0.25">
      <c r="A85" s="1636"/>
      <c r="B85" s="1650"/>
      <c r="C85" s="1637"/>
      <c r="D85" s="1827"/>
      <c r="E85" s="1523">
        <f t="shared" si="3"/>
        <v>0</v>
      </c>
      <c r="F85" s="1915">
        <f t="shared" si="8"/>
        <v>0</v>
      </c>
      <c r="G85" s="1776">
        <f t="shared" si="5"/>
        <v>0</v>
      </c>
    </row>
    <row r="86" spans="1:7" x14ac:dyDescent="0.25">
      <c r="A86" s="1636"/>
      <c r="B86" s="1650"/>
      <c r="C86" s="1637"/>
      <c r="D86" s="1827"/>
      <c r="E86" s="1523">
        <f t="shared" si="3"/>
        <v>0</v>
      </c>
      <c r="F86" s="1915">
        <f t="shared" si="8"/>
        <v>0</v>
      </c>
      <c r="G86" s="1776">
        <f t="shared" si="5"/>
        <v>0</v>
      </c>
    </row>
    <row r="87" spans="1:7" x14ac:dyDescent="0.25">
      <c r="A87" s="1636"/>
      <c r="B87" s="1650"/>
      <c r="C87" s="1637"/>
      <c r="D87" s="1827"/>
      <c r="E87" s="1523">
        <f t="shared" si="3"/>
        <v>0</v>
      </c>
      <c r="F87" s="1915">
        <f t="shared" si="8"/>
        <v>0</v>
      </c>
      <c r="G87" s="1776">
        <f t="shared" si="5"/>
        <v>0</v>
      </c>
    </row>
    <row r="88" spans="1:7" x14ac:dyDescent="0.25">
      <c r="A88" s="1636"/>
      <c r="B88" s="1650"/>
      <c r="C88" s="1637"/>
      <c r="D88" s="1827"/>
      <c r="E88" s="1523">
        <f t="shared" si="3"/>
        <v>0</v>
      </c>
      <c r="F88" s="1915">
        <f t="shared" si="8"/>
        <v>0</v>
      </c>
      <c r="G88" s="1776">
        <f t="shared" si="5"/>
        <v>0</v>
      </c>
    </row>
    <row r="89" spans="1:7" x14ac:dyDescent="0.25">
      <c r="A89" s="1636"/>
      <c r="B89" s="1650"/>
      <c r="C89" s="1637"/>
      <c r="D89" s="1827"/>
      <c r="E89" s="1523">
        <f t="shared" si="3"/>
        <v>0</v>
      </c>
      <c r="F89" s="1915">
        <f t="shared" si="8"/>
        <v>0</v>
      </c>
      <c r="G89" s="1776">
        <f t="shared" si="5"/>
        <v>0</v>
      </c>
    </row>
    <row r="90" spans="1:7" x14ac:dyDescent="0.25">
      <c r="A90" s="1636"/>
      <c r="B90" s="1650"/>
      <c r="C90" s="1637"/>
      <c r="D90" s="1827"/>
      <c r="E90" s="1523">
        <f t="shared" si="3"/>
        <v>0</v>
      </c>
      <c r="F90" s="1915">
        <f t="shared" si="8"/>
        <v>0</v>
      </c>
      <c r="G90" s="1776">
        <f t="shared" si="5"/>
        <v>0</v>
      </c>
    </row>
    <row r="91" spans="1:7" x14ac:dyDescent="0.25">
      <c r="A91" s="1636"/>
      <c r="B91" s="1650"/>
      <c r="C91" s="1637"/>
      <c r="D91" s="1827"/>
      <c r="E91" s="1523">
        <f t="shared" si="3"/>
        <v>0</v>
      </c>
      <c r="F91" s="1915">
        <f t="shared" si="8"/>
        <v>0</v>
      </c>
      <c r="G91" s="1776">
        <f t="shared" si="5"/>
        <v>0</v>
      </c>
    </row>
    <row r="92" spans="1:7" x14ac:dyDescent="0.25">
      <c r="A92" s="1636"/>
      <c r="B92" s="1650"/>
      <c r="C92" s="1637"/>
      <c r="D92" s="1827"/>
      <c r="E92" s="1523">
        <f t="shared" si="3"/>
        <v>0</v>
      </c>
      <c r="F92" s="1915">
        <f t="shared" si="8"/>
        <v>0</v>
      </c>
      <c r="G92" s="1776">
        <f t="shared" si="5"/>
        <v>0</v>
      </c>
    </row>
    <row r="93" spans="1:7" x14ac:dyDescent="0.25">
      <c r="A93" s="1636"/>
      <c r="B93" s="1650"/>
      <c r="C93" s="1637"/>
      <c r="D93" s="1827"/>
      <c r="E93" s="1523">
        <f t="shared" ref="E93" si="9">IF(D93&lt;=25000,D93,IF(D93&gt;25000,25000,0))</f>
        <v>0</v>
      </c>
      <c r="F93" s="1915">
        <f t="shared" si="8"/>
        <v>0</v>
      </c>
      <c r="G93" s="1776">
        <f t="shared" ref="G93" si="10">IF(F93=0,0,D93-F93)</f>
        <v>0</v>
      </c>
    </row>
    <row r="94" spans="1:7" x14ac:dyDescent="0.25">
      <c r="A94" s="1636"/>
      <c r="B94" s="1650"/>
      <c r="C94" s="1637"/>
      <c r="D94" s="1827"/>
      <c r="E94" s="1523">
        <f t="shared" si="3"/>
        <v>0</v>
      </c>
      <c r="F94" s="1915">
        <f t="shared" si="8"/>
        <v>0</v>
      </c>
      <c r="G94" s="1776">
        <f t="shared" si="5"/>
        <v>0</v>
      </c>
    </row>
    <row r="95" spans="1:7" x14ac:dyDescent="0.25">
      <c r="A95" s="1636"/>
      <c r="B95" s="1650"/>
      <c r="C95" s="1637"/>
      <c r="D95" s="1827"/>
      <c r="E95" s="1523">
        <f t="shared" ref="E95:E98" si="11">IF(D95&lt;=25000,D95,IF(D95&gt;25000,25000,0))</f>
        <v>0</v>
      </c>
      <c r="F95" s="1915">
        <f t="shared" si="8"/>
        <v>0</v>
      </c>
      <c r="G95" s="1776">
        <f t="shared" ref="G95:G98" si="12">IF(F95=0,0,D95-F95)</f>
        <v>0</v>
      </c>
    </row>
    <row r="96" spans="1:7" x14ac:dyDescent="0.25">
      <c r="A96" s="1636"/>
      <c r="B96" s="1650"/>
      <c r="C96" s="1637"/>
      <c r="D96" s="1827"/>
      <c r="E96" s="1523">
        <f t="shared" si="11"/>
        <v>0</v>
      </c>
      <c r="F96" s="1915">
        <f t="shared" si="8"/>
        <v>0</v>
      </c>
      <c r="G96" s="1776">
        <f t="shared" si="12"/>
        <v>0</v>
      </c>
    </row>
    <row r="97" spans="1:7" x14ac:dyDescent="0.25">
      <c r="A97" s="1636"/>
      <c r="B97" s="1650"/>
      <c r="C97" s="1637"/>
      <c r="D97" s="1827"/>
      <c r="E97" s="1523">
        <f t="shared" si="11"/>
        <v>0</v>
      </c>
      <c r="F97" s="1915">
        <f t="shared" si="8"/>
        <v>0</v>
      </c>
      <c r="G97" s="1776">
        <f t="shared" si="12"/>
        <v>0</v>
      </c>
    </row>
    <row r="98" spans="1:7" x14ac:dyDescent="0.25">
      <c r="A98" s="1636"/>
      <c r="B98" s="1650"/>
      <c r="C98" s="1637"/>
      <c r="D98" s="1827"/>
      <c r="E98" s="1523">
        <f t="shared" si="11"/>
        <v>0</v>
      </c>
      <c r="F98" s="1915">
        <f t="shared" si="8"/>
        <v>0</v>
      </c>
      <c r="G98" s="1776">
        <f t="shared" si="12"/>
        <v>0</v>
      </c>
    </row>
    <row r="99" spans="1:7" x14ac:dyDescent="0.25">
      <c r="A99" s="1636"/>
      <c r="B99" s="1650"/>
      <c r="C99" s="1637"/>
      <c r="D99" s="1827"/>
      <c r="E99" s="1523">
        <f t="shared" ref="E99" si="13">IF(D99&lt;=25000,D99,IF(D99&gt;25000,25000,0))</f>
        <v>0</v>
      </c>
      <c r="F99" s="1915">
        <f t="shared" si="8"/>
        <v>0</v>
      </c>
      <c r="G99" s="1776">
        <f t="shared" ref="G99" si="14">IF(F99=0,0,D99-F99)</f>
        <v>0</v>
      </c>
    </row>
    <row r="100" spans="1:7" x14ac:dyDescent="0.25">
      <c r="A100" s="1636"/>
      <c r="B100" s="1650"/>
      <c r="C100" s="1637"/>
      <c r="D100" s="1827"/>
      <c r="E100" s="1523">
        <f t="shared" ref="E100:E112" si="15">IF(D100&lt;=25000,D100,IF(D100&gt;25000,25000,0))</f>
        <v>0</v>
      </c>
      <c r="F100" s="1915">
        <f t="shared" si="8"/>
        <v>0</v>
      </c>
      <c r="G100" s="1776">
        <f t="shared" ref="G100:G112" si="16">IF(F100=0,0,D100-F100)</f>
        <v>0</v>
      </c>
    </row>
    <row r="101" spans="1:7" x14ac:dyDescent="0.25">
      <c r="A101" s="1636"/>
      <c r="B101" s="1650"/>
      <c r="C101" s="1637"/>
      <c r="D101" s="1827"/>
      <c r="E101" s="1523">
        <f t="shared" si="15"/>
        <v>0</v>
      </c>
      <c r="F101" s="1915">
        <f t="shared" si="8"/>
        <v>0</v>
      </c>
      <c r="G101" s="1776">
        <f t="shared" si="16"/>
        <v>0</v>
      </c>
    </row>
    <row r="102" spans="1:7" x14ac:dyDescent="0.25">
      <c r="A102" s="1636"/>
      <c r="B102" s="1650"/>
      <c r="C102" s="1637"/>
      <c r="D102" s="1827"/>
      <c r="E102" s="1523">
        <f t="shared" si="15"/>
        <v>0</v>
      </c>
      <c r="F102" s="1915">
        <f t="shared" si="8"/>
        <v>0</v>
      </c>
      <c r="G102" s="1776">
        <f t="shared" si="16"/>
        <v>0</v>
      </c>
    </row>
    <row r="103" spans="1:7" x14ac:dyDescent="0.25">
      <c r="A103" s="1636"/>
      <c r="B103" s="1650"/>
      <c r="C103" s="1637"/>
      <c r="D103" s="1827"/>
      <c r="E103" s="1523">
        <f t="shared" si="15"/>
        <v>0</v>
      </c>
      <c r="F103" s="1915">
        <f t="shared" si="8"/>
        <v>0</v>
      </c>
      <c r="G103" s="1776">
        <f t="shared" si="16"/>
        <v>0</v>
      </c>
    </row>
    <row r="104" spans="1:7" x14ac:dyDescent="0.25">
      <c r="A104" s="1636"/>
      <c r="B104" s="1650"/>
      <c r="C104" s="1637"/>
      <c r="D104" s="1827"/>
      <c r="E104" s="1523">
        <f t="shared" si="15"/>
        <v>0</v>
      </c>
      <c r="F104" s="1915">
        <f t="shared" si="8"/>
        <v>0</v>
      </c>
      <c r="G104" s="1776">
        <f t="shared" si="16"/>
        <v>0</v>
      </c>
    </row>
    <row r="105" spans="1:7" x14ac:dyDescent="0.25">
      <c r="A105" s="1636"/>
      <c r="B105" s="1650"/>
      <c r="C105" s="1637"/>
      <c r="D105" s="1827"/>
      <c r="E105" s="1523">
        <f t="shared" si="15"/>
        <v>0</v>
      </c>
      <c r="F105" s="1915">
        <f t="shared" si="8"/>
        <v>0</v>
      </c>
      <c r="G105" s="1776">
        <f t="shared" si="16"/>
        <v>0</v>
      </c>
    </row>
    <row r="106" spans="1:7" x14ac:dyDescent="0.25">
      <c r="A106" s="1636"/>
      <c r="B106" s="1650"/>
      <c r="C106" s="1637"/>
      <c r="D106" s="1827"/>
      <c r="E106" s="1523">
        <f t="shared" si="15"/>
        <v>0</v>
      </c>
      <c r="F106" s="1915">
        <f t="shared" si="8"/>
        <v>0</v>
      </c>
      <c r="G106" s="1776">
        <f t="shared" si="16"/>
        <v>0</v>
      </c>
    </row>
    <row r="107" spans="1:7" x14ac:dyDescent="0.25">
      <c r="A107" s="1636"/>
      <c r="B107" s="1650"/>
      <c r="C107" s="1637"/>
      <c r="D107" s="1827"/>
      <c r="E107" s="1523">
        <f t="shared" si="15"/>
        <v>0</v>
      </c>
      <c r="F107" s="1915">
        <f t="shared" si="8"/>
        <v>0</v>
      </c>
      <c r="G107" s="1776">
        <f t="shared" si="16"/>
        <v>0</v>
      </c>
    </row>
    <row r="108" spans="1:7" x14ac:dyDescent="0.25">
      <c r="A108" s="1636"/>
      <c r="B108" s="1650"/>
      <c r="C108" s="1637"/>
      <c r="D108" s="1827"/>
      <c r="E108" s="1523">
        <f t="shared" si="15"/>
        <v>0</v>
      </c>
      <c r="F108" s="1915">
        <f t="shared" si="8"/>
        <v>0</v>
      </c>
      <c r="G108" s="1776">
        <f t="shared" si="16"/>
        <v>0</v>
      </c>
    </row>
    <row r="109" spans="1:7" x14ac:dyDescent="0.25">
      <c r="A109" s="1636"/>
      <c r="B109" s="1650"/>
      <c r="C109" s="1637"/>
      <c r="D109" s="1827"/>
      <c r="E109" s="1523">
        <f t="shared" si="15"/>
        <v>0</v>
      </c>
      <c r="F109" s="1915">
        <f t="shared" si="8"/>
        <v>0</v>
      </c>
      <c r="G109" s="1776">
        <f t="shared" si="16"/>
        <v>0</v>
      </c>
    </row>
    <row r="110" spans="1:7" x14ac:dyDescent="0.25">
      <c r="A110" s="1636"/>
      <c r="B110" s="1650"/>
      <c r="C110" s="1637"/>
      <c r="D110" s="1827"/>
      <c r="E110" s="1523">
        <f t="shared" si="15"/>
        <v>0</v>
      </c>
      <c r="F110" s="1915">
        <f t="shared" si="8"/>
        <v>0</v>
      </c>
      <c r="G110" s="1776">
        <f t="shared" si="16"/>
        <v>0</v>
      </c>
    </row>
    <row r="111" spans="1:7" x14ac:dyDescent="0.25">
      <c r="A111" s="1636"/>
      <c r="B111" s="1650"/>
      <c r="C111" s="1637"/>
      <c r="D111" s="1827"/>
      <c r="E111" s="1523">
        <f t="shared" si="15"/>
        <v>0</v>
      </c>
      <c r="F111" s="1915">
        <f t="shared" si="8"/>
        <v>0</v>
      </c>
      <c r="G111" s="1776">
        <f t="shared" si="16"/>
        <v>0</v>
      </c>
    </row>
    <row r="112" spans="1:7" x14ac:dyDescent="0.25">
      <c r="A112" s="1636"/>
      <c r="B112" s="1650"/>
      <c r="C112" s="1637"/>
      <c r="D112" s="1827"/>
      <c r="E112" s="1523">
        <f t="shared" si="15"/>
        <v>0</v>
      </c>
      <c r="F112" s="1915">
        <f t="shared" si="8"/>
        <v>0</v>
      </c>
      <c r="G112" s="1776">
        <f t="shared" si="16"/>
        <v>0</v>
      </c>
    </row>
    <row r="113" spans="1:7" x14ac:dyDescent="0.25">
      <c r="A113" s="1636"/>
      <c r="B113" s="1650"/>
      <c r="C113" s="1637"/>
      <c r="D113" s="1827"/>
      <c r="E113" s="1523">
        <f t="shared" ref="E113:E125" si="17">IF(D113&lt;=25000,D113,IF(D113&gt;25000,25000,0))</f>
        <v>0</v>
      </c>
      <c r="F113" s="1915">
        <f t="shared" si="8"/>
        <v>0</v>
      </c>
      <c r="G113" s="1776">
        <f t="shared" ref="G113:G125" si="18">IF(F113=0,0,D113-F113)</f>
        <v>0</v>
      </c>
    </row>
    <row r="114" spans="1:7" x14ac:dyDescent="0.25">
      <c r="A114" s="1636"/>
      <c r="B114" s="1650"/>
      <c r="C114" s="1637"/>
      <c r="D114" s="1827"/>
      <c r="E114" s="1523">
        <f t="shared" si="17"/>
        <v>0</v>
      </c>
      <c r="F114" s="1915">
        <f t="shared" si="8"/>
        <v>0</v>
      </c>
      <c r="G114" s="1776">
        <f t="shared" si="18"/>
        <v>0</v>
      </c>
    </row>
    <row r="115" spans="1:7" x14ac:dyDescent="0.25">
      <c r="A115" s="1636"/>
      <c r="B115" s="1650"/>
      <c r="C115" s="1637"/>
      <c r="D115" s="1827"/>
      <c r="E115" s="1523">
        <f t="shared" si="17"/>
        <v>0</v>
      </c>
      <c r="F115" s="1915">
        <f t="shared" si="8"/>
        <v>0</v>
      </c>
      <c r="G115" s="1776">
        <f t="shared" si="18"/>
        <v>0</v>
      </c>
    </row>
    <row r="116" spans="1:7" x14ac:dyDescent="0.25">
      <c r="A116" s="1636"/>
      <c r="B116" s="1650"/>
      <c r="C116" s="1637"/>
      <c r="D116" s="1827"/>
      <c r="E116" s="1523">
        <f t="shared" si="17"/>
        <v>0</v>
      </c>
      <c r="F116" s="1915">
        <f t="shared" si="8"/>
        <v>0</v>
      </c>
      <c r="G116" s="1776">
        <f t="shared" si="18"/>
        <v>0</v>
      </c>
    </row>
    <row r="117" spans="1:7" x14ac:dyDescent="0.25">
      <c r="A117" s="1636"/>
      <c r="B117" s="1650"/>
      <c r="C117" s="1637"/>
      <c r="D117" s="1827"/>
      <c r="E117" s="1523">
        <f t="shared" si="17"/>
        <v>0</v>
      </c>
      <c r="F117" s="1915">
        <f t="shared" si="8"/>
        <v>0</v>
      </c>
      <c r="G117" s="1776">
        <f t="shared" si="18"/>
        <v>0</v>
      </c>
    </row>
    <row r="118" spans="1:7" x14ac:dyDescent="0.25">
      <c r="A118" s="1636"/>
      <c r="B118" s="1650"/>
      <c r="C118" s="1637"/>
      <c r="D118" s="1827"/>
      <c r="E118" s="1523">
        <f t="shared" si="17"/>
        <v>0</v>
      </c>
      <c r="F118" s="1915">
        <f t="shared" si="8"/>
        <v>0</v>
      </c>
      <c r="G118" s="1776">
        <f t="shared" si="18"/>
        <v>0</v>
      </c>
    </row>
    <row r="119" spans="1:7" x14ac:dyDescent="0.25">
      <c r="A119" s="1636"/>
      <c r="B119" s="1650"/>
      <c r="C119" s="1637"/>
      <c r="D119" s="1827"/>
      <c r="E119" s="1523">
        <f t="shared" si="17"/>
        <v>0</v>
      </c>
      <c r="F119" s="1915">
        <f t="shared" si="8"/>
        <v>0</v>
      </c>
      <c r="G119" s="1776">
        <f t="shared" si="18"/>
        <v>0</v>
      </c>
    </row>
    <row r="120" spans="1:7" x14ac:dyDescent="0.25">
      <c r="A120" s="1636"/>
      <c r="B120" s="1650"/>
      <c r="C120" s="1637"/>
      <c r="D120" s="1827"/>
      <c r="E120" s="1523">
        <f t="shared" si="17"/>
        <v>0</v>
      </c>
      <c r="F120" s="1915">
        <f t="shared" si="8"/>
        <v>0</v>
      </c>
      <c r="G120" s="1776">
        <f t="shared" si="18"/>
        <v>0</v>
      </c>
    </row>
    <row r="121" spans="1:7" x14ac:dyDescent="0.25">
      <c r="A121" s="1636"/>
      <c r="B121" s="1650"/>
      <c r="C121" s="1637"/>
      <c r="D121" s="1827"/>
      <c r="E121" s="1523">
        <f t="shared" si="17"/>
        <v>0</v>
      </c>
      <c r="F121" s="1915">
        <f t="shared" si="8"/>
        <v>0</v>
      </c>
      <c r="G121" s="1776">
        <f t="shared" si="18"/>
        <v>0</v>
      </c>
    </row>
    <row r="122" spans="1:7" x14ac:dyDescent="0.25">
      <c r="A122" s="1636"/>
      <c r="B122" s="1650"/>
      <c r="C122" s="1637"/>
      <c r="D122" s="1827"/>
      <c r="E122" s="1523">
        <f t="shared" si="17"/>
        <v>0</v>
      </c>
      <c r="F122" s="1915">
        <f t="shared" si="8"/>
        <v>0</v>
      </c>
      <c r="G122" s="1776">
        <f t="shared" si="18"/>
        <v>0</v>
      </c>
    </row>
    <row r="123" spans="1:7" x14ac:dyDescent="0.25">
      <c r="A123" s="1636"/>
      <c r="B123" s="1650"/>
      <c r="C123" s="1637"/>
      <c r="D123" s="1827"/>
      <c r="E123" s="1523">
        <f t="shared" si="17"/>
        <v>0</v>
      </c>
      <c r="F123" s="1915">
        <f t="shared" si="8"/>
        <v>0</v>
      </c>
      <c r="G123" s="1776">
        <f t="shared" si="18"/>
        <v>0</v>
      </c>
    </row>
    <row r="124" spans="1:7" x14ac:dyDescent="0.25">
      <c r="A124" s="1636"/>
      <c r="B124" s="1650"/>
      <c r="C124" s="1637"/>
      <c r="D124" s="1827"/>
      <c r="E124" s="1523">
        <f t="shared" si="17"/>
        <v>0</v>
      </c>
      <c r="F124" s="1915">
        <f t="shared" si="8"/>
        <v>0</v>
      </c>
      <c r="G124" s="1776">
        <f t="shared" si="18"/>
        <v>0</v>
      </c>
    </row>
    <row r="125" spans="1:7" x14ac:dyDescent="0.25">
      <c r="A125" s="1636"/>
      <c r="B125" s="1650"/>
      <c r="C125" s="1637"/>
      <c r="D125" s="1827"/>
      <c r="E125" s="1523">
        <f t="shared" si="17"/>
        <v>0</v>
      </c>
      <c r="F125" s="1915">
        <f t="shared" si="8"/>
        <v>0</v>
      </c>
      <c r="G125" s="1776">
        <f t="shared" si="18"/>
        <v>0</v>
      </c>
    </row>
    <row r="126" spans="1:7" x14ac:dyDescent="0.25">
      <c r="A126" s="1636"/>
      <c r="B126" s="1650"/>
      <c r="C126" s="1637"/>
      <c r="D126" s="1827"/>
      <c r="E126" s="1523">
        <f t="shared" ref="E126:E134" si="19">IF(D126&lt;=25000,D126,IF(D126&gt;25000,25000,0))</f>
        <v>0</v>
      </c>
      <c r="F126" s="1915">
        <f t="shared" si="8"/>
        <v>0</v>
      </c>
      <c r="G126" s="1776">
        <f t="shared" ref="G126:G134" si="20">IF(F126=0,0,D126-F126)</f>
        <v>0</v>
      </c>
    </row>
    <row r="127" spans="1:7" x14ac:dyDescent="0.25">
      <c r="A127" s="1636"/>
      <c r="B127" s="1650"/>
      <c r="C127" s="1637"/>
      <c r="D127" s="1827"/>
      <c r="E127" s="1523">
        <f t="shared" si="19"/>
        <v>0</v>
      </c>
      <c r="F127" s="1915">
        <f t="shared" si="8"/>
        <v>0</v>
      </c>
      <c r="G127" s="1776">
        <f t="shared" si="20"/>
        <v>0</v>
      </c>
    </row>
    <row r="128" spans="1:7" x14ac:dyDescent="0.25">
      <c r="A128" s="1636"/>
      <c r="B128" s="1650"/>
      <c r="C128" s="1637"/>
      <c r="D128" s="1827"/>
      <c r="E128" s="1523">
        <f t="shared" si="19"/>
        <v>0</v>
      </c>
      <c r="F128" s="1915">
        <f t="shared" si="8"/>
        <v>0</v>
      </c>
      <c r="G128" s="1776">
        <f t="shared" si="20"/>
        <v>0</v>
      </c>
    </row>
    <row r="129" spans="1:7" x14ac:dyDescent="0.25">
      <c r="A129" s="1636"/>
      <c r="B129" s="1650"/>
      <c r="C129" s="1637"/>
      <c r="D129" s="1827"/>
      <c r="E129" s="1523">
        <f t="shared" si="19"/>
        <v>0</v>
      </c>
      <c r="F129" s="1915">
        <f t="shared" si="8"/>
        <v>0</v>
      </c>
      <c r="G129" s="1776">
        <f t="shared" si="20"/>
        <v>0</v>
      </c>
    </row>
    <row r="130" spans="1:7" x14ac:dyDescent="0.25">
      <c r="A130" s="1636"/>
      <c r="B130" s="1650"/>
      <c r="C130" s="1637"/>
      <c r="D130" s="1827"/>
      <c r="E130" s="1523">
        <f t="shared" si="19"/>
        <v>0</v>
      </c>
      <c r="F130" s="1915">
        <f t="shared" si="8"/>
        <v>0</v>
      </c>
      <c r="G130" s="1776">
        <f t="shared" si="20"/>
        <v>0</v>
      </c>
    </row>
    <row r="131" spans="1:7" x14ac:dyDescent="0.25">
      <c r="A131" s="1636"/>
      <c r="B131" s="1820"/>
      <c r="C131" s="1637"/>
      <c r="D131" s="1827"/>
      <c r="E131" s="1523">
        <f t="shared" si="19"/>
        <v>0</v>
      </c>
      <c r="F131" s="1915">
        <f t="shared" si="8"/>
        <v>0</v>
      </c>
      <c r="G131" s="1776">
        <f t="shared" si="20"/>
        <v>0</v>
      </c>
    </row>
    <row r="132" spans="1:7" x14ac:dyDescent="0.25">
      <c r="A132" s="1636"/>
      <c r="B132" s="1820"/>
      <c r="C132" s="1637"/>
      <c r="D132" s="1827"/>
      <c r="E132" s="1523">
        <f t="shared" si="19"/>
        <v>0</v>
      </c>
      <c r="F132" s="1915">
        <f t="shared" si="8"/>
        <v>0</v>
      </c>
      <c r="G132" s="1776">
        <f t="shared" si="20"/>
        <v>0</v>
      </c>
    </row>
    <row r="133" spans="1:7" x14ac:dyDescent="0.25">
      <c r="A133" s="1636"/>
      <c r="B133" s="1650"/>
      <c r="C133" s="1637"/>
      <c r="D133" s="1827"/>
      <c r="E133" s="1523">
        <f t="shared" si="19"/>
        <v>0</v>
      </c>
      <c r="F133" s="1915">
        <f t="shared" si="8"/>
        <v>0</v>
      </c>
      <c r="G133" s="1776">
        <f t="shared" si="20"/>
        <v>0</v>
      </c>
    </row>
    <row r="134" spans="1:7" x14ac:dyDescent="0.25">
      <c r="A134" s="1636"/>
      <c r="B134" s="1650"/>
      <c r="C134" s="1637"/>
      <c r="D134" s="1827"/>
      <c r="E134" s="1523">
        <f t="shared" si="19"/>
        <v>0</v>
      </c>
      <c r="F134" s="1915">
        <f t="shared" si="8"/>
        <v>0</v>
      </c>
      <c r="G134" s="1776">
        <f t="shared" si="20"/>
        <v>0</v>
      </c>
    </row>
    <row r="135" spans="1:7" x14ac:dyDescent="0.25">
      <c r="A135" s="1636"/>
      <c r="B135" s="1650"/>
      <c r="C135" s="1637"/>
      <c r="D135" s="1827"/>
      <c r="E135" s="1523">
        <f t="shared" ref="E135:E139" si="21">IF(D135&lt;=25000,D135,IF(D135&gt;25000,25000,0))</f>
        <v>0</v>
      </c>
      <c r="F135" s="1915">
        <f t="shared" si="8"/>
        <v>0</v>
      </c>
      <c r="G135" s="1776">
        <f t="shared" ref="G135:G139" si="22">IF(F135=0,0,D135-F135)</f>
        <v>0</v>
      </c>
    </row>
    <row r="136" spans="1:7" x14ac:dyDescent="0.25">
      <c r="A136" s="1636"/>
      <c r="B136" s="1650"/>
      <c r="C136" s="1637"/>
      <c r="D136" s="1827"/>
      <c r="E136" s="1523">
        <f t="shared" si="21"/>
        <v>0</v>
      </c>
      <c r="F136" s="1915">
        <f t="shared" si="8"/>
        <v>0</v>
      </c>
      <c r="G136" s="1776">
        <f t="shared" si="22"/>
        <v>0</v>
      </c>
    </row>
    <row r="137" spans="1:7" x14ac:dyDescent="0.25">
      <c r="A137" s="1636"/>
      <c r="B137" s="1650"/>
      <c r="C137" s="1637"/>
      <c r="D137" s="1827"/>
      <c r="E137" s="1523">
        <f t="shared" si="21"/>
        <v>0</v>
      </c>
      <c r="F137" s="1915">
        <f t="shared" si="8"/>
        <v>0</v>
      </c>
      <c r="G137" s="1776">
        <f t="shared" si="22"/>
        <v>0</v>
      </c>
    </row>
    <row r="138" spans="1:7" x14ac:dyDescent="0.25">
      <c r="A138" s="1636"/>
      <c r="B138" s="1650"/>
      <c r="C138" s="1637"/>
      <c r="D138" s="1827"/>
      <c r="E138" s="1523">
        <f t="shared" si="21"/>
        <v>0</v>
      </c>
      <c r="F138" s="1915">
        <f t="shared" si="8"/>
        <v>0</v>
      </c>
      <c r="G138" s="1776">
        <f t="shared" si="22"/>
        <v>0</v>
      </c>
    </row>
    <row r="139" spans="1:7" x14ac:dyDescent="0.25">
      <c r="A139" s="1636"/>
      <c r="B139" s="1650"/>
      <c r="C139" s="1637"/>
      <c r="D139" s="1827"/>
      <c r="E139" s="1523">
        <f t="shared" si="21"/>
        <v>0</v>
      </c>
      <c r="F139" s="1915">
        <f t="shared" si="8"/>
        <v>0</v>
      </c>
      <c r="G139" s="1776">
        <f t="shared" si="22"/>
        <v>0</v>
      </c>
    </row>
    <row r="140" spans="1:7" x14ac:dyDescent="0.25">
      <c r="A140" s="1636"/>
      <c r="B140" s="1649"/>
      <c r="C140" s="1637"/>
      <c r="D140" s="1827"/>
      <c r="E140" s="1523">
        <f t="shared" si="3"/>
        <v>0</v>
      </c>
      <c r="F140" s="1915">
        <f t="shared" si="8"/>
        <v>0</v>
      </c>
      <c r="G140" s="1776">
        <f t="shared" si="5"/>
        <v>0</v>
      </c>
    </row>
    <row r="141" spans="1:7" x14ac:dyDescent="0.25">
      <c r="A141" s="1779" t="s">
        <v>156</v>
      </c>
      <c r="B141" s="1780"/>
      <c r="C141" s="1781"/>
      <c r="D141" s="1777">
        <f>SUM(D17:D140)</f>
        <v>460373.52</v>
      </c>
      <c r="E141" s="1524">
        <f t="shared" ref="E141" si="23">IF(D141&lt;=25000,D141,IF(D141&gt;25000,25000,0))</f>
        <v>25000</v>
      </c>
      <c r="F141" s="1916">
        <f>SUM(F17:F140)</f>
        <v>262716.64</v>
      </c>
      <c r="G141" s="1778">
        <f>SUM(G17:G140)</f>
        <v>173406.88</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13" colorId="8" zoomScale="110" zoomScaleNormal="110" workbookViewId="0">
      <selection activeCell="F48" sqref="F48"/>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17" t="s">
        <v>1115</v>
      </c>
      <c r="B1" s="1618"/>
      <c r="C1" s="1619"/>
    </row>
    <row r="2" spans="1:9" x14ac:dyDescent="0.2">
      <c r="A2" s="936" t="s">
        <v>1116</v>
      </c>
      <c r="B2" s="937"/>
      <c r="C2" s="937"/>
      <c r="D2" s="937"/>
      <c r="E2" s="938"/>
      <c r="F2" s="938"/>
      <c r="G2" s="939"/>
    </row>
    <row r="3" spans="1:9" ht="12" customHeight="1" x14ac:dyDescent="0.2">
      <c r="A3" s="940" t="s">
        <v>1356</v>
      </c>
      <c r="B3" s="941"/>
      <c r="C3" s="941"/>
      <c r="D3" s="941"/>
      <c r="E3" s="942"/>
      <c r="F3" s="942"/>
      <c r="G3" s="943"/>
    </row>
    <row r="4" spans="1:9" x14ac:dyDescent="0.2">
      <c r="A4" s="944" t="s">
        <v>755</v>
      </c>
      <c r="B4" s="945"/>
      <c r="C4" s="945"/>
      <c r="D4" s="945"/>
      <c r="E4" s="946"/>
      <c r="F4" s="947"/>
      <c r="G4" s="948"/>
      <c r="H4" s="252"/>
      <c r="I4" s="252"/>
    </row>
    <row r="5" spans="1:9" s="343" customFormat="1" ht="57" customHeight="1" x14ac:dyDescent="0.2">
      <c r="A5" s="2343" t="s">
        <v>1679</v>
      </c>
      <c r="B5" s="2344"/>
      <c r="C5" s="2344"/>
      <c r="D5" s="2344"/>
      <c r="E5" s="2344"/>
      <c r="F5" s="2344"/>
      <c r="G5" s="2345"/>
      <c r="H5" s="252"/>
      <c r="I5" s="595"/>
    </row>
    <row r="6" spans="1:9" s="653" customFormat="1" x14ac:dyDescent="0.2">
      <c r="A6" s="1620" t="s">
        <v>205</v>
      </c>
      <c r="B6" s="950"/>
      <c r="C6" s="950"/>
      <c r="D6" s="951"/>
      <c r="E6" s="951"/>
      <c r="F6" s="952"/>
      <c r="G6" s="953"/>
      <c r="H6" s="162"/>
      <c r="I6" s="162"/>
    </row>
    <row r="7" spans="1:9" s="653" customFormat="1" ht="12" customHeight="1" x14ac:dyDescent="0.2">
      <c r="A7" s="954" t="s">
        <v>908</v>
      </c>
      <c r="B7" s="955"/>
      <c r="C7" s="955"/>
      <c r="D7" s="956"/>
      <c r="E7" s="957"/>
      <c r="F7" s="958"/>
      <c r="G7" s="959"/>
      <c r="H7" s="162"/>
      <c r="I7" s="162"/>
    </row>
    <row r="8" spans="1:9" s="653" customFormat="1" ht="12" customHeight="1" x14ac:dyDescent="0.2">
      <c r="A8" s="954" t="s">
        <v>129</v>
      </c>
      <c r="B8" s="955"/>
      <c r="C8" s="955"/>
      <c r="D8" s="956"/>
      <c r="E8" s="957"/>
      <c r="F8" s="958"/>
      <c r="G8" s="959"/>
      <c r="H8" s="162"/>
      <c r="I8" s="162"/>
    </row>
    <row r="9" spans="1:9" s="653" customFormat="1" ht="12" customHeight="1" x14ac:dyDescent="0.2">
      <c r="A9" s="954" t="s">
        <v>130</v>
      </c>
      <c r="B9" s="955"/>
      <c r="C9" s="955"/>
      <c r="D9" s="956"/>
      <c r="E9" s="957"/>
      <c r="F9" s="958"/>
      <c r="G9" s="959"/>
      <c r="H9" s="162"/>
      <c r="I9" s="162"/>
    </row>
    <row r="10" spans="1:9" s="653" customFormat="1" ht="12" customHeight="1" x14ac:dyDescent="0.2">
      <c r="A10" s="954" t="s">
        <v>1932</v>
      </c>
      <c r="B10" s="955"/>
      <c r="C10" s="960"/>
      <c r="D10" s="956"/>
      <c r="E10" s="957">
        <v>28846.83</v>
      </c>
      <c r="F10" s="958"/>
      <c r="G10" s="959"/>
      <c r="H10" s="162"/>
      <c r="I10" s="162"/>
    </row>
    <row r="11" spans="1:9" s="653" customFormat="1" ht="22.5" customHeight="1" x14ac:dyDescent="0.2">
      <c r="A11" s="2348" t="s">
        <v>1976</v>
      </c>
      <c r="B11" s="2349"/>
      <c r="C11" s="2349"/>
      <c r="D11" s="2350"/>
      <c r="E11" s="961">
        <v>6163.76</v>
      </c>
      <c r="F11" s="958"/>
      <c r="G11" s="962"/>
      <c r="H11" s="162"/>
      <c r="I11" s="162"/>
    </row>
    <row r="12" spans="1:9" s="653" customFormat="1" ht="12" customHeight="1" x14ac:dyDescent="0.2">
      <c r="A12" s="954" t="s">
        <v>131</v>
      </c>
      <c r="B12" s="955"/>
      <c r="C12" s="955"/>
      <c r="D12" s="956"/>
      <c r="E12" s="957"/>
      <c r="F12" s="958"/>
      <c r="G12" s="959"/>
      <c r="H12" s="162"/>
      <c r="I12" s="162"/>
    </row>
    <row r="13" spans="1:9" s="653" customFormat="1" ht="12" customHeight="1" x14ac:dyDescent="0.2">
      <c r="A13" s="954" t="s">
        <v>203</v>
      </c>
      <c r="B13" s="955"/>
      <c r="C13" s="955"/>
      <c r="D13" s="956"/>
      <c r="E13" s="957"/>
      <c r="F13" s="958"/>
      <c r="G13" s="959"/>
      <c r="H13" s="162"/>
      <c r="I13" s="162"/>
    </row>
    <row r="14" spans="1:9" s="653" customFormat="1" ht="12" customHeight="1" x14ac:dyDescent="0.2">
      <c r="A14" s="954" t="s">
        <v>204</v>
      </c>
      <c r="B14" s="955"/>
      <c r="C14" s="955"/>
      <c r="D14" s="956"/>
      <c r="E14" s="957"/>
      <c r="F14" s="963"/>
      <c r="G14" s="964"/>
      <c r="H14" s="162"/>
      <c r="I14" s="162"/>
    </row>
    <row r="15" spans="1:9" s="653" customFormat="1" ht="12" customHeight="1" x14ac:dyDescent="0.2">
      <c r="A15" s="949" t="s">
        <v>371</v>
      </c>
      <c r="B15" s="951"/>
      <c r="C15" s="951"/>
      <c r="D15" s="951"/>
      <c r="E15" s="951"/>
      <c r="F15" s="951"/>
      <c r="G15" s="965"/>
      <c r="H15" s="162"/>
      <c r="I15" s="162"/>
    </row>
    <row r="16" spans="1:9" s="653" customFormat="1" x14ac:dyDescent="0.2">
      <c r="A16" s="966" t="s">
        <v>1376</v>
      </c>
      <c r="B16" s="967"/>
      <c r="C16" s="968"/>
      <c r="D16" s="947"/>
      <c r="E16" s="942"/>
      <c r="F16" s="942"/>
      <c r="G16" s="943"/>
      <c r="H16" s="162"/>
      <c r="I16" s="162"/>
    </row>
    <row r="17" spans="1:9" s="653" customFormat="1" ht="12" customHeight="1" x14ac:dyDescent="0.2">
      <c r="A17" s="969"/>
      <c r="B17" s="970"/>
      <c r="C17" s="329"/>
      <c r="D17" s="1621" t="s">
        <v>532</v>
      </c>
      <c r="E17" s="1622"/>
      <c r="F17" s="1621" t="s">
        <v>433</v>
      </c>
      <c r="G17" s="1623"/>
      <c r="H17" s="162"/>
      <c r="I17" s="162"/>
    </row>
    <row r="18" spans="1:9" s="259" customFormat="1" ht="11.25" x14ac:dyDescent="0.2">
      <c r="A18" s="972"/>
      <c r="C18" s="973" t="s">
        <v>434</v>
      </c>
      <c r="D18" s="1624" t="s">
        <v>435</v>
      </c>
      <c r="E18" s="1624" t="s">
        <v>53</v>
      </c>
      <c r="F18" s="1624" t="s">
        <v>435</v>
      </c>
      <c r="G18" s="1624" t="s">
        <v>53</v>
      </c>
      <c r="H18" s="178"/>
      <c r="I18" s="178"/>
    </row>
    <row r="19" spans="1:9" s="653" customFormat="1" ht="12" customHeight="1" x14ac:dyDescent="0.2">
      <c r="A19" s="974" t="s">
        <v>456</v>
      </c>
      <c r="B19" s="975"/>
      <c r="C19" s="976" t="s">
        <v>570</v>
      </c>
      <c r="D19" s="1782"/>
      <c r="E19" s="1783">
        <f ca="1">'Expenditures 15-22'!K33-SUM('Expenditures 15-22'!G33,'Expenditures 15-22'!I33)+'Expenditures 15-22'!D229</f>
        <v>1194041</v>
      </c>
      <c r="F19" s="1782"/>
      <c r="G19" s="1784">
        <f ca="1">'Expenditures 15-22'!K33-SUM('Expenditures 15-22'!G33,'Expenditures 15-22'!I33)+'Expenditures 15-22'!D229</f>
        <v>1194041</v>
      </c>
      <c r="H19" s="971"/>
      <c r="I19" s="162"/>
    </row>
    <row r="20" spans="1:9" s="653" customFormat="1" ht="12" customHeight="1" x14ac:dyDescent="0.2">
      <c r="A20" s="974" t="s">
        <v>54</v>
      </c>
      <c r="B20" s="975"/>
      <c r="C20" s="977"/>
      <c r="D20" s="1785"/>
      <c r="E20" s="1785"/>
      <c r="F20" s="1785"/>
      <c r="G20" s="1786"/>
      <c r="H20" s="971"/>
      <c r="I20" s="162"/>
    </row>
    <row r="21" spans="1:9" s="653" customFormat="1" ht="12" customHeight="1" x14ac:dyDescent="0.2">
      <c r="A21" s="978" t="s">
        <v>401</v>
      </c>
      <c r="B21" s="979"/>
      <c r="C21" s="977">
        <v>2100</v>
      </c>
      <c r="D21" s="1785"/>
      <c r="E21" s="1787">
        <f ca="1">'Expenditures 15-22'!K42-SUM('Expenditures 15-22'!G42,'Expenditures 15-22'!I42)+'Expenditures 15-22'!K120-SUM('Expenditures 15-22'!G120,'Expenditures 15-22'!I120)+'Expenditures 15-22'!K180-SUM('Expenditures 15-22'!G180,'Expenditures 15-22'!I180)+'Expenditures 15-22'!D238</f>
        <v>44795</v>
      </c>
      <c r="F21" s="1785"/>
      <c r="G21" s="1788">
        <f ca="1">'Expenditures 15-22'!K42-SUM('Expenditures 15-22'!G42,'Expenditures 15-22'!I42)+'Expenditures 15-22'!K120-SUM('Expenditures 15-22'!G120,'Expenditures 15-22'!I120)+'Expenditures 15-22'!K180-SUM('Expenditures 15-22'!G180,'Expenditures 15-22'!I180)+'Expenditures 15-22'!D238</f>
        <v>44795</v>
      </c>
      <c r="H21" s="971"/>
      <c r="I21" s="162"/>
    </row>
    <row r="22" spans="1:9" s="653" customFormat="1" ht="12" customHeight="1" x14ac:dyDescent="0.2">
      <c r="A22" s="978" t="s">
        <v>564</v>
      </c>
      <c r="B22" s="979"/>
      <c r="C22" s="977">
        <v>2200</v>
      </c>
      <c r="D22" s="1785"/>
      <c r="E22" s="1787">
        <f ca="1">'Expenditures 15-22'!K47-SUM('Expenditures 15-22'!G47,'Expenditures 15-22'!I47)+'Expenditures 15-22'!D243</f>
        <v>59115</v>
      </c>
      <c r="F22" s="1785"/>
      <c r="G22" s="1788">
        <f ca="1">'Expenditures 15-22'!K47-SUM('Expenditures 15-22'!G47,'Expenditures 15-22'!I47)+'Expenditures 15-22'!D243</f>
        <v>59115</v>
      </c>
      <c r="H22" s="971"/>
      <c r="I22" s="162"/>
    </row>
    <row r="23" spans="1:9" s="653" customFormat="1" ht="12" customHeight="1" x14ac:dyDescent="0.2">
      <c r="A23" s="978" t="s">
        <v>565</v>
      </c>
      <c r="B23" s="979"/>
      <c r="C23" s="977">
        <v>2300</v>
      </c>
      <c r="D23" s="1785"/>
      <c r="E23" s="1787">
        <f ca="1">'Expenditures 15-22'!K53-SUM('Expenditures 15-22'!G53,'Expenditures 15-22'!I53)+'Expenditures 15-22'!D257+'Expenditures 15-22'!K330-SUM('Expenditures 15-22'!G330,'Expenditures 15-22'!I330)</f>
        <v>227995</v>
      </c>
      <c r="F23" s="1785"/>
      <c r="G23" s="1787">
        <f ca="1">'Expenditures 15-22'!K53-SUM('Expenditures 15-22'!G53,'Expenditures 15-22'!I53)+'Expenditures 15-22'!D257+'Expenditures 15-22'!K330-SUM('Expenditures 15-22'!G330,'Expenditures 15-22'!I330)</f>
        <v>227995</v>
      </c>
      <c r="H23" s="971"/>
      <c r="I23" s="162"/>
    </row>
    <row r="24" spans="1:9" s="653" customFormat="1" ht="12" customHeight="1" x14ac:dyDescent="0.2">
      <c r="A24" s="978" t="s">
        <v>566</v>
      </c>
      <c r="B24" s="979"/>
      <c r="C24" s="977">
        <v>2400</v>
      </c>
      <c r="D24" s="1785"/>
      <c r="E24" s="1787">
        <f ca="1">'Expenditures 15-22'!K57-SUM('Expenditures 15-22'!G57,'Expenditures 15-22'!I57)+'Expenditures 15-22'!D261</f>
        <v>100956</v>
      </c>
      <c r="F24" s="1785"/>
      <c r="G24" s="1788">
        <f ca="1">'Expenditures 15-22'!K57-SUM('Expenditures 15-22'!G57,'Expenditures 15-22'!I57)+'Expenditures 15-22'!D261</f>
        <v>100956</v>
      </c>
      <c r="H24" s="971"/>
      <c r="I24" s="162"/>
    </row>
    <row r="25" spans="1:9" s="653" customFormat="1" ht="12" customHeight="1" x14ac:dyDescent="0.2">
      <c r="A25" s="974" t="s">
        <v>567</v>
      </c>
      <c r="B25" s="980"/>
      <c r="C25" s="977"/>
      <c r="D25" s="1785"/>
      <c r="E25" s="1787"/>
      <c r="F25" s="1785"/>
      <c r="G25" s="1788"/>
      <c r="H25" s="971"/>
      <c r="I25" s="162"/>
    </row>
    <row r="26" spans="1:9" s="653" customFormat="1" ht="12" customHeight="1" x14ac:dyDescent="0.2">
      <c r="A26" s="978" t="s">
        <v>515</v>
      </c>
      <c r="B26" s="981"/>
      <c r="C26" s="977">
        <v>2510</v>
      </c>
      <c r="D26" s="1787">
        <f ca="1">'Expenditures 15-22'!K59-SUM('Expenditures 15-22'!G59,'Expenditures 15-22'!I59)+'Expenditures 15-22'!D263-E7</f>
        <v>0</v>
      </c>
      <c r="E26" s="1787">
        <f ca="1">'Expenditures 15-22'!K122-SUM('Expenditures 15-22'!G122,'Expenditures 15-22'!I122)+E7</f>
        <v>2966</v>
      </c>
      <c r="F26" s="1787">
        <f ca="1">'Expenditures 15-22'!K59-SUM('Expenditures 15-22'!G59,'Expenditures 15-22'!I59)+'Expenditures 15-22'!D263-E7</f>
        <v>0</v>
      </c>
      <c r="G26" s="1788">
        <f ca="1">'Expenditures 15-22'!K122-SUM('Expenditures 15-22'!G122,'Expenditures 15-22'!I122)+E7</f>
        <v>2966</v>
      </c>
      <c r="H26" s="971"/>
      <c r="I26" s="162"/>
    </row>
    <row r="27" spans="1:9" s="653" customFormat="1" ht="12" customHeight="1" x14ac:dyDescent="0.2">
      <c r="A27" s="978" t="s">
        <v>463</v>
      </c>
      <c r="B27" s="981"/>
      <c r="C27" s="977">
        <v>2520</v>
      </c>
      <c r="D27" s="1787">
        <f ca="1">'Expenditures 15-22'!K60-SUM('Expenditures 15-22'!G60,'Expenditures 15-22'!I60)+'Expenditures 15-22'!D264-E8</f>
        <v>103777</v>
      </c>
      <c r="E27" s="1787">
        <f>E8</f>
        <v>0</v>
      </c>
      <c r="F27" s="1787">
        <f ca="1">'Expenditures 15-22'!K60-SUM('Expenditures 15-22'!G60,'Expenditures 15-22'!I60)+'Expenditures 15-22'!D264-E8</f>
        <v>103777</v>
      </c>
      <c r="G27" s="1788">
        <f>E8</f>
        <v>0</v>
      </c>
      <c r="H27" s="971"/>
      <c r="I27" s="162"/>
    </row>
    <row r="28" spans="1:9" s="653" customFormat="1" ht="12" customHeight="1" x14ac:dyDescent="0.2">
      <c r="A28" s="978" t="s">
        <v>516</v>
      </c>
      <c r="B28" s="981"/>
      <c r="C28" s="977">
        <v>2540</v>
      </c>
      <c r="D28" s="1789"/>
      <c r="E28" s="1787">
        <f ca="1">'Expenditures 15-22'!K61-SUM('Expenditures 15-22'!G61,'Expenditures 15-22'!I61)+'Expenditures 15-22'!K124-SUM('Expenditures 15-22'!G124,'Expenditures 15-22'!I124)+'Expenditures 15-22'!D266</f>
        <v>225486</v>
      </c>
      <c r="F28" s="1789">
        <f ca="1">'Expenditures 15-22'!K61-SUM('Expenditures 15-22'!G61,'Expenditures 15-22'!I61)+'Expenditures 15-22'!K124-SUM('Expenditures 15-22'!G124,'Expenditures 15-22'!I124)+'Expenditures 15-22'!D266-E9</f>
        <v>225486</v>
      </c>
      <c r="G28" s="1788">
        <f>E9</f>
        <v>0</v>
      </c>
      <c r="H28" s="971"/>
      <c r="I28" s="162"/>
    </row>
    <row r="29" spans="1:9" ht="12" customHeight="1" x14ac:dyDescent="0.2">
      <c r="A29" s="978" t="s">
        <v>517</v>
      </c>
      <c r="B29" s="981"/>
      <c r="C29" s="977">
        <v>2550</v>
      </c>
      <c r="D29" s="1785"/>
      <c r="E29" s="1787">
        <f ca="1">'Expenditures 15-22'!K62-SUM('Expenditures 15-22'!G62,'Expenditures 15-22'!I62)+'Expenditures 15-22'!K125-SUM('Expenditures 15-22'!G125,'Expenditures 15-22'!I125)+'Expenditures 15-22'!K182-SUM('Expenditures 15-22'!G182,'Expenditures 15-22'!I182)+'Expenditures 15-22'!D267</f>
        <v>93187</v>
      </c>
      <c r="F29" s="1785"/>
      <c r="G29" s="1788">
        <f ca="1">'Expenditures 15-22'!K62-SUM('Expenditures 15-22'!G62,'Expenditures 15-22'!I62)+'Expenditures 15-22'!K125-SUM('Expenditures 15-22'!G125,'Expenditures 15-22'!I125)+'Expenditures 15-22'!K182-SUM('Expenditures 15-22'!G182,'Expenditures 15-22'!I182)+'Expenditures 15-22'!D267</f>
        <v>93187</v>
      </c>
      <c r="H29" s="969"/>
    </row>
    <row r="30" spans="1:9" ht="12" customHeight="1" x14ac:dyDescent="0.2">
      <c r="A30" s="978" t="s">
        <v>100</v>
      </c>
      <c r="B30" s="981"/>
      <c r="C30" s="977">
        <v>2560</v>
      </c>
      <c r="D30" s="1785"/>
      <c r="E30" s="1787">
        <f ca="1">'Expenditures 15-22'!K63-SUM('Expenditures 15-22'!G63,'Expenditures 15-22'!I63)+'Expenditures 15-22'!D268-E10</f>
        <v>34998.17</v>
      </c>
      <c r="F30" s="1785"/>
      <c r="G30" s="1787">
        <f ca="1">'Expenditures 15-22'!K63-SUM('Expenditures 15-22'!G63,'Expenditures 15-22'!I63)+'Expenditures 15-22'!D268-E10</f>
        <v>34998.17</v>
      </c>
    </row>
    <row r="31" spans="1:9" ht="12" customHeight="1" x14ac:dyDescent="0.2">
      <c r="A31" s="978" t="s">
        <v>101</v>
      </c>
      <c r="B31" s="981"/>
      <c r="C31" s="977">
        <v>2570</v>
      </c>
      <c r="D31" s="1787">
        <f ca="1">'Expenditures 15-22'!K64-SUM('Expenditures 15-22'!G64,'Expenditures 15-22'!I64)+'Expenditures 15-22'!D269-E12</f>
        <v>0</v>
      </c>
      <c r="E31" s="1787">
        <f>E12</f>
        <v>0</v>
      </c>
      <c r="F31" s="1787">
        <f ca="1">'Expenditures 15-22'!K64-SUM('Expenditures 15-22'!G64,'Expenditures 15-22'!I64)+'Expenditures 15-22'!D269-E12</f>
        <v>0</v>
      </c>
      <c r="G31" s="1787">
        <f>E12</f>
        <v>0</v>
      </c>
    </row>
    <row r="32" spans="1:9" ht="12" customHeight="1" x14ac:dyDescent="0.2">
      <c r="A32" s="974" t="s">
        <v>518</v>
      </c>
      <c r="B32" s="980"/>
      <c r="C32" s="977"/>
      <c r="D32" s="1785"/>
      <c r="E32" s="1785"/>
      <c r="F32" s="1785"/>
      <c r="G32" s="1785"/>
    </row>
    <row r="33" spans="1:7" ht="12" customHeight="1" x14ac:dyDescent="0.2">
      <c r="A33" s="978" t="s">
        <v>519</v>
      </c>
      <c r="B33" s="981"/>
      <c r="C33" s="977">
        <v>2610</v>
      </c>
      <c r="D33" s="1785"/>
      <c r="E33" s="1787">
        <f ca="1">'Expenditures 15-22'!K67-SUM('Expenditures 15-22'!G67,'Expenditures 15-22'!I67)+'Expenditures 15-22'!D272</f>
        <v>0</v>
      </c>
      <c r="F33" s="1785"/>
      <c r="G33" s="1787">
        <f ca="1">'Expenditures 15-22'!K67-SUM('Expenditures 15-22'!G67,'Expenditures 15-22'!I67)+'Expenditures 15-22'!D272</f>
        <v>0</v>
      </c>
    </row>
    <row r="34" spans="1:7" ht="12" customHeight="1" x14ac:dyDescent="0.2">
      <c r="A34" s="978" t="s">
        <v>520</v>
      </c>
      <c r="B34" s="981"/>
      <c r="C34" s="977">
        <v>2620</v>
      </c>
      <c r="D34" s="1785"/>
      <c r="E34" s="1787">
        <f ca="1">'Expenditures 15-22'!K68-SUM('Expenditures 15-22'!G68,'Expenditures 15-22'!I68)+'Expenditures 15-22'!D273</f>
        <v>203</v>
      </c>
      <c r="F34" s="1785"/>
      <c r="G34" s="1787">
        <f ca="1">'Expenditures 15-22'!K68-SUM('Expenditures 15-22'!G68,'Expenditures 15-22'!I68)+'Expenditures 15-22'!D273</f>
        <v>203</v>
      </c>
    </row>
    <row r="35" spans="1:7" ht="12" customHeight="1" x14ac:dyDescent="0.2">
      <c r="A35" s="978" t="s">
        <v>1061</v>
      </c>
      <c r="B35" s="981"/>
      <c r="C35" s="977">
        <v>2630</v>
      </c>
      <c r="D35" s="1785"/>
      <c r="E35" s="1787">
        <f ca="1">'Expenditures 15-22'!K69-SUM('Expenditures 15-22'!G69,'Expenditures 15-22'!I69)+'Expenditures 15-22'!D274</f>
        <v>0</v>
      </c>
      <c r="F35" s="1785"/>
      <c r="G35" s="1787">
        <f ca="1">'Expenditures 15-22'!K69-SUM('Expenditures 15-22'!G69,'Expenditures 15-22'!I69)+'Expenditures 15-22'!D274</f>
        <v>0</v>
      </c>
    </row>
    <row r="36" spans="1:7" ht="12" customHeight="1" x14ac:dyDescent="0.2">
      <c r="A36" s="978" t="s">
        <v>403</v>
      </c>
      <c r="B36" s="981"/>
      <c r="C36" s="977">
        <v>2640</v>
      </c>
      <c r="D36" s="1787">
        <f ca="1">'Expenditures 15-22'!K70-SUM('Expenditures 15-22'!G70,'Expenditures 15-22'!I70)+'Expenditures 15-22'!D275-E13</f>
        <v>0</v>
      </c>
      <c r="E36" s="1787">
        <f>E13</f>
        <v>0</v>
      </c>
      <c r="F36" s="1787">
        <f ca="1">'Expenditures 15-22'!K70-SUM('Expenditures 15-22'!G70,'Expenditures 15-22'!I70)+'Expenditures 15-22'!D275-E13</f>
        <v>0</v>
      </c>
      <c r="G36" s="1787">
        <f>E13</f>
        <v>0</v>
      </c>
    </row>
    <row r="37" spans="1:7" ht="12" customHeight="1" x14ac:dyDescent="0.2">
      <c r="A37" s="978" t="s">
        <v>404</v>
      </c>
      <c r="B37" s="981"/>
      <c r="C37" s="977">
        <v>2660</v>
      </c>
      <c r="D37" s="1787">
        <f ca="1">'Expenditures 15-22'!K71-SUM('Expenditures 15-22'!G71,'Expenditures 15-22'!I71)+'Expenditures 15-22'!D276-E14</f>
        <v>0</v>
      </c>
      <c r="E37" s="1787">
        <f>E14</f>
        <v>0</v>
      </c>
      <c r="F37" s="1787">
        <f ca="1">'Expenditures 15-22'!K71-SUM('Expenditures 15-22'!G71,'Expenditures 15-22'!I71)+'Expenditures 15-22'!D276-E14</f>
        <v>0</v>
      </c>
      <c r="G37" s="1787">
        <f>E14</f>
        <v>0</v>
      </c>
    </row>
    <row r="38" spans="1:7" ht="12" customHeight="1" x14ac:dyDescent="0.2">
      <c r="A38" s="974" t="s">
        <v>521</v>
      </c>
      <c r="B38" s="975"/>
      <c r="C38" s="977">
        <v>2900</v>
      </c>
      <c r="D38" s="1785"/>
      <c r="E38" s="1787">
        <f ca="1">'Expenditures 15-22'!K73-SUM('Expenditures 15-22'!G73,'Expenditures 15-22'!I73)+'Expenditures 15-22'!K128-SUM('Expenditures 15-22'!G128,'Expenditures 15-22'!I128)+'Expenditures 15-22'!K183-SUM('Expenditures 15-22'!G183,'Expenditures 15-22'!I183)+'Expenditures 15-22'!D278</f>
        <v>0</v>
      </c>
      <c r="F38" s="1785"/>
      <c r="G38" s="1787">
        <f ca="1">'Expenditures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74" t="s">
        <v>449</v>
      </c>
      <c r="B39" s="975"/>
      <c r="C39" s="977">
        <v>3000</v>
      </c>
      <c r="D39" s="1785"/>
      <c r="E39" s="1787">
        <f ca="1">'Expenditures 15-22'!K75-SUM('Expenditures 15-22'!G75,'Expenditures 15-22'!I75)+'Expenditures 15-22'!K130-SUM('Expenditures 15-22'!G130,'Expenditures 15-22'!I130)+'Expenditures 15-22'!K185-SUM('Expenditures 15-22'!G185,'Expenditures 15-22'!I185)+'Expenditures 15-22'!D280</f>
        <v>20797</v>
      </c>
      <c r="F39" s="1785"/>
      <c r="G39" s="1787">
        <f ca="1">'Expenditures 15-22'!K75-SUM('Expenditures 15-22'!G75,'Expenditures 15-22'!I75)+'Expenditures 15-22'!K130-SUM('Expenditures 15-22'!G130,'Expenditures 15-22'!I130)+'Expenditures 15-22'!K185-SUM('Expenditures 15-22'!G185,'Expenditures 15-22'!I185)+'Expenditures 15-22'!D280</f>
        <v>20797</v>
      </c>
    </row>
    <row r="40" spans="1:7" ht="12" customHeight="1" x14ac:dyDescent="0.2">
      <c r="A40" s="974" t="s">
        <v>1822</v>
      </c>
      <c r="B40" s="975"/>
      <c r="C40" s="977"/>
      <c r="D40" s="1785"/>
      <c r="E40" s="1789">
        <f>-'Contracts Paid in CY 29'!G141</f>
        <v>-173406.88</v>
      </c>
      <c r="F40" s="1785"/>
      <c r="G40" s="1789">
        <f>-'Contracts Paid in CY 29'!G141</f>
        <v>-173406.88</v>
      </c>
    </row>
    <row r="41" spans="1:7" ht="12" customHeight="1" x14ac:dyDescent="0.2">
      <c r="A41" s="982" t="s">
        <v>156</v>
      </c>
      <c r="B41" s="983"/>
      <c r="C41" s="984"/>
      <c r="D41" s="1789">
        <f ca="1">SUM(D19:D39)</f>
        <v>103777</v>
      </c>
      <c r="E41" s="1789">
        <f ca="1">SUM(E19:E40)</f>
        <v>1831132.29</v>
      </c>
      <c r="F41" s="1789">
        <f ca="1">SUM(F19:F39)</f>
        <v>329263</v>
      </c>
      <c r="G41" s="1789">
        <f ca="1">SUM(G19:G40)</f>
        <v>1605646.29</v>
      </c>
    </row>
    <row r="42" spans="1:7" x14ac:dyDescent="0.2">
      <c r="A42" s="971"/>
      <c r="B42" s="162"/>
      <c r="C42" s="985"/>
      <c r="D42" s="2346" t="s">
        <v>522</v>
      </c>
      <c r="E42" s="2347"/>
      <c r="F42" s="986" t="s">
        <v>523</v>
      </c>
      <c r="G42" s="987"/>
    </row>
    <row r="43" spans="1:7" ht="12" customHeight="1" x14ac:dyDescent="0.2">
      <c r="A43" s="971"/>
      <c r="B43" s="162"/>
      <c r="C43" s="985"/>
      <c r="D43" s="1790" t="s">
        <v>473</v>
      </c>
      <c r="E43" s="1791">
        <f ca="1">D41</f>
        <v>103777</v>
      </c>
      <c r="F43" s="1790" t="s">
        <v>473</v>
      </c>
      <c r="G43" s="1791">
        <f ca="1">F41</f>
        <v>329263</v>
      </c>
    </row>
    <row r="44" spans="1:7" ht="12" customHeight="1" x14ac:dyDescent="0.2">
      <c r="A44" s="971"/>
      <c r="B44" s="162"/>
      <c r="C44" s="985"/>
      <c r="D44" s="1790" t="s">
        <v>474</v>
      </c>
      <c r="E44" s="1791">
        <f ca="1">E41</f>
        <v>1831132.29</v>
      </c>
      <c r="F44" s="1790" t="s">
        <v>474</v>
      </c>
      <c r="G44" s="1791">
        <f ca="1">G41</f>
        <v>1605646.29</v>
      </c>
    </row>
    <row r="45" spans="1:7" ht="12" customHeight="1" x14ac:dyDescent="0.2">
      <c r="A45" s="971"/>
      <c r="B45" s="162"/>
      <c r="C45" s="162"/>
      <c r="D45" s="1792" t="s">
        <v>1006</v>
      </c>
      <c r="E45" s="1793">
        <f ca="1">(E43/E44)</f>
        <v>5.6673677028544998E-2</v>
      </c>
      <c r="F45" s="1792" t="s">
        <v>1006</v>
      </c>
      <c r="G45" s="1793">
        <f ca="1">(G43/G44)</f>
        <v>0.20506571219991421</v>
      </c>
    </row>
    <row r="46" spans="1:7" x14ac:dyDescent="0.2">
      <c r="A46" s="988"/>
      <c r="B46" s="989"/>
      <c r="C46" s="989"/>
      <c r="D46" s="990"/>
      <c r="E46" s="991"/>
      <c r="F46" s="990"/>
      <c r="G46" s="991"/>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zoomScale="110" zoomScaleNormal="110" workbookViewId="0">
      <pane ySplit="4" topLeftCell="A5" activePane="bottomLeft" state="frozen"/>
      <selection activeCell="A47" sqref="A47"/>
      <selection pane="bottomLeft" activeCell="F23" sqref="F23"/>
    </sheetView>
  </sheetViews>
  <sheetFormatPr defaultColWidth="9.140625" defaultRowHeight="12.75" x14ac:dyDescent="0.2"/>
  <cols>
    <col min="1" max="1" width="54.5703125" style="1859" customWidth="1"/>
    <col min="2" max="2" width="4.140625" style="1859" customWidth="1"/>
    <col min="3" max="4" width="9.85546875" style="1830" customWidth="1"/>
    <col min="5" max="5" width="12.5703125" style="1860" customWidth="1"/>
    <col min="6" max="6" width="67.5703125" style="1830" customWidth="1"/>
    <col min="7" max="7" width="9.140625" style="1830" customWidth="1"/>
    <col min="8" max="8" width="5.5703125" style="1861" bestFit="1" customWidth="1"/>
    <col min="9" max="10" width="2" style="1861" bestFit="1" customWidth="1"/>
    <col min="11" max="11" width="9" style="1861" customWidth="1"/>
    <col min="12" max="16384" width="9.140625" style="1830"/>
  </cols>
  <sheetData>
    <row r="1" spans="1:10" x14ac:dyDescent="0.2">
      <c r="A1" s="2365" t="s">
        <v>1379</v>
      </c>
      <c r="B1" s="2365"/>
      <c r="C1" s="2365"/>
      <c r="D1" s="2365"/>
      <c r="E1" s="2365"/>
      <c r="F1" s="2365"/>
    </row>
    <row r="2" spans="1:10" x14ac:dyDescent="0.2">
      <c r="A2" s="1870" t="s">
        <v>1911</v>
      </c>
      <c r="B2" s="1831"/>
      <c r="C2" s="1870"/>
      <c r="D2" s="1831"/>
      <c r="E2" s="1831"/>
      <c r="F2" s="1832"/>
    </row>
    <row r="3" spans="1:10" x14ac:dyDescent="0.2">
      <c r="A3" s="1870" t="s">
        <v>1977</v>
      </c>
      <c r="B3" s="1831"/>
      <c r="C3" s="1870"/>
      <c r="D3" s="1831"/>
      <c r="E3" s="1831"/>
      <c r="F3" s="1832"/>
    </row>
    <row r="4" spans="1:10" ht="3.75" customHeight="1" x14ac:dyDescent="0.2">
      <c r="A4" s="1831"/>
      <c r="B4" s="1831"/>
      <c r="C4" s="1831"/>
      <c r="D4" s="1831"/>
      <c r="E4" s="1831"/>
      <c r="F4" s="1832"/>
    </row>
    <row r="5" spans="1:10" ht="15" x14ac:dyDescent="0.25">
      <c r="A5" s="2366" t="s">
        <v>1546</v>
      </c>
      <c r="B5" s="2367"/>
      <c r="C5" s="2368"/>
      <c r="D5" s="2368"/>
      <c r="E5" s="2368"/>
      <c r="F5" s="2368"/>
    </row>
    <row r="6" spans="1:10" ht="12" customHeight="1" x14ac:dyDescent="0.25">
      <c r="A6" s="1833"/>
      <c r="B6" s="1834"/>
      <c r="C6" s="2369" t="str">
        <f>COVER!A17</f>
        <v>Saunemin CCSD 438</v>
      </c>
      <c r="D6" s="2369"/>
      <c r="E6" s="2369"/>
      <c r="F6" s="1835"/>
    </row>
    <row r="7" spans="1:10" ht="11.25" customHeight="1" thickBot="1" x14ac:dyDescent="0.3">
      <c r="A7" s="1833"/>
      <c r="B7" s="1834"/>
      <c r="C7" s="2370">
        <f>COVER!A13</f>
        <v>17053438004</v>
      </c>
      <c r="D7" s="2370"/>
      <c r="E7" s="2370"/>
      <c r="F7" s="1835"/>
    </row>
    <row r="8" spans="1:10" ht="25.5" customHeight="1" thickBot="1" x14ac:dyDescent="0.25">
      <c r="A8" s="1876" t="s">
        <v>1907</v>
      </c>
      <c r="B8" s="1836"/>
      <c r="C8" s="1872" t="s">
        <v>1681</v>
      </c>
      <c r="D8" s="1871" t="s">
        <v>1682</v>
      </c>
      <c r="E8" s="1873" t="s">
        <v>1380</v>
      </c>
      <c r="F8" s="1871" t="s">
        <v>1683</v>
      </c>
      <c r="H8" s="1837" t="b">
        <v>0</v>
      </c>
    </row>
    <row r="9" spans="1:10" ht="15.75" customHeight="1" x14ac:dyDescent="0.2">
      <c r="A9" s="1838" t="s">
        <v>1542</v>
      </c>
      <c r="B9" s="1839"/>
      <c r="C9" s="1840"/>
      <c r="D9" s="1840"/>
      <c r="E9" s="1841"/>
      <c r="F9" s="1842"/>
    </row>
    <row r="10" spans="1:10" ht="27.75" customHeight="1" x14ac:dyDescent="0.2">
      <c r="A10" s="1843" t="s">
        <v>1680</v>
      </c>
      <c r="B10" s="1844"/>
      <c r="C10" s="1845"/>
      <c r="D10" s="1845"/>
      <c r="E10" s="1874" t="s">
        <v>1381</v>
      </c>
      <c r="F10" s="1875" t="s">
        <v>1382</v>
      </c>
    </row>
    <row r="11" spans="1:10" ht="12" customHeight="1" x14ac:dyDescent="0.2">
      <c r="A11" s="1846" t="s">
        <v>1383</v>
      </c>
      <c r="B11" s="1847"/>
      <c r="C11" s="1848"/>
      <c r="D11" s="1848"/>
      <c r="E11" s="1849"/>
      <c r="F11" s="1850"/>
      <c r="H11" s="1861">
        <f>IF(C11="X",5,0)</f>
        <v>0</v>
      </c>
      <c r="I11" s="1861">
        <f>IF(D11="X",5,0)</f>
        <v>0</v>
      </c>
      <c r="J11" s="1861">
        <f>IF(E11="X",5,0)</f>
        <v>0</v>
      </c>
    </row>
    <row r="12" spans="1:10" ht="12" customHeight="1" x14ac:dyDescent="0.2">
      <c r="A12" s="1846" t="s">
        <v>1384</v>
      </c>
      <c r="B12" s="1847"/>
      <c r="C12" s="1848"/>
      <c r="D12" s="1848"/>
      <c r="E12" s="1851"/>
      <c r="F12" s="1850"/>
      <c r="H12" s="1861">
        <f t="shared" ref="H12:H33" si="0">IF(C12="X",5,0)</f>
        <v>0</v>
      </c>
      <c r="I12" s="1861">
        <f t="shared" ref="I12:I33" si="1">IF(D12="X",5,0)</f>
        <v>0</v>
      </c>
      <c r="J12" s="1861">
        <f t="shared" ref="J12:J33" si="2">IF(E12="X",5,0)</f>
        <v>0</v>
      </c>
    </row>
    <row r="13" spans="1:10" ht="12" customHeight="1" x14ac:dyDescent="0.2">
      <c r="A13" s="1846" t="s">
        <v>1385</v>
      </c>
      <c r="B13" s="1847"/>
      <c r="C13" s="1848"/>
      <c r="D13" s="1848"/>
      <c r="E13" s="1851"/>
      <c r="F13" s="1850"/>
      <c r="H13" s="1861">
        <f t="shared" si="0"/>
        <v>0</v>
      </c>
      <c r="I13" s="1861">
        <f t="shared" si="1"/>
        <v>0</v>
      </c>
      <c r="J13" s="1861">
        <f t="shared" si="2"/>
        <v>0</v>
      </c>
    </row>
    <row r="14" spans="1:10" ht="12" customHeight="1" x14ac:dyDescent="0.2">
      <c r="A14" s="1846" t="s">
        <v>1386</v>
      </c>
      <c r="B14" s="1847"/>
      <c r="C14" s="1848"/>
      <c r="D14" s="1848"/>
      <c r="E14" s="1851"/>
      <c r="F14" s="1850"/>
      <c r="H14" s="1861">
        <f t="shared" si="0"/>
        <v>0</v>
      </c>
      <c r="I14" s="1861">
        <f t="shared" si="1"/>
        <v>0</v>
      </c>
      <c r="J14" s="1861">
        <f t="shared" si="2"/>
        <v>0</v>
      </c>
    </row>
    <row r="15" spans="1:10" ht="12" customHeight="1" x14ac:dyDescent="0.2">
      <c r="A15" s="1846" t="s">
        <v>1387</v>
      </c>
      <c r="B15" s="1847"/>
      <c r="C15" s="1848"/>
      <c r="D15" s="1848"/>
      <c r="E15" s="1851"/>
      <c r="F15" s="1850"/>
      <c r="H15" s="1861">
        <f t="shared" si="0"/>
        <v>0</v>
      </c>
      <c r="I15" s="1861">
        <f t="shared" si="1"/>
        <v>0</v>
      </c>
      <c r="J15" s="1861">
        <f t="shared" si="2"/>
        <v>0</v>
      </c>
    </row>
    <row r="16" spans="1:10" ht="12" customHeight="1" x14ac:dyDescent="0.2">
      <c r="A16" s="1846" t="s">
        <v>1388</v>
      </c>
      <c r="B16" s="1847"/>
      <c r="C16" s="1848" t="s">
        <v>2064</v>
      </c>
      <c r="D16" s="1848" t="s">
        <v>2064</v>
      </c>
      <c r="E16" s="1971" t="s">
        <v>2064</v>
      </c>
      <c r="F16" s="1850" t="s">
        <v>3063</v>
      </c>
      <c r="H16" s="1861" t="e">
        <f>IF(#REF!="X",5,0)</f>
        <v>#REF!</v>
      </c>
      <c r="I16" s="1861" t="e">
        <f>IF(#REF!="X",5,0)</f>
        <v>#REF!</v>
      </c>
      <c r="J16" s="1861" t="e">
        <f>IF(#REF!="X",5,0)</f>
        <v>#REF!</v>
      </c>
    </row>
    <row r="17" spans="1:12" ht="12" customHeight="1" x14ac:dyDescent="0.2">
      <c r="A17" s="1846" t="s">
        <v>1389</v>
      </c>
      <c r="B17" s="1847"/>
      <c r="C17" s="1848"/>
      <c r="D17" s="1848"/>
      <c r="E17" s="1971"/>
      <c r="F17" s="1850"/>
      <c r="H17" s="1861" t="e">
        <f>IF(#REF!="X",5,0)</f>
        <v>#REF!</v>
      </c>
      <c r="I17" s="1861" t="e">
        <f>IF(#REF!="X",5,0)</f>
        <v>#REF!</v>
      </c>
      <c r="J17" s="1861" t="e">
        <f>IF(#REF!="X",5,0)</f>
        <v>#REF!</v>
      </c>
    </row>
    <row r="18" spans="1:12" ht="12" customHeight="1" x14ac:dyDescent="0.2">
      <c r="A18" s="1846" t="s">
        <v>1390</v>
      </c>
      <c r="B18" s="1847"/>
      <c r="C18" s="1848"/>
      <c r="D18" s="1848"/>
      <c r="E18" s="1971"/>
      <c r="F18" s="1850"/>
      <c r="H18" s="1861" t="e">
        <f>IF(#REF!="X",5,0)</f>
        <v>#REF!</v>
      </c>
      <c r="I18" s="1861" t="e">
        <f>IF(#REF!="X",5,0)</f>
        <v>#REF!</v>
      </c>
      <c r="J18" s="1861" t="e">
        <f>IF(#REF!="X",5,0)</f>
        <v>#REF!</v>
      </c>
    </row>
    <row r="19" spans="1:12" ht="12" customHeight="1" x14ac:dyDescent="0.2">
      <c r="A19" s="1846" t="s">
        <v>1527</v>
      </c>
      <c r="B19" s="1847"/>
      <c r="C19" s="1848" t="s">
        <v>2064</v>
      </c>
      <c r="D19" s="1848" t="s">
        <v>2064</v>
      </c>
      <c r="E19" s="1971" t="s">
        <v>2064</v>
      </c>
      <c r="F19" s="1850" t="s">
        <v>3062</v>
      </c>
      <c r="H19" s="1861" t="e">
        <f>IF(#REF!="X",5,0)</f>
        <v>#REF!</v>
      </c>
      <c r="I19" s="1861" t="e">
        <f>IF(#REF!="X",5,0)</f>
        <v>#REF!</v>
      </c>
      <c r="J19" s="1861" t="e">
        <f>IF(#REF!="X",5,0)</f>
        <v>#REF!</v>
      </c>
    </row>
    <row r="20" spans="1:12" ht="12" customHeight="1" x14ac:dyDescent="0.2">
      <c r="A20" s="1846" t="s">
        <v>1528</v>
      </c>
      <c r="B20" s="1847"/>
      <c r="C20" s="1848"/>
      <c r="D20" s="1848"/>
      <c r="E20" s="1971"/>
      <c r="F20" s="1850"/>
      <c r="H20" s="1861" t="e">
        <f>IF(#REF!="X",5,0)</f>
        <v>#REF!</v>
      </c>
      <c r="I20" s="1861" t="e">
        <f>IF(#REF!="X",5,0)</f>
        <v>#REF!</v>
      </c>
      <c r="J20" s="1861" t="e">
        <f>IF(#REF!="X",5,0)</f>
        <v>#REF!</v>
      </c>
    </row>
    <row r="21" spans="1:12" ht="12" customHeight="1" x14ac:dyDescent="0.2">
      <c r="A21" s="1846" t="s">
        <v>1529</v>
      </c>
      <c r="B21" s="1847"/>
      <c r="C21" s="1848"/>
      <c r="D21" s="1848"/>
      <c r="E21" s="1971"/>
      <c r="F21" s="1850"/>
      <c r="H21" s="1861" t="e">
        <f>IF(#REF!="X",5,0)</f>
        <v>#REF!</v>
      </c>
      <c r="I21" s="1861" t="e">
        <f>IF(#REF!="X",5,0)</f>
        <v>#REF!</v>
      </c>
      <c r="J21" s="1861" t="e">
        <f>IF(#REF!="X",5,0)</f>
        <v>#REF!</v>
      </c>
    </row>
    <row r="22" spans="1:12" ht="12" customHeight="1" x14ac:dyDescent="0.2">
      <c r="A22" s="1846" t="s">
        <v>1530</v>
      </c>
      <c r="B22" s="1847"/>
      <c r="C22" s="1848"/>
      <c r="D22" s="1848"/>
      <c r="E22" s="1971"/>
      <c r="F22" s="1850"/>
      <c r="H22" s="1861" t="e">
        <f>IF(#REF!="X",5,0)</f>
        <v>#REF!</v>
      </c>
      <c r="I22" s="1861" t="e">
        <f>IF(#REF!="X",5,0)</f>
        <v>#REF!</v>
      </c>
      <c r="J22" s="1861" t="e">
        <f>IF(#REF!="X",5,0)</f>
        <v>#REF!</v>
      </c>
    </row>
    <row r="23" spans="1:12" ht="12" customHeight="1" x14ac:dyDescent="0.2">
      <c r="A23" s="1846" t="s">
        <v>1531</v>
      </c>
      <c r="B23" s="1847"/>
      <c r="C23" s="1848" t="s">
        <v>2064</v>
      </c>
      <c r="D23" s="1848" t="s">
        <v>2064</v>
      </c>
      <c r="E23" s="1971" t="s">
        <v>2064</v>
      </c>
      <c r="F23" s="1850" t="s">
        <v>3061</v>
      </c>
      <c r="H23" s="1861" t="e">
        <f>IF(#REF!="X",5,0)</f>
        <v>#REF!</v>
      </c>
      <c r="I23" s="1861" t="e">
        <f>IF(#REF!="X",5,0)</f>
        <v>#REF!</v>
      </c>
      <c r="J23" s="1861" t="e">
        <f>IF(#REF!="X",5,0)</f>
        <v>#REF!</v>
      </c>
    </row>
    <row r="24" spans="1:12" ht="12" customHeight="1" x14ac:dyDescent="0.2">
      <c r="A24" s="1846" t="s">
        <v>1532</v>
      </c>
      <c r="B24" s="1847"/>
      <c r="C24" s="1848" t="s">
        <v>2064</v>
      </c>
      <c r="D24" s="1848" t="s">
        <v>2064</v>
      </c>
      <c r="E24" s="1971" t="s">
        <v>2064</v>
      </c>
      <c r="F24" s="1850" t="s">
        <v>3060</v>
      </c>
      <c r="H24" s="1861" t="e">
        <f>IF(#REF!="X",5,0)</f>
        <v>#REF!</v>
      </c>
      <c r="I24" s="1861" t="e">
        <f>IF(#REF!="X",5,0)</f>
        <v>#REF!</v>
      </c>
      <c r="J24" s="1861" t="e">
        <f>IF(#REF!="X",5,0)</f>
        <v>#REF!</v>
      </c>
    </row>
    <row r="25" spans="1:12" ht="12" customHeight="1" x14ac:dyDescent="0.2">
      <c r="A25" s="1846" t="s">
        <v>1533</v>
      </c>
      <c r="B25" s="1847"/>
      <c r="C25" s="1848"/>
      <c r="D25" s="1848"/>
      <c r="E25" s="1971"/>
      <c r="F25" s="1850"/>
      <c r="H25" s="1861" t="e">
        <f>IF(#REF!="X",5,0)</f>
        <v>#REF!</v>
      </c>
      <c r="I25" s="1861" t="e">
        <f>IF(#REF!="X",5,0)</f>
        <v>#REF!</v>
      </c>
      <c r="J25" s="1861" t="e">
        <f>IF(#REF!="X",5,0)</f>
        <v>#REF!</v>
      </c>
    </row>
    <row r="26" spans="1:12" ht="12" customHeight="1" x14ac:dyDescent="0.2">
      <c r="A26" s="1846" t="s">
        <v>1534</v>
      </c>
      <c r="B26" s="1847"/>
      <c r="C26" s="1848" t="s">
        <v>2064</v>
      </c>
      <c r="D26" s="1848" t="s">
        <v>2064</v>
      </c>
      <c r="E26" s="1971" t="s">
        <v>2064</v>
      </c>
      <c r="F26" s="1850" t="s">
        <v>3059</v>
      </c>
      <c r="H26" s="1861" t="e">
        <f>IF(#REF!="X",5,0)</f>
        <v>#REF!</v>
      </c>
      <c r="I26" s="1861" t="e">
        <f>IF(#REF!="X",5,0)</f>
        <v>#REF!</v>
      </c>
      <c r="J26" s="1861" t="e">
        <f>IF(#REF!="X",5,0)</f>
        <v>#REF!</v>
      </c>
    </row>
    <row r="27" spans="1:12" ht="18.75" x14ac:dyDescent="0.2">
      <c r="A27" s="1846" t="s">
        <v>1535</v>
      </c>
      <c r="B27" s="1847"/>
      <c r="C27" s="1848"/>
      <c r="D27" s="1848"/>
      <c r="E27" s="1971"/>
      <c r="F27" s="1850"/>
      <c r="H27" s="1861" t="e">
        <f>IF(#REF!="X",5,0)</f>
        <v>#REF!</v>
      </c>
      <c r="I27" s="1861" t="e">
        <f>IF(#REF!="X",5,0)</f>
        <v>#REF!</v>
      </c>
      <c r="J27" s="1861" t="e">
        <f>IF(#REF!="X",5,0)</f>
        <v>#REF!</v>
      </c>
    </row>
    <row r="28" spans="1:12" ht="12" customHeight="1" x14ac:dyDescent="0.2">
      <c r="A28" s="1846" t="s">
        <v>1536</v>
      </c>
      <c r="B28" s="1847"/>
      <c r="C28" s="1848" t="s">
        <v>3050</v>
      </c>
      <c r="D28" s="1848" t="s">
        <v>2064</v>
      </c>
      <c r="E28" s="1971" t="s">
        <v>2064</v>
      </c>
      <c r="F28" s="1850" t="s">
        <v>3058</v>
      </c>
      <c r="H28" s="1861" t="e">
        <f>IF(#REF!="X",5,0)</f>
        <v>#REF!</v>
      </c>
      <c r="I28" s="1861" t="e">
        <f>IF(#REF!="X",5,0)</f>
        <v>#REF!</v>
      </c>
      <c r="J28" s="1861" t="e">
        <f>IF(#REF!="X",5,0)</f>
        <v>#REF!</v>
      </c>
    </row>
    <row r="29" spans="1:12" ht="12" customHeight="1" x14ac:dyDescent="0.2">
      <c r="A29" s="1846" t="s">
        <v>1537</v>
      </c>
      <c r="B29" s="1847"/>
      <c r="C29" s="1848"/>
      <c r="D29" s="1848"/>
      <c r="E29" s="1971"/>
      <c r="F29" s="1850"/>
      <c r="H29" s="1861" t="e">
        <f>IF(#REF!="X",5,0)</f>
        <v>#REF!</v>
      </c>
      <c r="I29" s="1861" t="e">
        <f>IF(#REF!="X",5,0)</f>
        <v>#REF!</v>
      </c>
      <c r="J29" s="1861" t="e">
        <f>IF(#REF!="X",5,0)</f>
        <v>#REF!</v>
      </c>
    </row>
    <row r="30" spans="1:12" ht="12" customHeight="1" x14ac:dyDescent="0.2">
      <c r="A30" s="1846" t="s">
        <v>1538</v>
      </c>
      <c r="B30" s="1847"/>
      <c r="C30" s="1848"/>
      <c r="D30" s="1848" t="s">
        <v>2064</v>
      </c>
      <c r="E30" s="1971" t="s">
        <v>2064</v>
      </c>
      <c r="F30" s="1850" t="s">
        <v>3131</v>
      </c>
      <c r="H30" s="1861" t="e">
        <f>IF(#REF!="X",5,0)</f>
        <v>#REF!</v>
      </c>
      <c r="I30" s="1861" t="e">
        <f>IF(#REF!="X",5,0)</f>
        <v>#REF!</v>
      </c>
      <c r="J30" s="1861" t="e">
        <f>IF(#REF!="X",5,0)</f>
        <v>#REF!</v>
      </c>
    </row>
    <row r="31" spans="1:12" ht="12" customHeight="1" x14ac:dyDescent="0.2">
      <c r="A31" s="1846" t="s">
        <v>1539</v>
      </c>
      <c r="B31" s="1847"/>
      <c r="C31" s="1848"/>
      <c r="D31" s="1848"/>
      <c r="E31" s="1971"/>
      <c r="F31" s="1850"/>
      <c r="H31" s="1861" t="e">
        <f>IF(#REF!="X",5,0)</f>
        <v>#REF!</v>
      </c>
      <c r="I31" s="1861" t="e">
        <f>IF(#REF!="X",5,0)</f>
        <v>#REF!</v>
      </c>
      <c r="J31" s="1861" t="e">
        <f>IF(#REF!="X",5,0)</f>
        <v>#REF!</v>
      </c>
      <c r="L31" s="1852"/>
    </row>
    <row r="32" spans="1:12" ht="12" customHeight="1" x14ac:dyDescent="0.2">
      <c r="A32" s="1846" t="s">
        <v>1540</v>
      </c>
      <c r="B32" s="1847"/>
      <c r="C32" s="1848" t="s">
        <v>2064</v>
      </c>
      <c r="D32" s="1848" t="s">
        <v>2064</v>
      </c>
      <c r="E32" s="1971" t="s">
        <v>2064</v>
      </c>
      <c r="F32" s="1850" t="s">
        <v>3057</v>
      </c>
      <c r="H32" s="1861" t="e">
        <f>IF(#REF!="X",5,0)</f>
        <v>#REF!</v>
      </c>
      <c r="I32" s="1861" t="e">
        <f>IF(#REF!="X",5,0)</f>
        <v>#REF!</v>
      </c>
      <c r="J32" s="1861" t="e">
        <f>IF(#REF!="X",5,0)</f>
        <v>#REF!</v>
      </c>
    </row>
    <row r="33" spans="1:11" ht="12" customHeight="1" x14ac:dyDescent="0.2">
      <c r="A33" s="1846" t="s">
        <v>1541</v>
      </c>
      <c r="B33" s="1847"/>
      <c r="C33" s="1848"/>
      <c r="D33" s="1848"/>
      <c r="E33" s="1851"/>
      <c r="F33" s="1850"/>
      <c r="H33" s="1861">
        <f t="shared" si="0"/>
        <v>0</v>
      </c>
      <c r="I33" s="1861">
        <f t="shared" si="1"/>
        <v>0</v>
      </c>
      <c r="J33" s="1861">
        <f t="shared" si="2"/>
        <v>0</v>
      </c>
    </row>
    <row r="34" spans="1:11" ht="12" customHeight="1" x14ac:dyDescent="0.25">
      <c r="A34" s="1853"/>
      <c r="B34" s="1853"/>
      <c r="C34" s="1853"/>
      <c r="D34" s="1853"/>
      <c r="E34" s="1853"/>
      <c r="F34" s="1853"/>
      <c r="H34" s="1861" t="e">
        <f>SUM(H11:H32)</f>
        <v>#REF!</v>
      </c>
      <c r="I34" s="1861" t="e">
        <f>SUM(I11:I32)</f>
        <v>#REF!</v>
      </c>
      <c r="J34" s="1861" t="e">
        <f>SUM(J11:J32)</f>
        <v>#REF!</v>
      </c>
      <c r="K34" s="1861" t="e">
        <f>SUM(H34:J34)</f>
        <v>#REF!</v>
      </c>
    </row>
    <row r="35" spans="1:11" ht="12" customHeight="1" x14ac:dyDescent="0.2">
      <c r="A35" s="1854" t="s">
        <v>1392</v>
      </c>
      <c r="B35" s="1855"/>
      <c r="C35" s="2371"/>
      <c r="D35" s="2371"/>
      <c r="E35" s="2371"/>
      <c r="F35" s="2372"/>
    </row>
    <row r="36" spans="1:11" ht="12" customHeight="1" x14ac:dyDescent="0.2">
      <c r="A36" s="2354"/>
      <c r="B36" s="2355"/>
      <c r="C36" s="2355"/>
      <c r="D36" s="2355"/>
      <c r="E36" s="2355"/>
      <c r="F36" s="2356"/>
    </row>
    <row r="37" spans="1:11" ht="12" customHeight="1" x14ac:dyDescent="0.2">
      <c r="A37" s="2354"/>
      <c r="B37" s="2355"/>
      <c r="C37" s="2355"/>
      <c r="D37" s="2355"/>
      <c r="E37" s="2355"/>
      <c r="F37" s="2356"/>
    </row>
    <row r="38" spans="1:11" ht="12" customHeight="1" x14ac:dyDescent="0.2">
      <c r="A38" s="2357"/>
      <c r="B38" s="2358"/>
      <c r="C38" s="2358"/>
      <c r="D38" s="2358"/>
      <c r="E38" s="2358"/>
      <c r="F38" s="2359"/>
    </row>
    <row r="39" spans="1:11" ht="4.5" hidden="1" customHeight="1" x14ac:dyDescent="0.2">
      <c r="A39" s="1856"/>
      <c r="B39" s="1856"/>
      <c r="C39" s="1856"/>
      <c r="D39" s="1856"/>
      <c r="E39" s="1856"/>
      <c r="F39" s="1856"/>
    </row>
    <row r="40" spans="1:11" s="1853" customFormat="1" ht="12" customHeight="1" x14ac:dyDescent="0.25">
      <c r="A40" s="1857" t="s">
        <v>1391</v>
      </c>
      <c r="B40" s="1858"/>
      <c r="C40" s="2360"/>
      <c r="D40" s="2360"/>
      <c r="E40" s="2360"/>
      <c r="F40" s="2361"/>
      <c r="H40" s="1862"/>
      <c r="I40" s="1862"/>
      <c r="J40" s="1862"/>
      <c r="K40" s="1862"/>
    </row>
    <row r="41" spans="1:11" s="1853" customFormat="1" ht="12" customHeight="1" x14ac:dyDescent="0.25">
      <c r="A41" s="2362"/>
      <c r="B41" s="2363"/>
      <c r="C41" s="2363"/>
      <c r="D41" s="2363"/>
      <c r="E41" s="2363"/>
      <c r="F41" s="2364"/>
      <c r="H41" s="1862"/>
      <c r="I41" s="1862"/>
      <c r="J41" s="1862"/>
      <c r="K41" s="1862"/>
    </row>
    <row r="42" spans="1:11" s="1853" customFormat="1" ht="12" customHeight="1" x14ac:dyDescent="0.25">
      <c r="A42" s="2362"/>
      <c r="B42" s="2363"/>
      <c r="C42" s="2363"/>
      <c r="D42" s="2363"/>
      <c r="E42" s="2363"/>
      <c r="F42" s="2364"/>
      <c r="H42" s="1862"/>
      <c r="I42" s="1862"/>
      <c r="J42" s="1862"/>
      <c r="K42" s="1862"/>
    </row>
    <row r="43" spans="1:11" s="1853" customFormat="1" ht="15" x14ac:dyDescent="0.25">
      <c r="A43" s="2351"/>
      <c r="B43" s="2352"/>
      <c r="C43" s="2352"/>
      <c r="D43" s="2352"/>
      <c r="E43" s="2352"/>
      <c r="F43" s="2353"/>
      <c r="H43" s="1862"/>
      <c r="I43" s="1862"/>
      <c r="J43" s="1862"/>
      <c r="K43" s="1862"/>
    </row>
    <row r="44" spans="1:11" s="1853" customFormat="1" ht="12" hidden="1" customHeight="1" x14ac:dyDescent="0.25">
      <c r="A44" s="2351"/>
      <c r="B44" s="2352"/>
      <c r="C44" s="2352"/>
      <c r="D44" s="2352"/>
      <c r="E44" s="2352"/>
      <c r="F44" s="2353"/>
      <c r="H44" s="1862"/>
      <c r="I44" s="1862"/>
      <c r="J44" s="1862"/>
      <c r="K44" s="1862"/>
    </row>
    <row r="45" spans="1:11" s="1853" customFormat="1" ht="12" customHeight="1" x14ac:dyDescent="0.25">
      <c r="H45" s="1862"/>
      <c r="I45" s="1862"/>
      <c r="J45" s="1862"/>
      <c r="K45" s="1862"/>
    </row>
    <row r="46" spans="1:11" s="1853" customFormat="1" ht="9.75" customHeight="1" x14ac:dyDescent="0.25">
      <c r="H46" s="1862"/>
      <c r="I46" s="1862"/>
      <c r="J46" s="1862"/>
      <c r="K46" s="1862"/>
    </row>
    <row r="47" spans="1:11" s="1853" customFormat="1" ht="13.5" customHeight="1" x14ac:dyDescent="0.25">
      <c r="H47" s="1862"/>
      <c r="I47" s="1862"/>
      <c r="J47" s="1862"/>
      <c r="K47" s="1862"/>
    </row>
    <row r="48" spans="1:11" s="1853" customFormat="1" ht="15" x14ac:dyDescent="0.25">
      <c r="H48" s="1862"/>
      <c r="I48" s="1862"/>
      <c r="J48" s="1862"/>
      <c r="K48" s="1862"/>
    </row>
    <row r="49" spans="1:11" s="1853" customFormat="1" ht="15" hidden="1" x14ac:dyDescent="0.25">
      <c r="A49" s="1853" t="b">
        <v>0</v>
      </c>
      <c r="H49" s="1862"/>
      <c r="I49" s="1862"/>
      <c r="J49" s="1862"/>
      <c r="K49" s="1862"/>
    </row>
    <row r="50" spans="1:11" s="1853" customFormat="1" ht="15" x14ac:dyDescent="0.25">
      <c r="H50" s="1862"/>
      <c r="I50" s="1862"/>
      <c r="J50" s="1862"/>
      <c r="K50" s="1862"/>
    </row>
    <row r="51" spans="1:11" s="1853" customFormat="1" ht="15" x14ac:dyDescent="0.25">
      <c r="H51" s="1862"/>
      <c r="I51" s="1862"/>
      <c r="J51" s="1862"/>
      <c r="K51" s="1862"/>
    </row>
    <row r="52" spans="1:11" s="1853" customFormat="1" ht="15" x14ac:dyDescent="0.25">
      <c r="H52" s="1862"/>
      <c r="I52" s="1862"/>
      <c r="J52" s="1862"/>
      <c r="K52" s="1862"/>
    </row>
    <row r="53" spans="1:11" s="1853" customFormat="1" ht="15" x14ac:dyDescent="0.25">
      <c r="H53" s="1862"/>
      <c r="I53" s="1862"/>
      <c r="J53" s="1862"/>
      <c r="K53" s="1862"/>
    </row>
    <row r="54" spans="1:11" s="1853" customFormat="1" ht="15" x14ac:dyDescent="0.25">
      <c r="H54" s="1862"/>
      <c r="I54" s="1862"/>
      <c r="J54" s="1862"/>
      <c r="K54" s="1862"/>
    </row>
    <row r="55" spans="1:11" s="1853" customFormat="1" ht="15" x14ac:dyDescent="0.25">
      <c r="H55" s="1862"/>
      <c r="I55" s="1862"/>
      <c r="J55" s="1862"/>
      <c r="K55" s="1862"/>
    </row>
    <row r="56" spans="1:11" s="1853" customFormat="1" ht="15" x14ac:dyDescent="0.25">
      <c r="H56" s="1862"/>
      <c r="I56" s="1862"/>
      <c r="J56" s="1862"/>
      <c r="K56" s="1862"/>
    </row>
    <row r="57" spans="1:11" s="1853" customFormat="1" ht="15" x14ac:dyDescent="0.25">
      <c r="H57" s="1862"/>
      <c r="I57" s="1862"/>
      <c r="J57" s="1862"/>
      <c r="K57" s="1862"/>
    </row>
    <row r="58" spans="1:11" s="1853" customFormat="1" ht="15" x14ac:dyDescent="0.25">
      <c r="H58" s="1862"/>
      <c r="I58" s="1862"/>
      <c r="J58" s="1862"/>
      <c r="K58" s="1862"/>
    </row>
    <row r="59" spans="1:11" s="1853" customFormat="1" ht="15" x14ac:dyDescent="0.25">
      <c r="H59" s="1862"/>
      <c r="I59" s="1862"/>
      <c r="J59" s="1862"/>
      <c r="K59" s="1862"/>
    </row>
    <row r="60" spans="1:11" s="1853" customFormat="1" ht="15" x14ac:dyDescent="0.25">
      <c r="H60" s="1862"/>
      <c r="I60" s="1862"/>
      <c r="J60" s="1862"/>
      <c r="K60" s="1862"/>
    </row>
    <row r="61" spans="1:11" s="1853" customFormat="1" ht="15" x14ac:dyDescent="0.25">
      <c r="H61" s="1862"/>
      <c r="I61" s="1862"/>
      <c r="J61" s="1862"/>
      <c r="K61" s="1862"/>
    </row>
    <row r="62" spans="1:11" s="1853" customFormat="1" ht="15" x14ac:dyDescent="0.25">
      <c r="H62" s="1862"/>
      <c r="I62" s="1862"/>
      <c r="J62" s="1862"/>
      <c r="K62" s="1862"/>
    </row>
    <row r="63" spans="1:11" s="1853" customFormat="1" ht="15" x14ac:dyDescent="0.25">
      <c r="H63" s="1862"/>
      <c r="I63" s="1862"/>
      <c r="J63" s="1862"/>
      <c r="K63" s="1862"/>
    </row>
    <row r="64" spans="1:11" s="1853" customFormat="1" ht="15" x14ac:dyDescent="0.25">
      <c r="H64" s="1862"/>
      <c r="I64" s="1862"/>
      <c r="J64" s="1862"/>
      <c r="K64" s="1862"/>
    </row>
    <row r="65" spans="8:11" s="1853" customFormat="1" ht="15" x14ac:dyDescent="0.25">
      <c r="H65" s="1862"/>
      <c r="I65" s="1862"/>
      <c r="J65" s="1862"/>
      <c r="K65" s="1862"/>
    </row>
    <row r="66" spans="8:11" s="1853" customFormat="1" ht="15" x14ac:dyDescent="0.25">
      <c r="H66" s="1862"/>
      <c r="I66" s="1862"/>
      <c r="J66" s="1862"/>
      <c r="K66" s="1862"/>
    </row>
    <row r="67" spans="8:11" s="1853" customFormat="1" ht="15" x14ac:dyDescent="0.25">
      <c r="H67" s="1862"/>
      <c r="I67" s="1862"/>
      <c r="J67" s="1862"/>
      <c r="K67" s="1862"/>
    </row>
    <row r="68" spans="8:11" s="1853" customFormat="1" ht="15" x14ac:dyDescent="0.25">
      <c r="H68" s="1862"/>
      <c r="I68" s="1862"/>
      <c r="J68" s="1862"/>
      <c r="K68" s="1862"/>
    </row>
    <row r="69" spans="8:11" s="1853" customFormat="1" ht="15" x14ac:dyDescent="0.25">
      <c r="H69" s="1862"/>
      <c r="I69" s="1862"/>
      <c r="J69" s="1862"/>
      <c r="K69" s="1862"/>
    </row>
    <row r="70" spans="8:11" s="1853" customFormat="1" ht="15" x14ac:dyDescent="0.25">
      <c r="H70" s="1862"/>
      <c r="I70" s="1862"/>
      <c r="J70" s="1862"/>
      <c r="K70" s="1862"/>
    </row>
    <row r="71" spans="8:11" s="1853" customFormat="1" ht="15" x14ac:dyDescent="0.25">
      <c r="H71" s="1862"/>
      <c r="I71" s="1862"/>
      <c r="J71" s="1862"/>
      <c r="K71" s="1862"/>
    </row>
    <row r="72" spans="8:11" s="1853" customFormat="1" ht="15" x14ac:dyDescent="0.25">
      <c r="H72" s="1862"/>
      <c r="I72" s="1862"/>
      <c r="J72" s="1862"/>
      <c r="K72" s="1862"/>
    </row>
    <row r="73" spans="8:11" s="1853" customFormat="1" ht="15" x14ac:dyDescent="0.25">
      <c r="H73" s="1862"/>
      <c r="I73" s="1862"/>
      <c r="J73" s="1862"/>
      <c r="K73" s="1862"/>
    </row>
    <row r="74" spans="8:11" s="1853" customFormat="1" ht="15" x14ac:dyDescent="0.25">
      <c r="H74" s="1862"/>
      <c r="I74" s="1862"/>
      <c r="J74" s="1862"/>
      <c r="K74" s="1862"/>
    </row>
    <row r="75" spans="8:11" s="1853" customFormat="1" ht="15" x14ac:dyDescent="0.25">
      <c r="H75" s="1862"/>
      <c r="I75" s="1862"/>
      <c r="J75" s="1862"/>
      <c r="K75" s="1862"/>
    </row>
    <row r="76" spans="8:11" s="1853" customFormat="1" ht="15" x14ac:dyDescent="0.25">
      <c r="H76" s="1862"/>
      <c r="I76" s="1862"/>
      <c r="J76" s="1862"/>
      <c r="K76" s="1862"/>
    </row>
    <row r="77" spans="8:11" s="1853" customFormat="1" ht="15" x14ac:dyDescent="0.25">
      <c r="H77" s="1862"/>
      <c r="I77" s="1862"/>
      <c r="J77" s="1862"/>
      <c r="K77" s="1862"/>
    </row>
    <row r="78" spans="8:11" s="1853" customFormat="1" ht="15" x14ac:dyDescent="0.25">
      <c r="H78" s="1862"/>
      <c r="I78" s="1862"/>
      <c r="J78" s="1862"/>
      <c r="K78" s="1862"/>
    </row>
    <row r="79" spans="8:11" s="1853" customFormat="1" ht="15" x14ac:dyDescent="0.25">
      <c r="H79" s="1862"/>
      <c r="I79" s="1862"/>
      <c r="J79" s="1862"/>
      <c r="K79" s="1862"/>
    </row>
    <row r="80" spans="8:11" s="1853" customFormat="1" ht="15" x14ac:dyDescent="0.25">
      <c r="H80" s="1862"/>
      <c r="I80" s="1862"/>
      <c r="J80" s="1862"/>
      <c r="K80" s="1862"/>
    </row>
    <row r="81" spans="8:11" s="1853" customFormat="1" ht="15" x14ac:dyDescent="0.25">
      <c r="H81" s="1862"/>
      <c r="I81" s="1862"/>
      <c r="J81" s="1862"/>
      <c r="K81" s="1862"/>
    </row>
    <row r="82" spans="8:11" s="1853" customFormat="1" ht="15" x14ac:dyDescent="0.25">
      <c r="H82" s="1862"/>
      <c r="I82" s="1862"/>
      <c r="J82" s="1862"/>
      <c r="K82" s="1862"/>
    </row>
    <row r="83" spans="8:11" s="1853" customFormat="1" ht="15" x14ac:dyDescent="0.25">
      <c r="H83" s="1862"/>
      <c r="I83" s="1862"/>
      <c r="J83" s="1862"/>
      <c r="K83" s="1862"/>
    </row>
    <row r="84" spans="8:11" s="1853" customFormat="1" ht="15" x14ac:dyDescent="0.25">
      <c r="H84" s="1862"/>
      <c r="I84" s="1862"/>
      <c r="J84" s="1862"/>
      <c r="K84" s="1862"/>
    </row>
    <row r="85" spans="8:11" s="1853" customFormat="1" ht="15" x14ac:dyDescent="0.25">
      <c r="H85" s="1862"/>
      <c r="I85" s="1862"/>
      <c r="J85" s="1862"/>
      <c r="K85" s="1862"/>
    </row>
    <row r="86" spans="8:11" s="1853" customFormat="1" ht="15" x14ac:dyDescent="0.25">
      <c r="H86" s="1862"/>
      <c r="I86" s="1862"/>
      <c r="J86" s="1862"/>
      <c r="K86" s="1862"/>
    </row>
    <row r="87" spans="8:11" s="1853" customFormat="1" ht="15" x14ac:dyDescent="0.25">
      <c r="H87" s="1862"/>
      <c r="I87" s="1862"/>
      <c r="J87" s="1862"/>
      <c r="K87" s="1862"/>
    </row>
    <row r="88" spans="8:11" s="1853" customFormat="1" ht="15" x14ac:dyDescent="0.25">
      <c r="H88" s="1862"/>
      <c r="I88" s="1862"/>
      <c r="J88" s="1862"/>
      <c r="K88" s="1862"/>
    </row>
    <row r="89" spans="8:11" s="1853" customFormat="1" ht="15" x14ac:dyDescent="0.25">
      <c r="H89" s="1862"/>
      <c r="I89" s="1862"/>
      <c r="J89" s="1862"/>
      <c r="K89" s="1862"/>
    </row>
    <row r="90" spans="8:11" s="1853" customFormat="1" ht="15" x14ac:dyDescent="0.25">
      <c r="H90" s="1862"/>
      <c r="I90" s="1862"/>
      <c r="J90" s="1862"/>
      <c r="K90" s="1862"/>
    </row>
    <row r="91" spans="8:11" s="1853" customFormat="1" ht="15" x14ac:dyDescent="0.25">
      <c r="H91" s="1862"/>
      <c r="I91" s="1862"/>
      <c r="J91" s="1862"/>
      <c r="K91" s="1862"/>
    </row>
    <row r="92" spans="8:11" s="1853" customFormat="1" ht="15" x14ac:dyDescent="0.25">
      <c r="H92" s="1862"/>
      <c r="I92" s="1862"/>
      <c r="J92" s="1862"/>
      <c r="K92" s="1862"/>
    </row>
    <row r="93" spans="8:11" s="1853" customFormat="1" ht="15" x14ac:dyDescent="0.25">
      <c r="H93" s="1862"/>
      <c r="I93" s="1862"/>
      <c r="J93" s="1862"/>
      <c r="K93" s="1862"/>
    </row>
    <row r="94" spans="8:11" s="1853" customFormat="1" ht="15" x14ac:dyDescent="0.25">
      <c r="H94" s="1862"/>
      <c r="I94" s="1862"/>
      <c r="J94" s="1862"/>
      <c r="K94" s="1862"/>
    </row>
    <row r="95" spans="8:11" s="1853" customFormat="1" ht="15" x14ac:dyDescent="0.25">
      <c r="H95" s="1862"/>
      <c r="I95" s="1862"/>
      <c r="J95" s="1862"/>
      <c r="K95" s="1862"/>
    </row>
    <row r="96" spans="8:11" s="1853" customFormat="1" ht="15" x14ac:dyDescent="0.25">
      <c r="H96" s="1862"/>
      <c r="I96" s="1862"/>
      <c r="J96" s="1862"/>
      <c r="K96" s="1862"/>
    </row>
    <row r="97" spans="8:11" s="1853" customFormat="1" ht="15" x14ac:dyDescent="0.25">
      <c r="H97" s="1862"/>
      <c r="I97" s="1862"/>
      <c r="J97" s="1862"/>
      <c r="K97" s="1862"/>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fitToHeight="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I15" sqref="I15"/>
    </sheetView>
  </sheetViews>
  <sheetFormatPr defaultColWidth="9.140625" defaultRowHeight="12.75" x14ac:dyDescent="0.2"/>
  <cols>
    <col min="1" max="1" width="3" style="994" customWidth="1"/>
    <col min="2" max="2" width="2.7109375" style="994" customWidth="1"/>
    <col min="3" max="3" width="38.5703125" style="994" customWidth="1"/>
    <col min="4" max="4" width="6.42578125" style="994" customWidth="1"/>
    <col min="5" max="10" width="15.7109375" style="994" customWidth="1"/>
    <col min="11" max="14" width="4.7109375" style="994" customWidth="1"/>
    <col min="15" max="16384" width="9.140625" style="994"/>
  </cols>
  <sheetData>
    <row r="1" spans="1:17" ht="11.85" customHeight="1" x14ac:dyDescent="0.2">
      <c r="A1" s="992"/>
      <c r="B1" s="993"/>
      <c r="E1" s="995"/>
      <c r="F1" s="996" t="s">
        <v>405</v>
      </c>
      <c r="G1" s="997"/>
    </row>
    <row r="2" spans="1:17" ht="11.85" customHeight="1" x14ac:dyDescent="0.2">
      <c r="A2" s="992"/>
      <c r="B2" s="993"/>
      <c r="E2" s="995"/>
      <c r="F2" s="998" t="s">
        <v>290</v>
      </c>
      <c r="G2" s="997"/>
    </row>
    <row r="3" spans="1:17" ht="11.85" customHeight="1" x14ac:dyDescent="0.2">
      <c r="E3" s="995"/>
      <c r="F3" s="998" t="s">
        <v>406</v>
      </c>
      <c r="G3" s="995"/>
    </row>
    <row r="4" spans="1:17" ht="11.85" customHeight="1" x14ac:dyDescent="0.2">
      <c r="E4" s="995"/>
      <c r="F4" s="998" t="s">
        <v>868</v>
      </c>
      <c r="G4" s="995"/>
    </row>
    <row r="5" spans="1:17" ht="12.2" customHeight="1" x14ac:dyDescent="0.2">
      <c r="F5" s="998"/>
    </row>
    <row r="6" spans="1:17" x14ac:dyDescent="0.2">
      <c r="A6" s="1877" t="s">
        <v>672</v>
      </c>
      <c r="B6" s="1625"/>
      <c r="C6" s="1625"/>
      <c r="D6" s="1625"/>
      <c r="E6" s="1626"/>
      <c r="F6" s="999"/>
      <c r="G6" s="993"/>
      <c r="H6" s="1000" t="s">
        <v>1028</v>
      </c>
      <c r="I6" s="2378" t="str">
        <f>COVER!A17</f>
        <v>Saunemin CCSD 438</v>
      </c>
      <c r="J6" s="2379"/>
      <c r="Q6" s="1647"/>
    </row>
    <row r="7" spans="1:17" x14ac:dyDescent="0.2">
      <c r="A7" s="2380" t="s">
        <v>869</v>
      </c>
      <c r="B7" s="2381"/>
      <c r="C7" s="2381"/>
      <c r="D7" s="2381"/>
      <c r="E7" s="2382"/>
      <c r="F7" s="1001"/>
      <c r="G7" s="993"/>
      <c r="H7" s="1000" t="s">
        <v>372</v>
      </c>
      <c r="I7" s="2383">
        <f>COVER!A13</f>
        <v>17053438004</v>
      </c>
      <c r="J7" s="2383"/>
    </row>
    <row r="8" spans="1:17" ht="8.25" customHeight="1" x14ac:dyDescent="0.2">
      <c r="A8" s="1627"/>
      <c r="B8" s="1628"/>
      <c r="C8" s="1628"/>
      <c r="D8" s="1628"/>
      <c r="E8" s="1629"/>
      <c r="F8" s="1002"/>
      <c r="G8" s="1003"/>
      <c r="H8" s="1003"/>
      <c r="I8" s="1003"/>
      <c r="J8" s="1003"/>
    </row>
    <row r="9" spans="1:17" ht="13.5" customHeight="1" x14ac:dyDescent="0.2">
      <c r="A9" s="1004"/>
      <c r="B9" s="1005"/>
      <c r="C9" s="1005"/>
      <c r="D9" s="1006"/>
      <c r="E9" s="1878" t="s">
        <v>1978</v>
      </c>
      <c r="F9" s="1007"/>
      <c r="G9" s="1007"/>
      <c r="H9" s="1879" t="s">
        <v>1979</v>
      </c>
      <c r="I9" s="1007"/>
      <c r="J9" s="1008"/>
    </row>
    <row r="10" spans="1:17" s="1016" customFormat="1" ht="13.5" customHeight="1" x14ac:dyDescent="0.2">
      <c r="A10" s="1009"/>
      <c r="B10" s="1010"/>
      <c r="C10" s="1011"/>
      <c r="D10" s="1012"/>
      <c r="E10" s="1013" t="s">
        <v>425</v>
      </c>
      <c r="F10" s="1014" t="s">
        <v>426</v>
      </c>
      <c r="G10" s="1015"/>
      <c r="H10" s="1014" t="s">
        <v>425</v>
      </c>
      <c r="I10" s="1014" t="s">
        <v>426</v>
      </c>
      <c r="J10" s="1014"/>
    </row>
    <row r="11" spans="1:17" s="1016" customFormat="1" ht="22.5" x14ac:dyDescent="0.2">
      <c r="A11" s="2384" t="s">
        <v>481</v>
      </c>
      <c r="B11" s="2385"/>
      <c r="C11" s="2386"/>
      <c r="D11" s="1017" t="s">
        <v>871</v>
      </c>
      <c r="E11" s="1017" t="s">
        <v>64</v>
      </c>
      <c r="F11" s="1017" t="s">
        <v>6</v>
      </c>
      <c r="G11" s="1018" t="s">
        <v>156</v>
      </c>
      <c r="H11" s="1018" t="s">
        <v>64</v>
      </c>
      <c r="I11" s="1017" t="s">
        <v>6</v>
      </c>
      <c r="J11" s="1018" t="s">
        <v>156</v>
      </c>
    </row>
    <row r="12" spans="1:17" ht="15" customHeight="1" x14ac:dyDescent="0.2">
      <c r="A12" s="1019">
        <v>1</v>
      </c>
      <c r="B12" s="1020" t="s">
        <v>818</v>
      </c>
      <c r="C12" s="1021"/>
      <c r="D12" s="1022">
        <v>2320</v>
      </c>
      <c r="E12" s="1794">
        <f ca="1">'Expenditures 15-22'!K50</f>
        <v>159035</v>
      </c>
      <c r="F12" s="1023"/>
      <c r="G12" s="1794">
        <f t="shared" ref="G12:G18" ca="1" si="0">SUM(E12:F12)</f>
        <v>159035</v>
      </c>
      <c r="H12" s="1024">
        <v>283127</v>
      </c>
      <c r="I12" s="1023"/>
      <c r="J12" s="1794">
        <f t="shared" ref="J12:J18" si="1">SUM(H12:I12)</f>
        <v>283127</v>
      </c>
    </row>
    <row r="13" spans="1:17" ht="15" customHeight="1" x14ac:dyDescent="0.2">
      <c r="A13" s="1019">
        <v>2</v>
      </c>
      <c r="B13" s="1020" t="s">
        <v>42</v>
      </c>
      <c r="C13" s="1021"/>
      <c r="D13" s="1022">
        <v>2330</v>
      </c>
      <c r="E13" s="1794">
        <f ca="1">'Expenditures 15-22'!K51</f>
        <v>0</v>
      </c>
      <c r="F13" s="1023"/>
      <c r="G13" s="1794">
        <f t="shared" ca="1" si="0"/>
        <v>0</v>
      </c>
      <c r="H13" s="1024"/>
      <c r="I13" s="1023"/>
      <c r="J13" s="1794">
        <f t="shared" si="1"/>
        <v>0</v>
      </c>
    </row>
    <row r="14" spans="1:17" ht="15" customHeight="1" x14ac:dyDescent="0.2">
      <c r="A14" s="1019">
        <v>3</v>
      </c>
      <c r="B14" s="1020" t="s">
        <v>43</v>
      </c>
      <c r="C14" s="1021"/>
      <c r="D14" s="1025">
        <v>2490</v>
      </c>
      <c r="E14" s="1794">
        <f ca="1">'Expenditures 15-22'!K56</f>
        <v>0</v>
      </c>
      <c r="F14" s="1023"/>
      <c r="G14" s="1794">
        <f t="shared" ca="1" si="0"/>
        <v>0</v>
      </c>
      <c r="H14" s="1024"/>
      <c r="I14" s="1023"/>
      <c r="J14" s="1794">
        <f t="shared" si="1"/>
        <v>0</v>
      </c>
    </row>
    <row r="15" spans="1:17" ht="15" customHeight="1" x14ac:dyDescent="0.2">
      <c r="A15" s="1019">
        <v>4</v>
      </c>
      <c r="B15" s="1020" t="s">
        <v>1068</v>
      </c>
      <c r="C15" s="1021"/>
      <c r="D15" s="1022">
        <v>2510</v>
      </c>
      <c r="E15" s="1794">
        <f ca="1">'Expenditures 15-22'!K59</f>
        <v>0</v>
      </c>
      <c r="F15" s="1794">
        <f ca="1">'Expenditures 15-22'!K122</f>
        <v>2966</v>
      </c>
      <c r="G15" s="1794">
        <f t="shared" ca="1" si="0"/>
        <v>2966</v>
      </c>
      <c r="H15" s="1024"/>
      <c r="I15" s="1024">
        <v>24771</v>
      </c>
      <c r="J15" s="1794">
        <f t="shared" si="1"/>
        <v>24771</v>
      </c>
    </row>
    <row r="16" spans="1:17" ht="15" customHeight="1" x14ac:dyDescent="0.2">
      <c r="A16" s="1019">
        <v>5</v>
      </c>
      <c r="B16" s="1020" t="s">
        <v>101</v>
      </c>
      <c r="C16" s="1021"/>
      <c r="D16" s="1022">
        <v>2570</v>
      </c>
      <c r="E16" s="1794">
        <f ca="1">'Expenditures 15-22'!K64</f>
        <v>0</v>
      </c>
      <c r="F16" s="1023"/>
      <c r="G16" s="1794">
        <f t="shared" ca="1" si="0"/>
        <v>0</v>
      </c>
      <c r="H16" s="1024"/>
      <c r="I16" s="1023"/>
      <c r="J16" s="1794">
        <f t="shared" si="1"/>
        <v>0</v>
      </c>
    </row>
    <row r="17" spans="1:10" ht="15" customHeight="1" x14ac:dyDescent="0.2">
      <c r="A17" s="1019">
        <v>6</v>
      </c>
      <c r="B17" s="1020" t="s">
        <v>1060</v>
      </c>
      <c r="C17" s="1021"/>
      <c r="D17" s="1022">
        <v>2610</v>
      </c>
      <c r="E17" s="1794">
        <f ca="1">'Expenditures 15-22'!K67</f>
        <v>0</v>
      </c>
      <c r="F17" s="1023"/>
      <c r="G17" s="1794">
        <f t="shared" ca="1" si="0"/>
        <v>0</v>
      </c>
      <c r="H17" s="1024"/>
      <c r="I17" s="1023"/>
      <c r="J17" s="1794">
        <f t="shared" si="1"/>
        <v>0</v>
      </c>
    </row>
    <row r="18" spans="1:10" ht="22.5" customHeight="1" x14ac:dyDescent="0.2">
      <c r="A18" s="1026">
        <v>7</v>
      </c>
      <c r="B18" s="2387" t="s">
        <v>7</v>
      </c>
      <c r="C18" s="2388"/>
      <c r="D18" s="2389"/>
      <c r="E18" s="1027"/>
      <c r="F18" s="1027"/>
      <c r="G18" s="1795">
        <f t="shared" si="0"/>
        <v>0</v>
      </c>
      <c r="H18" s="1024"/>
      <c r="I18" s="1024"/>
      <c r="J18" s="1794">
        <f t="shared" si="1"/>
        <v>0</v>
      </c>
    </row>
    <row r="19" spans="1:10" ht="12.75" customHeight="1" thickBot="1" x14ac:dyDescent="0.25">
      <c r="A19" s="1019">
        <v>8</v>
      </c>
      <c r="B19" s="1028" t="s">
        <v>1161</v>
      </c>
      <c r="D19" s="1029"/>
      <c r="E19" s="1796">
        <f t="shared" ref="E19:J19" ca="1" si="2">SUM(E12:E17)-E18</f>
        <v>159035</v>
      </c>
      <c r="F19" s="1796">
        <f t="shared" ca="1" si="2"/>
        <v>2966</v>
      </c>
      <c r="G19" s="1796">
        <f t="shared" ca="1" si="2"/>
        <v>162001</v>
      </c>
      <c r="H19" s="1796">
        <f t="shared" si="2"/>
        <v>283127</v>
      </c>
      <c r="I19" s="1796">
        <f t="shared" si="2"/>
        <v>24771</v>
      </c>
      <c r="J19" s="1796">
        <f t="shared" si="2"/>
        <v>307898</v>
      </c>
    </row>
    <row r="20" spans="1:10" ht="13.5" thickTop="1" x14ac:dyDescent="0.2">
      <c r="A20" s="1019">
        <v>9</v>
      </c>
      <c r="B20" s="2390" t="s">
        <v>1980</v>
      </c>
      <c r="C20" s="2390"/>
      <c r="D20" s="2391"/>
      <c r="E20" s="1030"/>
      <c r="F20" s="1030"/>
      <c r="G20" s="1030"/>
      <c r="H20" s="1030"/>
      <c r="I20" s="1030"/>
      <c r="J20" s="1797">
        <f ca="1">IF(AND(G19&gt;0,J19&gt;0),(((J19-G19)/G19)),"Enter Budget Data")</f>
        <v>0.90059320621477645</v>
      </c>
    </row>
    <row r="21" spans="1:10" ht="9" customHeight="1" x14ac:dyDescent="0.2">
      <c r="B21" s="1031"/>
    </row>
    <row r="22" spans="1:10" x14ac:dyDescent="0.2">
      <c r="A22" s="1032" t="s">
        <v>133</v>
      </c>
      <c r="B22" s="1031"/>
    </row>
    <row r="23" spans="1:10" x14ac:dyDescent="0.2">
      <c r="A23" s="995" t="s">
        <v>1981</v>
      </c>
      <c r="B23" s="1031"/>
    </row>
    <row r="24" spans="1:10" x14ac:dyDescent="0.2">
      <c r="A24" s="995" t="s">
        <v>1994</v>
      </c>
      <c r="B24" s="1031"/>
    </row>
    <row r="25" spans="1:10" x14ac:dyDescent="0.2">
      <c r="A25" s="1033"/>
      <c r="B25" s="1031"/>
    </row>
    <row r="26" spans="1:10" ht="20.100000000000001" customHeight="1" x14ac:dyDescent="0.2">
      <c r="B26" s="1031"/>
      <c r="C26" s="2396"/>
      <c r="D26" s="2396"/>
      <c r="E26" s="1034"/>
      <c r="F26" s="2395"/>
      <c r="G26" s="2395"/>
    </row>
    <row r="27" spans="1:10" x14ac:dyDescent="0.2">
      <c r="B27" s="1031"/>
      <c r="C27" s="1035" t="s">
        <v>1033</v>
      </c>
      <c r="D27" s="1036"/>
      <c r="E27" s="1037"/>
      <c r="F27" s="2392" t="s">
        <v>1509</v>
      </c>
      <c r="G27" s="2392"/>
    </row>
    <row r="28" spans="1:10" ht="28.5" customHeight="1" x14ac:dyDescent="0.2">
      <c r="B28" s="1031"/>
      <c r="C28" s="2394"/>
      <c r="D28" s="2394"/>
      <c r="E28" s="1038"/>
      <c r="F28" s="2394"/>
      <c r="G28" s="2394"/>
    </row>
    <row r="29" spans="1:10" x14ac:dyDescent="0.2">
      <c r="B29" s="1031"/>
      <c r="C29" s="1039" t="s">
        <v>1561</v>
      </c>
      <c r="E29" s="1040"/>
      <c r="F29" s="2393" t="s">
        <v>1510</v>
      </c>
      <c r="G29" s="2393"/>
    </row>
    <row r="30" spans="1:10" ht="9" customHeight="1" x14ac:dyDescent="0.2">
      <c r="B30" s="1031"/>
      <c r="C30" s="1041"/>
      <c r="E30" s="1042"/>
      <c r="F30" s="1043"/>
      <c r="G30" s="1043"/>
    </row>
    <row r="31" spans="1:10" ht="15" customHeight="1" x14ac:dyDescent="0.2">
      <c r="A31" s="995"/>
      <c r="B31" s="1044" t="s">
        <v>1034</v>
      </c>
    </row>
    <row r="32" spans="1:10" ht="9" customHeight="1" x14ac:dyDescent="0.2">
      <c r="A32" s="995"/>
      <c r="B32" s="1032"/>
    </row>
    <row r="33" spans="1:10" ht="12.75" customHeight="1" x14ac:dyDescent="0.2">
      <c r="A33" s="995"/>
      <c r="B33" s="1045"/>
      <c r="C33" s="2375" t="s">
        <v>132</v>
      </c>
      <c r="D33" s="2376"/>
      <c r="E33" s="2376"/>
      <c r="F33" s="2376"/>
      <c r="G33" s="2376"/>
      <c r="H33" s="2376"/>
      <c r="I33" s="2376"/>
    </row>
    <row r="34" spans="1:10" ht="10.35" customHeight="1" x14ac:dyDescent="0.2">
      <c r="C34" s="2376"/>
      <c r="D34" s="2376"/>
      <c r="E34" s="2376"/>
      <c r="F34" s="2376"/>
      <c r="G34" s="2376"/>
      <c r="H34" s="2376"/>
      <c r="I34" s="2376"/>
    </row>
    <row r="35" spans="1:10" ht="7.5" customHeight="1" x14ac:dyDescent="0.2">
      <c r="C35" s="1046"/>
    </row>
    <row r="36" spans="1:10" ht="13.5" customHeight="1" x14ac:dyDescent="0.2">
      <c r="B36" s="1045"/>
      <c r="C36" s="2377" t="s">
        <v>1982</v>
      </c>
      <c r="D36" s="2376"/>
      <c r="E36" s="2376"/>
      <c r="F36" s="2376"/>
      <c r="G36" s="2376"/>
      <c r="H36" s="2376"/>
      <c r="I36" s="2376"/>
      <c r="J36" s="1047"/>
    </row>
    <row r="37" spans="1:10" ht="22.5" customHeight="1" x14ac:dyDescent="0.2">
      <c r="C37" s="2376"/>
      <c r="D37" s="2376"/>
      <c r="E37" s="2376"/>
      <c r="F37" s="2376"/>
      <c r="G37" s="2376"/>
      <c r="H37" s="2376"/>
      <c r="I37" s="2376"/>
      <c r="J37" s="1047"/>
    </row>
    <row r="38" spans="1:10" ht="7.5" customHeight="1" x14ac:dyDescent="0.2">
      <c r="C38" s="1046"/>
      <c r="D38" s="1048"/>
      <c r="E38" s="1049"/>
      <c r="F38" s="1050"/>
      <c r="G38" s="1049"/>
    </row>
    <row r="39" spans="1:10" ht="13.5" customHeight="1" x14ac:dyDescent="0.2">
      <c r="B39" s="1045"/>
      <c r="C39" s="2373" t="s">
        <v>882</v>
      </c>
      <c r="D39" s="2374"/>
      <c r="E39" s="2374"/>
      <c r="F39" s="2374"/>
      <c r="G39" s="2374"/>
      <c r="H39" s="2374"/>
      <c r="I39" s="2374"/>
    </row>
    <row r="40" spans="1:10" ht="13.35" customHeight="1" x14ac:dyDescent="0.2">
      <c r="A40" s="995"/>
      <c r="C40" s="1051"/>
      <c r="D40" s="1051"/>
      <c r="E40" s="1051"/>
      <c r="F40" s="1051"/>
      <c r="G40" s="1051"/>
      <c r="H40" s="1051"/>
      <c r="I40" s="1051"/>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2"/>
  <sheetViews>
    <sheetView showGridLines="0" zoomScale="110" zoomScaleNormal="110" workbookViewId="0">
      <selection activeCell="B17" sqref="B17"/>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52">
        <v>1</v>
      </c>
      <c r="B5" s="1970" t="s">
        <v>3052</v>
      </c>
    </row>
    <row r="6" spans="1:2" x14ac:dyDescent="0.2">
      <c r="A6" s="1052">
        <v>2</v>
      </c>
      <c r="B6" s="1970" t="s">
        <v>3054</v>
      </c>
    </row>
    <row r="7" spans="1:2" x14ac:dyDescent="0.2">
      <c r="A7" s="1052">
        <v>3</v>
      </c>
      <c r="B7" s="1970" t="s">
        <v>3053</v>
      </c>
    </row>
    <row r="8" spans="1:2" x14ac:dyDescent="0.2">
      <c r="A8" s="1052">
        <v>4</v>
      </c>
      <c r="B8" s="1970" t="s">
        <v>3055</v>
      </c>
    </row>
    <row r="9" spans="1:2" x14ac:dyDescent="0.2">
      <c r="A9" s="1052">
        <v>5</v>
      </c>
      <c r="B9" s="1970" t="s">
        <v>3056</v>
      </c>
    </row>
    <row r="10" spans="1:2" x14ac:dyDescent="0.2">
      <c r="A10" s="1052"/>
      <c r="B10" s="1970"/>
    </row>
    <row r="11" spans="1:2" x14ac:dyDescent="0.2">
      <c r="A11" s="1052"/>
    </row>
    <row r="12" spans="1:2" x14ac:dyDescent="0.2">
      <c r="A12" s="1052"/>
    </row>
    <row r="13" spans="1:2" x14ac:dyDescent="0.2">
      <c r="A13" s="1052"/>
    </row>
    <row r="14" spans="1:2" x14ac:dyDescent="0.2">
      <c r="A14" s="1052"/>
    </row>
    <row r="15" spans="1:2" x14ac:dyDescent="0.2">
      <c r="A15" s="1052"/>
    </row>
    <row r="16" spans="1:2" x14ac:dyDescent="0.2">
      <c r="A16" s="1052"/>
    </row>
    <row r="17" spans="1:1" x14ac:dyDescent="0.2">
      <c r="A17" s="1052"/>
    </row>
    <row r="18" spans="1:1" x14ac:dyDescent="0.2">
      <c r="A18" s="1052"/>
    </row>
    <row r="19" spans="1:1" x14ac:dyDescent="0.2">
      <c r="A19" s="1052"/>
    </row>
    <row r="20" spans="1:1" x14ac:dyDescent="0.2">
      <c r="A20" s="1052"/>
    </row>
    <row r="21" spans="1:1" x14ac:dyDescent="0.2">
      <c r="A21" s="1052"/>
    </row>
    <row r="22" spans="1:1" x14ac:dyDescent="0.2">
      <c r="A22" s="1052"/>
    </row>
    <row r="23" spans="1:1" x14ac:dyDescent="0.2">
      <c r="A23" s="1053"/>
    </row>
    <row r="24" spans="1:1" x14ac:dyDescent="0.2">
      <c r="A24" s="1053"/>
    </row>
    <row r="25" spans="1:1" x14ac:dyDescent="0.2">
      <c r="A25" s="1053"/>
    </row>
    <row r="26" spans="1:1" x14ac:dyDescent="0.2">
      <c r="A26" s="1053"/>
    </row>
    <row r="27" spans="1:1" x14ac:dyDescent="0.2">
      <c r="A27" s="1053"/>
    </row>
    <row r="28" spans="1:1" x14ac:dyDescent="0.2">
      <c r="A28" s="1053"/>
    </row>
    <row r="29" spans="1:1" x14ac:dyDescent="0.2">
      <c r="A29" s="1053"/>
    </row>
    <row r="30" spans="1:1" x14ac:dyDescent="0.2">
      <c r="A30" s="1053"/>
    </row>
    <row r="31" spans="1:1" x14ac:dyDescent="0.2">
      <c r="A31" s="1053"/>
    </row>
    <row r="32" spans="1:1" x14ac:dyDescent="0.2">
      <c r="A32" s="1053"/>
    </row>
    <row r="33" spans="1:1" x14ac:dyDescent="0.2">
      <c r="A33" s="1053"/>
    </row>
    <row r="34" spans="1:1" x14ac:dyDescent="0.2">
      <c r="A34" s="1053"/>
    </row>
    <row r="35" spans="1:1" x14ac:dyDescent="0.2">
      <c r="A35" s="1053"/>
    </row>
    <row r="36" spans="1:1" x14ac:dyDescent="0.2">
      <c r="A36" s="1053"/>
    </row>
    <row r="37" spans="1:1" x14ac:dyDescent="0.2">
      <c r="A37" s="1053"/>
    </row>
    <row r="38" spans="1:1" x14ac:dyDescent="0.2">
      <c r="A38" s="1053"/>
    </row>
    <row r="39" spans="1:1" x14ac:dyDescent="0.2">
      <c r="A39" s="1053"/>
    </row>
    <row r="40" spans="1:1" x14ac:dyDescent="0.2">
      <c r="A40" s="1053"/>
    </row>
    <row r="41" spans="1:1" x14ac:dyDescent="0.2">
      <c r="A41" s="1053"/>
    </row>
    <row r="42" spans="1:1" x14ac:dyDescent="0.2">
      <c r="A42" s="1053"/>
    </row>
    <row r="43" spans="1:1" x14ac:dyDescent="0.2">
      <c r="A43" s="1053"/>
    </row>
    <row r="44" spans="1:1" x14ac:dyDescent="0.2">
      <c r="A44" s="1053"/>
    </row>
    <row r="45" spans="1:1" x14ac:dyDescent="0.2">
      <c r="A45" s="1053"/>
    </row>
    <row r="46" spans="1:1" x14ac:dyDescent="0.2">
      <c r="A46" s="1053"/>
    </row>
    <row r="47" spans="1:1" x14ac:dyDescent="0.2">
      <c r="A47" s="1053"/>
    </row>
    <row r="48" spans="1:1" x14ac:dyDescent="0.2">
      <c r="A48" s="1053"/>
    </row>
    <row r="49" spans="1:2" x14ac:dyDescent="0.2">
      <c r="A49" s="1053"/>
    </row>
    <row r="50" spans="1:2" x14ac:dyDescent="0.2">
      <c r="A50" s="1053"/>
    </row>
    <row r="51" spans="1:2" x14ac:dyDescent="0.2">
      <c r="A51" s="1053"/>
    </row>
    <row r="52" spans="1:2" x14ac:dyDescent="0.2">
      <c r="A52" s="1053"/>
    </row>
    <row r="53" spans="1:2" x14ac:dyDescent="0.2">
      <c r="A53" s="1053"/>
    </row>
    <row r="54" spans="1:2" x14ac:dyDescent="0.2">
      <c r="A54" s="1053"/>
    </row>
    <row r="55" spans="1:2" x14ac:dyDescent="0.2">
      <c r="A55" s="1053"/>
    </row>
    <row r="56" spans="1:2" x14ac:dyDescent="0.2">
      <c r="A56" s="1053"/>
    </row>
    <row r="57" spans="1:2" x14ac:dyDescent="0.2">
      <c r="A57" s="1053"/>
    </row>
    <row r="58" spans="1:2" x14ac:dyDescent="0.2">
      <c r="A58" s="1053"/>
    </row>
    <row r="59" spans="1:2" x14ac:dyDescent="0.2">
      <c r="A59" s="1053"/>
    </row>
    <row r="60" spans="1:2" x14ac:dyDescent="0.2">
      <c r="A60" s="1053"/>
    </row>
    <row r="61" spans="1:2" x14ac:dyDescent="0.2">
      <c r="A61" s="1053"/>
      <c r="B61" s="258" t="str">
        <f>COVER!A17</f>
        <v>Saunemin CCSD 438</v>
      </c>
    </row>
    <row r="62" spans="1:2" x14ac:dyDescent="0.2">
      <c r="B62" s="1054">
        <f>COVER!A13</f>
        <v>17053438004</v>
      </c>
    </row>
  </sheetData>
  <phoneticPr fontId="20"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1858</v>
      </c>
      <c r="C4" s="162" t="s">
        <v>1169</v>
      </c>
      <c r="D4" s="169" t="s">
        <v>10</v>
      </c>
      <c r="E4" s="170" t="s">
        <v>22</v>
      </c>
    </row>
    <row r="5" spans="1:5" x14ac:dyDescent="0.2">
      <c r="A5" s="168" t="s">
        <v>1860</v>
      </c>
      <c r="C5" s="162" t="s">
        <v>1169</v>
      </c>
      <c r="D5" s="169" t="s">
        <v>10</v>
      </c>
      <c r="E5" s="170" t="s">
        <v>22</v>
      </c>
    </row>
    <row r="6" spans="1:5" x14ac:dyDescent="0.2">
      <c r="A6" s="168" t="s">
        <v>1859</v>
      </c>
      <c r="C6" s="162" t="s">
        <v>1169</v>
      </c>
      <c r="D6" s="167" t="s">
        <v>11</v>
      </c>
      <c r="E6" s="170" t="s">
        <v>941</v>
      </c>
    </row>
    <row r="7" spans="1:5" x14ac:dyDescent="0.2">
      <c r="A7" s="168" t="s">
        <v>1861</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1862</v>
      </c>
      <c r="C11" s="162" t="s">
        <v>1169</v>
      </c>
      <c r="D11" s="169" t="s">
        <v>14</v>
      </c>
      <c r="E11" s="170" t="s">
        <v>1156</v>
      </c>
    </row>
    <row r="12" spans="1:5" x14ac:dyDescent="0.2">
      <c r="B12" s="169" t="s">
        <v>1863</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1864</v>
      </c>
      <c r="C15" s="162" t="s">
        <v>1169</v>
      </c>
      <c r="D15" s="169" t="s">
        <v>17</v>
      </c>
      <c r="E15" s="170" t="s">
        <v>636</v>
      </c>
    </row>
    <row r="16" spans="1:5" x14ac:dyDescent="0.2">
      <c r="A16" s="172"/>
      <c r="B16" s="162" t="s">
        <v>1865</v>
      </c>
      <c r="C16" s="162" t="s">
        <v>1169</v>
      </c>
      <c r="D16" s="169" t="s">
        <v>681</v>
      </c>
      <c r="E16" s="170" t="s">
        <v>1040</v>
      </c>
    </row>
    <row r="17" spans="1:5" x14ac:dyDescent="0.2">
      <c r="B17" s="167" t="s">
        <v>988</v>
      </c>
      <c r="C17" s="162" t="s">
        <v>1169</v>
      </c>
    </row>
    <row r="18" spans="1:5" x14ac:dyDescent="0.2">
      <c r="B18" s="167" t="s">
        <v>1871</v>
      </c>
      <c r="D18" s="169" t="s">
        <v>18</v>
      </c>
      <c r="E18" s="170" t="s">
        <v>1041</v>
      </c>
    </row>
    <row r="19" spans="1:5" x14ac:dyDescent="0.2">
      <c r="A19" s="168" t="s">
        <v>1099</v>
      </c>
      <c r="C19" s="162" t="s">
        <v>1169</v>
      </c>
      <c r="D19" s="169"/>
      <c r="E19" s="171"/>
    </row>
    <row r="20" spans="1:5" x14ac:dyDescent="0.2">
      <c r="B20" s="167" t="s">
        <v>1866</v>
      </c>
      <c r="C20" s="162" t="s">
        <v>1169</v>
      </c>
      <c r="D20" s="169" t="s">
        <v>19</v>
      </c>
      <c r="E20" s="170" t="s">
        <v>51</v>
      </c>
    </row>
    <row r="21" spans="1:5" x14ac:dyDescent="0.2">
      <c r="B21" s="167" t="s">
        <v>1867</v>
      </c>
      <c r="C21" s="162" t="s">
        <v>1169</v>
      </c>
      <c r="D21" s="169" t="s">
        <v>20</v>
      </c>
      <c r="E21" s="170" t="s">
        <v>1610</v>
      </c>
    </row>
    <row r="22" spans="1:5" x14ac:dyDescent="0.2">
      <c r="A22" s="168"/>
      <c r="B22" s="162" t="s">
        <v>1855</v>
      </c>
      <c r="C22" s="162" t="s">
        <v>1169</v>
      </c>
      <c r="D22" s="167" t="s">
        <v>1857</v>
      </c>
      <c r="E22" s="1819" t="s">
        <v>1611</v>
      </c>
    </row>
    <row r="23" spans="1:5" x14ac:dyDescent="0.2">
      <c r="A23" s="168"/>
      <c r="B23" s="162" t="s">
        <v>1856</v>
      </c>
      <c r="D23" s="167" t="s">
        <v>637</v>
      </c>
      <c r="E23" s="1819" t="s">
        <v>959</v>
      </c>
    </row>
    <row r="24" spans="1:5" x14ac:dyDescent="0.2">
      <c r="A24" s="168" t="s">
        <v>1609</v>
      </c>
      <c r="C24" s="162" t="s">
        <v>1169</v>
      </c>
      <c r="D24" s="167" t="s">
        <v>1393</v>
      </c>
      <c r="E24" s="170" t="s">
        <v>960</v>
      </c>
    </row>
    <row r="25" spans="1:5" x14ac:dyDescent="0.2">
      <c r="A25" s="168" t="s">
        <v>1868</v>
      </c>
      <c r="C25" s="162" t="s">
        <v>1169</v>
      </c>
      <c r="D25" s="169" t="s">
        <v>21</v>
      </c>
      <c r="E25" s="170" t="s">
        <v>1042</v>
      </c>
    </row>
    <row r="26" spans="1:5" x14ac:dyDescent="0.2">
      <c r="A26" s="168" t="s">
        <v>1869</v>
      </c>
      <c r="C26" s="162" t="s">
        <v>1169</v>
      </c>
      <c r="D26" s="169" t="s">
        <v>563</v>
      </c>
      <c r="E26" s="170" t="s">
        <v>1043</v>
      </c>
    </row>
    <row r="27" spans="1:5" x14ac:dyDescent="0.2">
      <c r="A27" s="168" t="s">
        <v>1870</v>
      </c>
      <c r="C27" s="162" t="s">
        <v>1169</v>
      </c>
      <c r="D27" s="169" t="s">
        <v>557</v>
      </c>
      <c r="E27" s="170" t="s">
        <v>683</v>
      </c>
    </row>
    <row r="28" spans="1:5" x14ac:dyDescent="0.2">
      <c r="A28" s="168" t="s">
        <v>1872</v>
      </c>
      <c r="D28" s="169" t="s">
        <v>684</v>
      </c>
      <c r="E28" s="170" t="s">
        <v>1366</v>
      </c>
    </row>
    <row r="29" spans="1:5" x14ac:dyDescent="0.2">
      <c r="A29" s="168" t="s">
        <v>1873</v>
      </c>
      <c r="D29" s="169" t="s">
        <v>1394</v>
      </c>
      <c r="E29" s="170" t="s">
        <v>1375</v>
      </c>
    </row>
    <row r="30" spans="1:5" x14ac:dyDescent="0.2">
      <c r="A30" s="173" t="s">
        <v>1874</v>
      </c>
      <c r="C30" s="162" t="s">
        <v>1169</v>
      </c>
      <c r="D30" s="169" t="s">
        <v>40</v>
      </c>
      <c r="E30" s="170" t="s">
        <v>982</v>
      </c>
    </row>
    <row r="31" spans="1:5" x14ac:dyDescent="0.2">
      <c r="A31" s="168" t="s">
        <v>1521</v>
      </c>
      <c r="C31" s="162" t="s">
        <v>1169</v>
      </c>
      <c r="D31" s="167"/>
      <c r="E31" s="171"/>
    </row>
    <row r="32" spans="1:5" x14ac:dyDescent="0.2">
      <c r="B32" s="167" t="s">
        <v>1875</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114" t="s">
        <v>1065</v>
      </c>
      <c r="B35" s="2114"/>
      <c r="C35" s="2114"/>
      <c r="D35" s="2114"/>
      <c r="E35" s="2114"/>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11" t="s">
        <v>691</v>
      </c>
      <c r="B40" s="2111"/>
      <c r="C40" s="2111"/>
      <c r="D40" s="2111"/>
      <c r="E40" s="2111"/>
    </row>
    <row r="41" spans="1:5" x14ac:dyDescent="0.2">
      <c r="A41" s="2112" t="s">
        <v>1608</v>
      </c>
      <c r="B41" s="2112"/>
      <c r="C41" s="2112"/>
      <c r="D41" s="2112"/>
      <c r="E41" s="2112"/>
    </row>
    <row r="42" spans="1:5" ht="12.75" customHeight="1" x14ac:dyDescent="0.2">
      <c r="A42" s="2113" t="s">
        <v>1022</v>
      </c>
      <c r="B42" s="2113"/>
      <c r="C42" s="2113"/>
      <c r="D42" s="2113"/>
      <c r="E42" s="2113"/>
    </row>
    <row r="43" spans="1:5" ht="6.75" customHeight="1" x14ac:dyDescent="0.2">
      <c r="A43" s="167"/>
      <c r="B43" s="176"/>
    </row>
    <row r="44" spans="1:5" x14ac:dyDescent="0.2">
      <c r="A44" s="185" t="s">
        <v>983</v>
      </c>
      <c r="B44" s="186" t="s">
        <v>1901</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1770</v>
      </c>
    </row>
    <row r="52" spans="1:3" x14ac:dyDescent="0.2">
      <c r="A52" s="190"/>
      <c r="B52" s="188" t="s">
        <v>1790</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1771</v>
      </c>
    </row>
    <row r="57" spans="1:3" x14ac:dyDescent="0.2">
      <c r="A57" s="193"/>
      <c r="B57" s="190" t="s">
        <v>1773</v>
      </c>
    </row>
    <row r="58" spans="1:3" x14ac:dyDescent="0.2">
      <c r="A58" s="194"/>
      <c r="B58" s="190" t="s">
        <v>1774</v>
      </c>
    </row>
    <row r="59" spans="1:3" x14ac:dyDescent="0.2">
      <c r="A59" s="195"/>
      <c r="B59" s="1468" t="s">
        <v>1775</v>
      </c>
    </row>
    <row r="60" spans="1:3" x14ac:dyDescent="0.2">
      <c r="A60" s="196"/>
      <c r="B60" s="1468" t="s">
        <v>1776</v>
      </c>
    </row>
    <row r="61" spans="1:3" ht="6" customHeight="1" x14ac:dyDescent="0.2">
      <c r="A61" s="197"/>
      <c r="B61" s="189"/>
    </row>
    <row r="62" spans="1:3" x14ac:dyDescent="0.2">
      <c r="A62" s="169" t="s">
        <v>1616</v>
      </c>
      <c r="B62" s="198" t="s">
        <v>1772</v>
      </c>
    </row>
    <row r="63" spans="1:3" x14ac:dyDescent="0.2">
      <c r="A63" s="188"/>
      <c r="B63" s="169" t="s">
        <v>1787</v>
      </c>
    </row>
    <row r="64" spans="1:3" x14ac:dyDescent="0.2">
      <c r="A64" s="195"/>
      <c r="B64" s="1470" t="s">
        <v>1777</v>
      </c>
    </row>
    <row r="65" spans="1:9" x14ac:dyDescent="0.2">
      <c r="A65" s="188"/>
      <c r="B65" s="169" t="s">
        <v>1788</v>
      </c>
    </row>
    <row r="66" spans="1:9" x14ac:dyDescent="0.2">
      <c r="A66" s="190"/>
      <c r="B66" s="190" t="s">
        <v>1778</v>
      </c>
    </row>
    <row r="67" spans="1:9" ht="12" customHeight="1" x14ac:dyDescent="0.2">
      <c r="A67" s="188"/>
      <c r="B67" s="169" t="s">
        <v>1789</v>
      </c>
    </row>
    <row r="68" spans="1:9" x14ac:dyDescent="0.2">
      <c r="A68" s="189"/>
      <c r="B68" s="190" t="s">
        <v>1779</v>
      </c>
    </row>
    <row r="69" spans="1:9" x14ac:dyDescent="0.2">
      <c r="A69" s="190"/>
      <c r="B69" s="188" t="s">
        <v>1780</v>
      </c>
    </row>
    <row r="70" spans="1:9" ht="13.5" customHeight="1" x14ac:dyDescent="0.2">
      <c r="A70" s="190"/>
      <c r="B70" s="188" t="s">
        <v>1781</v>
      </c>
    </row>
    <row r="71" spans="1:9" ht="12" customHeight="1" x14ac:dyDescent="0.2">
      <c r="A71" s="192"/>
      <c r="B71" s="1469" t="s">
        <v>1619</v>
      </c>
    </row>
    <row r="72" spans="1:9" ht="9" customHeight="1" x14ac:dyDescent="0.2">
      <c r="A72" s="192"/>
      <c r="B72" s="199"/>
    </row>
    <row r="73" spans="1:9" x14ac:dyDescent="0.2">
      <c r="A73" s="189" t="s">
        <v>1620</v>
      </c>
      <c r="B73" s="169" t="s">
        <v>1783</v>
      </c>
    </row>
    <row r="74" spans="1:9" x14ac:dyDescent="0.2">
      <c r="A74" s="189"/>
      <c r="B74" s="169" t="s">
        <v>1782</v>
      </c>
    </row>
    <row r="75" spans="1:9" ht="8.25" customHeight="1" x14ac:dyDescent="0.2">
      <c r="A75" s="189"/>
      <c r="B75" s="189"/>
    </row>
    <row r="76" spans="1:9" ht="12.2" customHeight="1" x14ac:dyDescent="0.2">
      <c r="A76" s="189" t="s">
        <v>1621</v>
      </c>
      <c r="B76" s="198" t="s">
        <v>1784</v>
      </c>
    </row>
    <row r="77" spans="1:9" ht="12.2" customHeight="1" x14ac:dyDescent="0.2">
      <c r="A77" s="190"/>
      <c r="B77" s="169" t="s">
        <v>1622</v>
      </c>
      <c r="C77" s="179"/>
      <c r="D77" s="180"/>
      <c r="E77" s="181"/>
      <c r="F77" s="181"/>
      <c r="G77" s="181"/>
      <c r="H77" s="181"/>
      <c r="I77" s="181"/>
    </row>
    <row r="78" spans="1:9" ht="11.25" customHeight="1" x14ac:dyDescent="0.2">
      <c r="A78" s="190"/>
      <c r="B78" s="190" t="s">
        <v>1786</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20"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F12" sqref="F12"/>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55"/>
      <c r="C11" s="1055"/>
      <c r="D11" s="1055"/>
      <c r="E11" s="1055"/>
      <c r="F11" s="1055"/>
    </row>
    <row r="13" spans="1:6" x14ac:dyDescent="0.2">
      <c r="A13" s="1056" t="s">
        <v>1493</v>
      </c>
    </row>
    <row r="15" spans="1:6" x14ac:dyDescent="0.2">
      <c r="A15" s="389" t="s">
        <v>857</v>
      </c>
    </row>
    <row r="16" spans="1:6" s="1055" customFormat="1" ht="45" customHeight="1" x14ac:dyDescent="0.2">
      <c r="A16" s="1057"/>
      <c r="B16" s="1057" t="s">
        <v>1684</v>
      </c>
    </row>
    <row r="17" spans="1:2" ht="6" customHeight="1" x14ac:dyDescent="0.2"/>
    <row r="18" spans="1:2" ht="24.75" customHeight="1" x14ac:dyDescent="0.2">
      <c r="A18" s="2397" t="s">
        <v>1685</v>
      </c>
      <c r="B18" s="2397"/>
    </row>
  </sheetData>
  <sheetProtection selectLockedCells="1"/>
  <mergeCells count="1">
    <mergeCell ref="A18:B18"/>
  </mergeCells>
  <phoneticPr fontId="20"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74753" r:id="rId4">
          <objectPr defaultSize="0" r:id="rId5">
            <anchor moveWithCells="1">
              <from>
                <xdr:col>1</xdr:col>
                <xdr:colOff>676275</xdr:colOff>
                <xdr:row>2</xdr:row>
                <xdr:rowOff>76200</xdr:rowOff>
              </from>
              <to>
                <xdr:col>1</xdr:col>
                <xdr:colOff>1590675</xdr:colOff>
                <xdr:row>6</xdr:row>
                <xdr:rowOff>114300</xdr:rowOff>
              </to>
            </anchor>
          </objectPr>
        </oleObject>
      </mc:Choice>
      <mc:Fallback>
        <oleObject progId="Acrobat Document" dvAspect="DVASPECT_ICON" shapeId="74753"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98" t="s">
        <v>1690</v>
      </c>
      <c r="B1" s="2399"/>
      <c r="C1" s="2399"/>
      <c r="D1" s="2399"/>
      <c r="E1" s="2399"/>
      <c r="F1" s="2400"/>
    </row>
    <row r="2" spans="1:8" ht="45" customHeight="1" x14ac:dyDescent="0.2">
      <c r="A2" s="2408" t="s">
        <v>1986</v>
      </c>
      <c r="B2" s="2409"/>
      <c r="C2" s="2409"/>
      <c r="D2" s="2409"/>
      <c r="E2" s="2409"/>
      <c r="F2" s="2410"/>
      <c r="G2" s="1058"/>
      <c r="H2" s="1058"/>
    </row>
    <row r="3" spans="1:8" ht="57" customHeight="1" x14ac:dyDescent="0.2">
      <c r="A3" s="2411" t="s">
        <v>1686</v>
      </c>
      <c r="B3" s="2412"/>
      <c r="C3" s="2412"/>
      <c r="D3" s="2412"/>
      <c r="E3" s="2412"/>
      <c r="F3" s="2413"/>
      <c r="G3" s="1058"/>
      <c r="H3" s="1058"/>
    </row>
    <row r="4" spans="1:8" ht="14.25" customHeight="1" x14ac:dyDescent="0.2">
      <c r="A4" s="2417" t="s">
        <v>1987</v>
      </c>
      <c r="B4" s="2418"/>
      <c r="C4" s="2418"/>
      <c r="D4" s="2418"/>
      <c r="E4" s="2418"/>
      <c r="F4" s="2419"/>
      <c r="G4" s="1058"/>
      <c r="H4" s="1058"/>
    </row>
    <row r="5" spans="1:8" ht="14.25" customHeight="1" x14ac:dyDescent="0.2">
      <c r="A5" s="2420" t="s">
        <v>1983</v>
      </c>
      <c r="B5" s="2421"/>
      <c r="C5" s="2421"/>
      <c r="D5" s="2421"/>
      <c r="E5" s="2421"/>
      <c r="F5" s="2422"/>
      <c r="G5" s="1058"/>
      <c r="H5" s="1058"/>
    </row>
    <row r="6" spans="1:8" s="1059" customFormat="1" ht="41.25" customHeight="1" x14ac:dyDescent="0.2">
      <c r="A6" s="2414" t="s">
        <v>1691</v>
      </c>
      <c r="B6" s="2415"/>
      <c r="C6" s="2415"/>
      <c r="D6" s="2415"/>
      <c r="E6" s="2415"/>
      <c r="F6" s="2416"/>
    </row>
    <row r="7" spans="1:8" ht="42" customHeight="1" x14ac:dyDescent="0.2">
      <c r="A7" s="1060" t="s">
        <v>481</v>
      </c>
      <c r="B7" s="1061" t="s">
        <v>1496</v>
      </c>
      <c r="C7" s="1061" t="s">
        <v>1497</v>
      </c>
      <c r="D7" s="1061" t="s">
        <v>1495</v>
      </c>
      <c r="E7" s="1061" t="s">
        <v>1498</v>
      </c>
      <c r="F7" s="1061" t="s">
        <v>1367</v>
      </c>
    </row>
    <row r="8" spans="1:8" s="1063" customFormat="1" ht="14.25" customHeight="1" x14ac:dyDescent="0.2">
      <c r="A8" s="1062" t="s">
        <v>1368</v>
      </c>
      <c r="B8" s="1798">
        <f ca="1">'Acct Summary 7-8'!C8</f>
        <v>1669155</v>
      </c>
      <c r="C8" s="1798">
        <f ca="1">'Acct Summary 7-8'!D8</f>
        <v>248342</v>
      </c>
      <c r="D8" s="1798">
        <f ca="1">'Acct Summary 7-8'!F8</f>
        <v>201811</v>
      </c>
      <c r="E8" s="1798">
        <f ca="1">'Acct Summary 7-8'!I8</f>
        <v>11495</v>
      </c>
      <c r="F8" s="1798">
        <f ca="1">SUM(B8:E8)</f>
        <v>2130803</v>
      </c>
    </row>
    <row r="9" spans="1:8" s="1063" customFormat="1" ht="14.25" customHeight="1" thickBot="1" x14ac:dyDescent="0.25">
      <c r="A9" s="1062" t="s">
        <v>1369</v>
      </c>
      <c r="B9" s="1799">
        <f ca="1">'Acct Summary 7-8'!C17</f>
        <v>1756897</v>
      </c>
      <c r="C9" s="1799">
        <f ca="1">'Acct Summary 7-8'!D17</f>
        <v>241055</v>
      </c>
      <c r="D9" s="1799">
        <f ca="1">'Acct Summary 7-8'!F17</f>
        <v>121834</v>
      </c>
      <c r="E9" s="1798"/>
      <c r="F9" s="1798">
        <f ca="1">SUM(B9:E9)</f>
        <v>2119786</v>
      </c>
    </row>
    <row r="10" spans="1:8" s="1063" customFormat="1" ht="14.25" thickTop="1" thickBot="1" x14ac:dyDescent="0.25">
      <c r="A10" s="1064" t="s">
        <v>1370</v>
      </c>
      <c r="B10" s="1800">
        <f ca="1">(B8-B9)</f>
        <v>-87742</v>
      </c>
      <c r="C10" s="1800">
        <f ca="1">(C8-C9)</f>
        <v>7287</v>
      </c>
      <c r="D10" s="1800">
        <f ca="1">(D8-D9)</f>
        <v>79977</v>
      </c>
      <c r="E10" s="1799">
        <f ca="1">(E8-E9)</f>
        <v>11495</v>
      </c>
      <c r="F10" s="1801">
        <f ca="1">SUM(F8-F9)</f>
        <v>11017</v>
      </c>
    </row>
    <row r="11" spans="1:8" s="1063" customFormat="1" ht="14.25" thickTop="1" thickBot="1" x14ac:dyDescent="0.25">
      <c r="A11" s="1065" t="s">
        <v>1984</v>
      </c>
      <c r="B11" s="1802">
        <f ca="1">'Acct Summary 7-8'!C81</f>
        <v>2232240</v>
      </c>
      <c r="C11" s="1802">
        <f ca="1">'Acct Summary 7-8'!D81</f>
        <v>611534</v>
      </c>
      <c r="D11" s="1802">
        <f ca="1">'Acct Summary 7-8'!F81</f>
        <v>586911</v>
      </c>
      <c r="E11" s="1802">
        <f ca="1">'Acct Summary 7-8'!I81</f>
        <v>141317</v>
      </c>
      <c r="F11" s="1803">
        <f ca="1">SUM(B11:E11)</f>
        <v>3572002</v>
      </c>
    </row>
    <row r="12" spans="1:8" ht="16.5" customHeight="1" thickTop="1" x14ac:dyDescent="0.2">
      <c r="A12" s="1066"/>
      <c r="B12" s="1067"/>
      <c r="C12" s="2402" t="str">
        <f ca="1">IF(AND(F10&lt;0,F11&gt;=0,ABS(F10*3)&gt;ABS(F11)),A16,IF(AND(F10&lt;0,F11&gt;0,ABS(F10*3)&lt;=ABS(F11)),A17,IF(AND(F10&lt;0,F11&lt;0),A16,IF(F11=0,A19,A18))))</f>
        <v>Balanced - no deficit reduction plan is required.</v>
      </c>
      <c r="D12" s="2403"/>
      <c r="E12" s="2403"/>
      <c r="F12" s="2404"/>
    </row>
    <row r="13" spans="1:8" ht="19.5" customHeight="1" x14ac:dyDescent="0.2">
      <c r="A13" s="1068"/>
      <c r="B13" s="1069"/>
      <c r="C13" s="2402"/>
      <c r="D13" s="2403"/>
      <c r="E13" s="2403"/>
      <c r="F13" s="2404"/>
      <c r="H13" s="1058"/>
    </row>
    <row r="14" spans="1:8" ht="19.5" customHeight="1" x14ac:dyDescent="0.2">
      <c r="A14" s="1068"/>
      <c r="B14" s="1069"/>
      <c r="C14" s="2402"/>
      <c r="D14" s="2403"/>
      <c r="E14" s="2403"/>
      <c r="F14" s="2404"/>
      <c r="H14" s="1058"/>
    </row>
    <row r="15" spans="1:8" ht="17.25" customHeight="1" x14ac:dyDescent="0.2">
      <c r="A15" s="1068"/>
      <c r="B15" s="1069"/>
      <c r="C15" s="2405"/>
      <c r="D15" s="2406"/>
      <c r="E15" s="2406"/>
      <c r="F15" s="2407"/>
      <c r="H15" s="1058"/>
    </row>
    <row r="16" spans="1:8" s="310" customFormat="1" ht="51.75" hidden="1" customHeight="1" x14ac:dyDescent="0.2">
      <c r="A16" s="2401" t="s">
        <v>1687</v>
      </c>
      <c r="B16" s="2401"/>
      <c r="C16" s="2401"/>
      <c r="D16" s="2401"/>
      <c r="E16" s="2401"/>
      <c r="F16" s="310" t="s">
        <v>1371</v>
      </c>
    </row>
    <row r="17" spans="1:6" hidden="1" x14ac:dyDescent="0.2">
      <c r="A17" s="316" t="s">
        <v>1688</v>
      </c>
      <c r="F17" s="1070"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71"/>
    </row>
    <row r="48" spans="3:3" x14ac:dyDescent="0.2">
      <c r="C48" s="1070"/>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17053438004</v>
      </c>
    </row>
    <row r="3" spans="1:2" x14ac:dyDescent="0.2">
      <c r="A3" t="s">
        <v>956</v>
      </c>
      <c r="B3" s="138" t="str">
        <f>COVER!A15</f>
        <v>Livingston</v>
      </c>
    </row>
    <row r="4" spans="1:2" x14ac:dyDescent="0.2">
      <c r="A4" t="s">
        <v>1007</v>
      </c>
      <c r="B4" s="138" t="str">
        <f>COVER!A17</f>
        <v>Saunemin CCSD 438</v>
      </c>
    </row>
    <row r="5" spans="1:2" x14ac:dyDescent="0.2">
      <c r="A5" t="s">
        <v>704</v>
      </c>
      <c r="B5" s="138" t="str">
        <f>COVER!A38</f>
        <v>Gary Doughan</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Yes</v>
      </c>
    </row>
    <row r="15" spans="1:2" x14ac:dyDescent="0.2">
      <c r="A15" t="s">
        <v>577</v>
      </c>
      <c r="B15" s="138" t="str">
        <f>COVER!T23</f>
        <v>060-003995</v>
      </c>
    </row>
    <row r="16" spans="1:2" x14ac:dyDescent="0.2">
      <c r="A16" t="s">
        <v>422</v>
      </c>
      <c r="B16" s="138" t="str">
        <f>COVER!T13</f>
        <v>Roenfeldt &amp; Lockas, P.C.</v>
      </c>
    </row>
    <row r="17" spans="1:2" x14ac:dyDescent="0.2">
      <c r="A17" t="s">
        <v>884</v>
      </c>
      <c r="B17" s="138" t="str">
        <f>COVER!T15</f>
        <v>Duane K. Lockas, C.P.A.</v>
      </c>
    </row>
    <row r="18" spans="1:2" x14ac:dyDescent="0.2">
      <c r="A18" t="s">
        <v>1150</v>
      </c>
      <c r="B18" s="138" t="str">
        <f>COVER!T17</f>
        <v>1100 Columbus Street</v>
      </c>
    </row>
    <row r="19" spans="1:2" x14ac:dyDescent="0.2">
      <c r="A19" t="s">
        <v>886</v>
      </c>
      <c r="B19" s="138" t="str">
        <f>COVER!T25</f>
        <v>admin@roenfeldtlockas.com</v>
      </c>
    </row>
    <row r="20" spans="1:2" x14ac:dyDescent="0.2">
      <c r="A20" t="s">
        <v>887</v>
      </c>
      <c r="B20" s="138" t="str">
        <f>COVER!T19</f>
        <v>Ottawa</v>
      </c>
    </row>
    <row r="21" spans="1:2" x14ac:dyDescent="0.2">
      <c r="A21" t="s">
        <v>479</v>
      </c>
      <c r="B21" s="138" t="str">
        <f>COVER!X19</f>
        <v>Illinois</v>
      </c>
    </row>
    <row r="22" spans="1:2" x14ac:dyDescent="0.2">
      <c r="A22" t="s">
        <v>888</v>
      </c>
      <c r="B22" s="138">
        <f>COVER!Z19</f>
        <v>61350</v>
      </c>
    </row>
    <row r="23" spans="1:2" x14ac:dyDescent="0.2">
      <c r="A23" t="s">
        <v>1152</v>
      </c>
      <c r="B23" s="138" t="str">
        <f>COVER!T21</f>
        <v>815-433-0464</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Yes</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Yes</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Yes</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36526</v>
      </c>
    </row>
    <row r="51" spans="1:4" x14ac:dyDescent="0.2">
      <c r="A51" s="1" t="s">
        <v>1482</v>
      </c>
      <c r="B51" s="138" t="str">
        <f>IF('Aud Quest 2'!B54="x","Yes",IF('Aud Quest 2'!B54&lt;&gt;"x","0"))</f>
        <v>Yes</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 ca="1">'Assets-Liab 5-6'!C6</f>
        <v>0</v>
      </c>
      <c r="D65" s="2" t="str">
        <f t="shared" ca="1"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 ca="1">'Assets-Liab 5-6'!C10</f>
        <v>0</v>
      </c>
      <c r="D72" s="2" t="str">
        <f t="shared" ca="1" si="0"/>
        <v>Error?</v>
      </c>
    </row>
    <row r="73" spans="1:4" x14ac:dyDescent="0.2">
      <c r="A73" s="5">
        <v>12</v>
      </c>
      <c r="B73" s="138">
        <f ca="1">'Assets-Liab 5-6'!C5</f>
        <v>470129</v>
      </c>
      <c r="D73" s="2" t="str">
        <f t="shared" ca="1" si="0"/>
        <v>Error?</v>
      </c>
    </row>
    <row r="74" spans="1:4" x14ac:dyDescent="0.2">
      <c r="A74" s="10">
        <v>13</v>
      </c>
      <c r="D74" s="2" t="str">
        <f t="shared" si="0"/>
        <v>OK</v>
      </c>
    </row>
    <row r="75" spans="1:4" x14ac:dyDescent="0.2">
      <c r="A75" s="10">
        <v>14</v>
      </c>
      <c r="D75" s="2" t="str">
        <f t="shared" si="0"/>
        <v>OK</v>
      </c>
    </row>
    <row r="76" spans="1:4" x14ac:dyDescent="0.2">
      <c r="A76" s="5">
        <v>15</v>
      </c>
      <c r="B76" s="138">
        <f ca="1">'Assets-Liab 5-6'!C12</f>
        <v>0</v>
      </c>
      <c r="D76" s="2" t="str">
        <f t="shared" ca="1" si="0"/>
        <v>Error?</v>
      </c>
    </row>
    <row r="77" spans="1:4" x14ac:dyDescent="0.2">
      <c r="A77" s="5">
        <v>16</v>
      </c>
      <c r="B77" s="138">
        <f ca="1">'Assets-Liab 5-6'!C13</f>
        <v>2231891</v>
      </c>
      <c r="C77" s="2" t="s">
        <v>573</v>
      </c>
      <c r="D77" s="2" t="str">
        <f t="shared" ca="1"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 ca="1">'Assets-Liab 5-6'!C31</f>
        <v>-349</v>
      </c>
      <c r="D86" s="2" t="str">
        <f t="shared" ca="1" si="0"/>
        <v>Error?</v>
      </c>
    </row>
    <row r="87" spans="1:4" x14ac:dyDescent="0.2">
      <c r="A87" s="10">
        <v>26</v>
      </c>
      <c r="D87" s="2" t="str">
        <f t="shared" si="0"/>
        <v>OK</v>
      </c>
    </row>
    <row r="88" spans="1:4" x14ac:dyDescent="0.2">
      <c r="A88" s="5">
        <v>27</v>
      </c>
      <c r="B88" s="138">
        <f ca="1">'Assets-Liab 5-6'!C32</f>
        <v>0</v>
      </c>
      <c r="D88" s="2" t="str">
        <f t="shared" ca="1" si="0"/>
        <v>Error?</v>
      </c>
    </row>
    <row r="89" spans="1:4" x14ac:dyDescent="0.2">
      <c r="A89" s="10">
        <v>28</v>
      </c>
      <c r="D89" s="2" t="str">
        <f t="shared" si="0"/>
        <v>OK</v>
      </c>
    </row>
    <row r="90" spans="1:4" x14ac:dyDescent="0.2">
      <c r="A90" s="10">
        <v>29</v>
      </c>
      <c r="D90" s="2" t="str">
        <f t="shared" si="0"/>
        <v>OK</v>
      </c>
    </row>
    <row r="91" spans="1:4" x14ac:dyDescent="0.2">
      <c r="A91" s="5">
        <v>30</v>
      </c>
      <c r="B91" s="138">
        <f ca="1">'Assets-Liab 5-6'!C34</f>
        <v>-349</v>
      </c>
      <c r="C91" s="2" t="s">
        <v>573</v>
      </c>
      <c r="D91" s="2" t="str">
        <f t="shared" ca="1" si="0"/>
        <v>Error?</v>
      </c>
    </row>
    <row r="92" spans="1:4" x14ac:dyDescent="0.2">
      <c r="A92" s="5">
        <v>31</v>
      </c>
      <c r="B92" s="138">
        <f>'Assets-Liab 5-6'!C39</f>
        <v>2232240</v>
      </c>
      <c r="D92" s="2" t="str">
        <f t="shared" si="0"/>
        <v>Error?</v>
      </c>
    </row>
    <row r="93" spans="1:4" x14ac:dyDescent="0.2">
      <c r="A93" s="5">
        <v>32</v>
      </c>
      <c r="B93" s="138">
        <f ca="1">'Assets-Liab 5-6'!C41</f>
        <v>2231891</v>
      </c>
      <c r="C93" s="2" t="s">
        <v>573</v>
      </c>
      <c r="D93" s="2" t="str">
        <f t="shared" ca="1"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 ca="1">'Assets-Liab 5-6'!D6</f>
        <v>0</v>
      </c>
      <c r="D97" s="2" t="str">
        <f t="shared" ca="1"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 ca="1">'Assets-Liab 5-6'!D10</f>
        <v>0</v>
      </c>
      <c r="D104" s="2" t="str">
        <f t="shared" ca="1" si="0"/>
        <v>Error?</v>
      </c>
    </row>
    <row r="105" spans="1:4" x14ac:dyDescent="0.2">
      <c r="A105" s="5">
        <v>44</v>
      </c>
      <c r="B105" s="138">
        <f ca="1">'Assets-Liab 5-6'!D5</f>
        <v>0</v>
      </c>
      <c r="D105" s="2" t="str">
        <f t="shared" ca="1" si="0"/>
        <v>Error?</v>
      </c>
    </row>
    <row r="106" spans="1:4" x14ac:dyDescent="0.2">
      <c r="A106" s="10">
        <v>45</v>
      </c>
      <c r="D106" s="2" t="str">
        <f t="shared" si="0"/>
        <v>OK</v>
      </c>
    </row>
    <row r="107" spans="1:4" x14ac:dyDescent="0.2">
      <c r="A107" s="10">
        <v>46</v>
      </c>
      <c r="D107" s="2" t="str">
        <f t="shared" si="0"/>
        <v>OK</v>
      </c>
    </row>
    <row r="108" spans="1:4" x14ac:dyDescent="0.2">
      <c r="A108" s="5">
        <v>47</v>
      </c>
      <c r="B108" s="138">
        <f ca="1">'Assets-Liab 5-6'!D12</f>
        <v>0</v>
      </c>
      <c r="D108" s="2" t="str">
        <f t="shared" ca="1" si="0"/>
        <v>Error?</v>
      </c>
    </row>
    <row r="109" spans="1:4" x14ac:dyDescent="0.2">
      <c r="A109" s="5">
        <v>48</v>
      </c>
      <c r="B109" s="138">
        <f ca="1">'Assets-Liab 5-6'!D13</f>
        <v>611534</v>
      </c>
      <c r="C109" s="2" t="s">
        <v>573</v>
      </c>
      <c r="D109" s="2" t="str">
        <f t="shared" ca="1"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 ca="1">'Assets-Liab 5-6'!D31</f>
        <v>0</v>
      </c>
      <c r="D117" s="2" t="str">
        <f t="shared" ca="1" si="0"/>
        <v>Error?</v>
      </c>
    </row>
    <row r="118" spans="1:4" x14ac:dyDescent="0.2">
      <c r="A118" s="10">
        <v>57</v>
      </c>
      <c r="D118" s="2" t="str">
        <f t="shared" si="0"/>
        <v>OK</v>
      </c>
    </row>
    <row r="119" spans="1:4" x14ac:dyDescent="0.2">
      <c r="A119" s="5">
        <v>58</v>
      </c>
      <c r="B119" s="138">
        <f ca="1">'Assets-Liab 5-6'!D32</f>
        <v>0</v>
      </c>
      <c r="D119" s="2" t="str">
        <f t="shared" ca="1" si="0"/>
        <v>Error?</v>
      </c>
    </row>
    <row r="120" spans="1:4" x14ac:dyDescent="0.2">
      <c r="A120" s="10">
        <v>59</v>
      </c>
      <c r="D120" s="2" t="str">
        <f t="shared" si="0"/>
        <v>OK</v>
      </c>
    </row>
    <row r="121" spans="1:4" x14ac:dyDescent="0.2">
      <c r="A121" s="10">
        <v>60</v>
      </c>
      <c r="D121" s="2" t="str">
        <f t="shared" si="0"/>
        <v>OK</v>
      </c>
    </row>
    <row r="122" spans="1:4" x14ac:dyDescent="0.2">
      <c r="A122" s="5">
        <v>61</v>
      </c>
      <c r="B122" s="138">
        <f ca="1">'Assets-Liab 5-6'!D34</f>
        <v>0</v>
      </c>
      <c r="C122" s="2" t="s">
        <v>573</v>
      </c>
      <c r="D122" s="2" t="str">
        <f t="shared" ca="1" si="0"/>
        <v>Error?</v>
      </c>
    </row>
    <row r="123" spans="1:4" x14ac:dyDescent="0.2">
      <c r="A123" s="5">
        <v>62</v>
      </c>
      <c r="B123" s="138">
        <f>'Assets-Liab 5-6'!D39</f>
        <v>611534</v>
      </c>
      <c r="D123" s="2" t="str">
        <f t="shared" si="0"/>
        <v>Error?</v>
      </c>
    </row>
    <row r="124" spans="1:4" x14ac:dyDescent="0.2">
      <c r="A124" s="5">
        <v>63</v>
      </c>
      <c r="B124" s="138">
        <f ca="1">'Assets-Liab 5-6'!D41</f>
        <v>611534</v>
      </c>
      <c r="C124" s="2" t="s">
        <v>573</v>
      </c>
      <c r="D124" s="2" t="str">
        <f t="shared" ca="1" si="0"/>
        <v>Error?</v>
      </c>
    </row>
    <row r="125" spans="1:4" x14ac:dyDescent="0.2">
      <c r="A125" s="10">
        <v>64</v>
      </c>
      <c r="D125" s="2" t="str">
        <f t="shared" si="0"/>
        <v>OK</v>
      </c>
    </row>
    <row r="126" spans="1:4" x14ac:dyDescent="0.2">
      <c r="A126" s="5">
        <v>65</v>
      </c>
      <c r="B126" s="138">
        <f ca="1">'Assets-Liab 5-6'!E6</f>
        <v>0</v>
      </c>
      <c r="D126" s="2" t="str">
        <f t="shared" ca="1"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 ca="1">'Assets-Liab 5-6'!E5</f>
        <v>0</v>
      </c>
      <c r="D129" s="2" t="str">
        <f t="shared" ca="1" si="1"/>
        <v>Error?</v>
      </c>
    </row>
    <row r="130" spans="1:4" x14ac:dyDescent="0.2">
      <c r="A130" s="5">
        <v>69</v>
      </c>
      <c r="B130" s="138">
        <f ca="1">'Assets-Liab 5-6'!E12</f>
        <v>0</v>
      </c>
      <c r="D130" s="2" t="str">
        <f t="shared" ca="1" si="1"/>
        <v>Error?</v>
      </c>
    </row>
    <row r="131" spans="1:4" x14ac:dyDescent="0.2">
      <c r="A131" s="5">
        <v>70</v>
      </c>
      <c r="B131" s="138">
        <f ca="1">'Assets-Liab 5-6'!E13</f>
        <v>0</v>
      </c>
      <c r="C131" s="2" t="s">
        <v>573</v>
      </c>
      <c r="D131" s="2" t="str">
        <f t="shared" ca="1" si="1"/>
        <v>Error?</v>
      </c>
    </row>
    <row r="132" spans="1:4" x14ac:dyDescent="0.2">
      <c r="A132" s="10">
        <v>71</v>
      </c>
      <c r="D132" s="2" t="str">
        <f t="shared" si="1"/>
        <v>OK</v>
      </c>
    </row>
    <row r="133" spans="1:4" x14ac:dyDescent="0.2">
      <c r="A133" s="10">
        <v>72</v>
      </c>
      <c r="D133" s="2" t="str">
        <f t="shared" si="1"/>
        <v>OK</v>
      </c>
    </row>
    <row r="134" spans="1:4" x14ac:dyDescent="0.2">
      <c r="A134" s="5">
        <v>73</v>
      </c>
      <c r="B134" s="138">
        <f ca="1">'Assets-Liab 5-6'!E32</f>
        <v>0</v>
      </c>
      <c r="D134" s="2" t="str">
        <f t="shared" ca="1"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 ca="1">'Assets-Liab 5-6'!E34</f>
        <v>0</v>
      </c>
      <c r="C139" s="2" t="s">
        <v>573</v>
      </c>
      <c r="D139" s="2" t="str">
        <f t="shared" ca="1" si="1"/>
        <v>Error?</v>
      </c>
    </row>
    <row r="140" spans="1:4" x14ac:dyDescent="0.2">
      <c r="A140" s="5">
        <v>79</v>
      </c>
      <c r="B140" s="138">
        <f>'Assets-Liab 5-6'!E39</f>
        <v>0</v>
      </c>
      <c r="D140" s="2" t="str">
        <f t="shared" si="1"/>
        <v>Error?</v>
      </c>
    </row>
    <row r="141" spans="1:4" x14ac:dyDescent="0.2">
      <c r="A141" s="5">
        <v>80</v>
      </c>
      <c r="B141" s="138">
        <f ca="1">'Assets-Liab 5-6'!E41</f>
        <v>0</v>
      </c>
      <c r="C141" s="2" t="s">
        <v>573</v>
      </c>
      <c r="D141" s="2" t="str">
        <f t="shared" ca="1"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 ca="1">'Assets-Liab 5-6'!F6</f>
        <v>0</v>
      </c>
      <c r="D145" s="2" t="str">
        <f t="shared" ca="1"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 ca="1">'Assets-Liab 5-6'!F10</f>
        <v>0</v>
      </c>
      <c r="D152" s="2" t="str">
        <f t="shared" ca="1" si="1"/>
        <v>Error?</v>
      </c>
    </row>
    <row r="153" spans="1:4" x14ac:dyDescent="0.2">
      <c r="A153" s="5">
        <v>92</v>
      </c>
      <c r="B153" s="138">
        <f ca="1">'Assets-Liab 5-6'!F5</f>
        <v>257739</v>
      </c>
      <c r="D153" s="2" t="str">
        <f t="shared" ca="1" si="1"/>
        <v>Error?</v>
      </c>
    </row>
    <row r="154" spans="1:4" x14ac:dyDescent="0.2">
      <c r="A154" s="10">
        <v>93</v>
      </c>
      <c r="D154" s="2" t="str">
        <f t="shared" si="1"/>
        <v>OK</v>
      </c>
    </row>
    <row r="155" spans="1:4" x14ac:dyDescent="0.2">
      <c r="A155" s="10">
        <v>94</v>
      </c>
      <c r="D155" s="2" t="str">
        <f t="shared" si="1"/>
        <v>OK</v>
      </c>
    </row>
    <row r="156" spans="1:4" x14ac:dyDescent="0.2">
      <c r="A156" s="5">
        <v>95</v>
      </c>
      <c r="B156" s="138">
        <f ca="1">'Assets-Liab 5-6'!F12</f>
        <v>0</v>
      </c>
      <c r="D156" s="2" t="str">
        <f t="shared" ca="1" si="1"/>
        <v>Error?</v>
      </c>
    </row>
    <row r="157" spans="1:4" x14ac:dyDescent="0.2">
      <c r="A157" s="5">
        <v>96</v>
      </c>
      <c r="B157" s="138">
        <f ca="1">'Assets-Liab 5-6'!F13</f>
        <v>586911</v>
      </c>
      <c r="C157" s="2" t="s">
        <v>573</v>
      </c>
      <c r="D157" s="2" t="str">
        <f t="shared" ca="1"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 ca="1">'Assets-Liab 5-6'!F31</f>
        <v>0</v>
      </c>
      <c r="D164" s="2" t="str">
        <f t="shared" ca="1" si="1"/>
        <v>Error?</v>
      </c>
    </row>
    <row r="165" spans="1:4" x14ac:dyDescent="0.2">
      <c r="A165" s="10">
        <v>104</v>
      </c>
      <c r="D165" s="2" t="str">
        <f t="shared" si="1"/>
        <v>OK</v>
      </c>
    </row>
    <row r="166" spans="1:4" x14ac:dyDescent="0.2">
      <c r="A166" s="5">
        <v>105</v>
      </c>
      <c r="B166" s="138">
        <f ca="1">'Assets-Liab 5-6'!F32</f>
        <v>0</v>
      </c>
      <c r="D166" s="2" t="str">
        <f t="shared" ca="1" si="1"/>
        <v>Error?</v>
      </c>
    </row>
    <row r="167" spans="1:4" x14ac:dyDescent="0.2">
      <c r="A167" s="10">
        <v>106</v>
      </c>
      <c r="D167" s="2" t="str">
        <f t="shared" si="1"/>
        <v>OK</v>
      </c>
    </row>
    <row r="168" spans="1:4" x14ac:dyDescent="0.2">
      <c r="A168" s="10">
        <v>107</v>
      </c>
      <c r="D168" s="2" t="str">
        <f t="shared" si="1"/>
        <v>OK</v>
      </c>
    </row>
    <row r="169" spans="1:4" x14ac:dyDescent="0.2">
      <c r="A169" s="5">
        <v>108</v>
      </c>
      <c r="B169" s="138">
        <f ca="1">'Assets-Liab 5-6'!F34</f>
        <v>0</v>
      </c>
      <c r="C169" s="2" t="s">
        <v>573</v>
      </c>
      <c r="D169" s="2" t="str">
        <f t="shared" ca="1" si="1"/>
        <v>Error?</v>
      </c>
    </row>
    <row r="170" spans="1:4" x14ac:dyDescent="0.2">
      <c r="A170" s="5">
        <v>109</v>
      </c>
      <c r="B170" s="138">
        <f>'Assets-Liab 5-6'!F39</f>
        <v>586911</v>
      </c>
      <c r="D170" s="2" t="str">
        <f t="shared" si="1"/>
        <v>Error?</v>
      </c>
    </row>
    <row r="171" spans="1:4" x14ac:dyDescent="0.2">
      <c r="A171" s="5">
        <v>110</v>
      </c>
      <c r="B171" s="138">
        <f ca="1">'Assets-Liab 5-6'!F41</f>
        <v>586911</v>
      </c>
      <c r="C171" s="2" t="s">
        <v>573</v>
      </c>
      <c r="D171" s="2" t="str">
        <f t="shared" ca="1" si="1"/>
        <v>Error?</v>
      </c>
    </row>
    <row r="172" spans="1:4" x14ac:dyDescent="0.2">
      <c r="A172" s="10">
        <v>111</v>
      </c>
      <c r="D172" s="2" t="str">
        <f t="shared" si="1"/>
        <v>OK</v>
      </c>
    </row>
    <row r="173" spans="1:4" x14ac:dyDescent="0.2">
      <c r="A173" s="5">
        <v>112</v>
      </c>
      <c r="B173" s="138">
        <f ca="1">'Assets-Liab 5-6'!G6</f>
        <v>0</v>
      </c>
      <c r="D173" s="2" t="str">
        <f t="shared" ca="1"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 ca="1">'Assets-Liab 5-6'!G5</f>
        <v>102107</v>
      </c>
      <c r="D177" s="2" t="str">
        <f t="shared" ca="1" si="1"/>
        <v>Error?</v>
      </c>
    </row>
    <row r="178" spans="1:4" x14ac:dyDescent="0.2">
      <c r="A178" s="10">
        <v>117</v>
      </c>
      <c r="D178" s="2" t="str">
        <f t="shared" si="1"/>
        <v>OK</v>
      </c>
    </row>
    <row r="179" spans="1:4" x14ac:dyDescent="0.2">
      <c r="A179" s="5">
        <v>118</v>
      </c>
      <c r="B179" s="138">
        <f ca="1">'Assets-Liab 5-6'!G12</f>
        <v>0</v>
      </c>
      <c r="D179" s="2" t="str">
        <f t="shared" ca="1" si="1"/>
        <v>Error?</v>
      </c>
    </row>
    <row r="180" spans="1:4" x14ac:dyDescent="0.2">
      <c r="A180" s="5">
        <v>119</v>
      </c>
      <c r="B180" s="138">
        <f ca="1">'Assets-Liab 5-6'!G13</f>
        <v>102107</v>
      </c>
      <c r="C180" s="2" t="s">
        <v>573</v>
      </c>
      <c r="D180" s="2" t="str">
        <f t="shared" ca="1"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 ca="1">'Assets-Liab 5-6'!G31</f>
        <v>0</v>
      </c>
      <c r="D184" s="2" t="str">
        <f t="shared" ca="1" si="1"/>
        <v>Error?</v>
      </c>
    </row>
    <row r="185" spans="1:4" x14ac:dyDescent="0.2">
      <c r="A185" s="5">
        <v>124</v>
      </c>
      <c r="B185" s="138">
        <f ca="1">'Assets-Liab 5-6'!G32</f>
        <v>0</v>
      </c>
      <c r="D185" s="2" t="str">
        <f t="shared" ca="1" si="1"/>
        <v>Error?</v>
      </c>
    </row>
    <row r="186" spans="1:4" x14ac:dyDescent="0.2">
      <c r="A186" s="10">
        <v>125</v>
      </c>
      <c r="D186" s="2" t="str">
        <f t="shared" si="1"/>
        <v>OK</v>
      </c>
    </row>
    <row r="187" spans="1:4" x14ac:dyDescent="0.2">
      <c r="A187" s="10">
        <v>126</v>
      </c>
      <c r="D187" s="2" t="str">
        <f t="shared" si="1"/>
        <v>OK</v>
      </c>
    </row>
    <row r="188" spans="1:4" x14ac:dyDescent="0.2">
      <c r="A188" s="5">
        <v>127</v>
      </c>
      <c r="B188" s="138">
        <f ca="1">'Assets-Liab 5-6'!G34</f>
        <v>37130</v>
      </c>
      <c r="C188" s="2" t="s">
        <v>573</v>
      </c>
      <c r="D188" s="2" t="str">
        <f t="shared" ca="1" si="1"/>
        <v>Error?</v>
      </c>
    </row>
    <row r="189" spans="1:4" x14ac:dyDescent="0.2">
      <c r="A189" s="5">
        <v>128</v>
      </c>
      <c r="B189" s="138">
        <f>'Assets-Liab 5-6'!G39</f>
        <v>41122</v>
      </c>
      <c r="D189" s="2" t="str">
        <f t="shared" si="1"/>
        <v>Error?</v>
      </c>
    </row>
    <row r="190" spans="1:4" x14ac:dyDescent="0.2">
      <c r="A190" s="5">
        <v>129</v>
      </c>
      <c r="B190" s="138">
        <f ca="1">'Assets-Liab 5-6'!G41</f>
        <v>102107</v>
      </c>
      <c r="C190" s="2" t="s">
        <v>573</v>
      </c>
      <c r="D190" s="2" t="str">
        <f t="shared" ca="1"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 ca="1">'Assets-Liab 5-6'!H10</f>
        <v>0</v>
      </c>
      <c r="D198" s="2" t="str">
        <f t="shared" ca="1" si="2"/>
        <v>Error?</v>
      </c>
    </row>
    <row r="199" spans="1:4" x14ac:dyDescent="0.2">
      <c r="A199" s="5">
        <v>138</v>
      </c>
      <c r="B199" s="138">
        <f ca="1">'Assets-Liab 5-6'!H5</f>
        <v>0</v>
      </c>
      <c r="D199" s="2" t="str">
        <f t="shared" ca="1" si="2"/>
        <v>Error?</v>
      </c>
    </row>
    <row r="200" spans="1:4" x14ac:dyDescent="0.2">
      <c r="A200" s="10">
        <v>139</v>
      </c>
      <c r="D200" s="2" t="str">
        <f t="shared" si="2"/>
        <v>OK</v>
      </c>
    </row>
    <row r="201" spans="1:4" x14ac:dyDescent="0.2">
      <c r="A201" s="10">
        <v>140</v>
      </c>
      <c r="D201" s="2" t="str">
        <f t="shared" si="2"/>
        <v>OK</v>
      </c>
    </row>
    <row r="202" spans="1:4" x14ac:dyDescent="0.2">
      <c r="A202" s="5">
        <v>141</v>
      </c>
      <c r="B202" s="138">
        <f ca="1">'Assets-Liab 5-6'!H12</f>
        <v>0</v>
      </c>
      <c r="D202" s="2" t="str">
        <f t="shared" ca="1" si="2"/>
        <v>Error?</v>
      </c>
    </row>
    <row r="203" spans="1:4" x14ac:dyDescent="0.2">
      <c r="A203" s="5">
        <v>142</v>
      </c>
      <c r="B203" s="138">
        <f ca="1">'Assets-Liab 5-6'!H13</f>
        <v>148455</v>
      </c>
      <c r="C203" s="2" t="s">
        <v>573</v>
      </c>
      <c r="D203" s="2" t="str">
        <f t="shared" ca="1" si="2"/>
        <v>Error?</v>
      </c>
    </row>
    <row r="204" spans="1:4" x14ac:dyDescent="0.2">
      <c r="A204" s="10">
        <v>143</v>
      </c>
      <c r="D204" s="2" t="str">
        <f t="shared" si="2"/>
        <v>OK</v>
      </c>
    </row>
    <row r="205" spans="1:4" x14ac:dyDescent="0.2">
      <c r="A205" s="10">
        <v>144</v>
      </c>
      <c r="D205" s="2" t="str">
        <f t="shared" si="2"/>
        <v>OK</v>
      </c>
    </row>
    <row r="206" spans="1:4" x14ac:dyDescent="0.2">
      <c r="A206" s="5">
        <v>145</v>
      </c>
      <c r="B206" s="138">
        <f ca="1">'Assets-Liab 5-6'!H31</f>
        <v>0</v>
      </c>
      <c r="D206" s="2" t="str">
        <f t="shared" ca="1" si="2"/>
        <v>Error?</v>
      </c>
    </row>
    <row r="207" spans="1:4" x14ac:dyDescent="0.2">
      <c r="A207" s="10">
        <v>146</v>
      </c>
      <c r="D207" s="2" t="str">
        <f t="shared" si="2"/>
        <v>OK</v>
      </c>
    </row>
    <row r="208" spans="1:4" x14ac:dyDescent="0.2">
      <c r="A208" s="5">
        <v>147</v>
      </c>
      <c r="B208" s="138">
        <f ca="1">'Assets-Liab 5-6'!H32</f>
        <v>0</v>
      </c>
      <c r="D208" s="2" t="str">
        <f t="shared" ca="1" si="2"/>
        <v>Error?</v>
      </c>
    </row>
    <row r="209" spans="1:4" x14ac:dyDescent="0.2">
      <c r="A209" s="10">
        <v>148</v>
      </c>
      <c r="D209" s="2" t="str">
        <f t="shared" si="2"/>
        <v>OK</v>
      </c>
    </row>
    <row r="210" spans="1:4" x14ac:dyDescent="0.2">
      <c r="A210" s="10">
        <v>149</v>
      </c>
      <c r="D210" s="2" t="str">
        <f t="shared" si="2"/>
        <v>OK</v>
      </c>
    </row>
    <row r="211" spans="1:4" x14ac:dyDescent="0.2">
      <c r="A211" s="5">
        <v>150</v>
      </c>
      <c r="B211" s="138">
        <f ca="1">'Assets-Liab 5-6'!H34</f>
        <v>0</v>
      </c>
      <c r="C211" s="2" t="s">
        <v>573</v>
      </c>
      <c r="D211" s="2" t="str">
        <f t="shared" ca="1" si="2"/>
        <v>Error?</v>
      </c>
    </row>
    <row r="212" spans="1:4" x14ac:dyDescent="0.2">
      <c r="A212" s="5">
        <v>151</v>
      </c>
      <c r="B212" s="138">
        <f>'Assets-Liab 5-6'!H39</f>
        <v>148455</v>
      </c>
      <c r="D212" s="2" t="str">
        <f t="shared" si="2"/>
        <v>Error?</v>
      </c>
    </row>
    <row r="213" spans="1:4" x14ac:dyDescent="0.2">
      <c r="A213" s="12">
        <v>152</v>
      </c>
      <c r="B213" s="138">
        <f ca="1">'Assets-Liab 5-6'!H41</f>
        <v>148455</v>
      </c>
      <c r="C213" s="2" t="s">
        <v>573</v>
      </c>
      <c r="D213" s="2" t="str">
        <f t="shared" ca="1"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166496</v>
      </c>
      <c r="D273" s="2" t="str">
        <f t="shared" si="3"/>
        <v>Error?</v>
      </c>
    </row>
    <row r="274" spans="1:4" x14ac:dyDescent="0.2">
      <c r="A274" s="5">
        <v>213</v>
      </c>
      <c r="B274" s="138">
        <f>'Assets-Liab 5-6'!M17</f>
        <v>2014086</v>
      </c>
      <c r="D274" s="2" t="str">
        <f t="shared" si="3"/>
        <v>Error?</v>
      </c>
    </row>
    <row r="275" spans="1:4" x14ac:dyDescent="0.2">
      <c r="A275" s="5">
        <v>214</v>
      </c>
      <c r="B275" s="138">
        <f>'Assets-Liab 5-6'!M18</f>
        <v>40937</v>
      </c>
      <c r="D275" s="2" t="str">
        <f t="shared" si="3"/>
        <v>Error?</v>
      </c>
    </row>
    <row r="276" spans="1:4" x14ac:dyDescent="0.2">
      <c r="A276" s="5">
        <v>215</v>
      </c>
      <c r="B276" s="138">
        <f>'Assets-Liab 5-6'!M19</f>
        <v>200675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2422194</v>
      </c>
      <c r="C279" s="2" t="s">
        <v>573</v>
      </c>
      <c r="D279" s="2" t="str">
        <f t="shared" si="3"/>
        <v>Error?</v>
      </c>
    </row>
    <row r="280" spans="1:4" x14ac:dyDescent="0.2">
      <c r="A280" s="5">
        <v>219</v>
      </c>
      <c r="B280" s="138">
        <f>'Assets-Liab 5-6'!M40</f>
        <v>2422194</v>
      </c>
      <c r="D280" s="2" t="str">
        <f t="shared" si="3"/>
        <v>Error?</v>
      </c>
    </row>
    <row r="281" spans="1:4" x14ac:dyDescent="0.2">
      <c r="A281" s="5">
        <v>220</v>
      </c>
      <c r="B281" s="138">
        <f>'Assets-Liab 5-6'!M41</f>
        <v>2422194</v>
      </c>
      <c r="C281" s="2" t="s">
        <v>573</v>
      </c>
      <c r="D281" s="2" t="str">
        <f t="shared" si="3"/>
        <v>Error?</v>
      </c>
    </row>
    <row r="282" spans="1:4" x14ac:dyDescent="0.2">
      <c r="A282" s="5">
        <v>221</v>
      </c>
      <c r="B282" s="138">
        <f>'Assets-Liab 5-6'!N21</f>
        <v>0</v>
      </c>
      <c r="D282" s="2" t="str">
        <f t="shared" si="3"/>
        <v>Error?</v>
      </c>
    </row>
    <row r="283" spans="1:4" x14ac:dyDescent="0.2">
      <c r="A283" s="5">
        <v>222</v>
      </c>
      <c r="B283" s="138">
        <f>'Assets-Liab 5-6'!N22</f>
        <v>43865</v>
      </c>
      <c r="D283" s="2" t="str">
        <f t="shared" si="3"/>
        <v>Error?</v>
      </c>
    </row>
    <row r="284" spans="1:4" x14ac:dyDescent="0.2">
      <c r="A284" s="5">
        <v>223</v>
      </c>
      <c r="B284" s="138">
        <f>'Assets-Liab 5-6'!N23</f>
        <v>43865</v>
      </c>
      <c r="C284" s="2" t="s">
        <v>573</v>
      </c>
      <c r="D284" s="2" t="str">
        <f t="shared" si="3"/>
        <v>Error?</v>
      </c>
    </row>
    <row r="285" spans="1:4" x14ac:dyDescent="0.2">
      <c r="A285" s="5">
        <v>224</v>
      </c>
      <c r="B285" s="138">
        <f>'Assets-Liab 5-6'!N36</f>
        <v>43865</v>
      </c>
      <c r="D285" s="2" t="str">
        <f t="shared" si="3"/>
        <v>Error?</v>
      </c>
    </row>
    <row r="286" spans="1:4" x14ac:dyDescent="0.2">
      <c r="A286" s="10">
        <v>225</v>
      </c>
      <c r="D286" s="2" t="str">
        <f t="shared" si="3"/>
        <v>OK</v>
      </c>
    </row>
    <row r="287" spans="1:4" x14ac:dyDescent="0.2">
      <c r="A287" s="5">
        <v>226</v>
      </c>
      <c r="B287" s="138">
        <f>'Assets-Liab 5-6'!N37</f>
        <v>43865</v>
      </c>
      <c r="C287" s="2" t="s">
        <v>573</v>
      </c>
      <c r="D287" s="2" t="str">
        <f t="shared" si="3"/>
        <v>Error?</v>
      </c>
    </row>
    <row r="288" spans="1:4" x14ac:dyDescent="0.2">
      <c r="A288" s="5">
        <v>227</v>
      </c>
      <c r="B288" s="138">
        <f>'Assets-Liab 5-6'!N41</f>
        <v>43865</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 ca="1">'Acct Summary 7-8'!C26</f>
        <v>0</v>
      </c>
      <c r="D321" s="2" t="str">
        <f t="shared" ca="1" si="4"/>
        <v>Error?</v>
      </c>
    </row>
    <row r="322" spans="1:4" x14ac:dyDescent="0.2">
      <c r="A322" s="10">
        <v>261</v>
      </c>
      <c r="D322" s="2" t="str">
        <f t="shared" si="4"/>
        <v>OK</v>
      </c>
    </row>
    <row r="323" spans="1:4" x14ac:dyDescent="0.2">
      <c r="A323" s="5">
        <v>262</v>
      </c>
      <c r="B323" s="138">
        <f ca="1">'Acct Summary 7-8'!C33</f>
        <v>0</v>
      </c>
      <c r="D323" s="2" t="str">
        <f t="shared" ca="1" si="4"/>
        <v>Error?</v>
      </c>
    </row>
    <row r="324" spans="1:4" x14ac:dyDescent="0.2">
      <c r="A324" s="5">
        <v>263</v>
      </c>
      <c r="B324" s="138">
        <f ca="1">'Acct Summary 7-8'!C34</f>
        <v>0</v>
      </c>
      <c r="D324" s="2" t="str">
        <f t="shared" ca="1" si="4"/>
        <v>Error?</v>
      </c>
    </row>
    <row r="325" spans="1:4" x14ac:dyDescent="0.2">
      <c r="A325" s="5">
        <v>264</v>
      </c>
      <c r="B325" s="138">
        <f ca="1">'Acct Summary 7-8'!C35</f>
        <v>0</v>
      </c>
      <c r="D325" s="2" t="str">
        <f t="shared" ca="1"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 ca="1">'Acct Summary 7-8'!D26</f>
        <v>0</v>
      </c>
      <c r="D432" s="2" t="str">
        <f t="shared" ca="1"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 ca="1">'Acct Summary 7-8'!E34</f>
        <v>0</v>
      </c>
      <c r="D500" s="2" t="str">
        <f t="shared" ca="1" si="6"/>
        <v>Error?</v>
      </c>
    </row>
    <row r="501" spans="1:4" x14ac:dyDescent="0.2">
      <c r="A501" s="5">
        <v>440</v>
      </c>
      <c r="B501" s="138">
        <f ca="1">'Acct Summary 7-8'!E35</f>
        <v>0</v>
      </c>
      <c r="D501" s="2" t="str">
        <f t="shared" ca="1"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 ca="1">'Acct Summary 7-8'!H33</f>
        <v>0</v>
      </c>
      <c r="D618" s="2" t="str">
        <f t="shared" ca="1" si="8"/>
        <v>Error?</v>
      </c>
    </row>
    <row r="619" spans="1:4" x14ac:dyDescent="0.2">
      <c r="A619" s="5">
        <v>558</v>
      </c>
      <c r="B619" s="138">
        <f ca="1">'Acct Summary 7-8'!H34</f>
        <v>0</v>
      </c>
      <c r="D619" s="2" t="str">
        <f t="shared" ca="1" si="8"/>
        <v>Error?</v>
      </c>
    </row>
    <row r="620" spans="1:4" x14ac:dyDescent="0.2">
      <c r="A620" s="5">
        <v>559</v>
      </c>
      <c r="B620" s="138">
        <f ca="1">'Acct Summary 7-8'!H35</f>
        <v>0</v>
      </c>
      <c r="D620" s="2" t="str">
        <f t="shared" ca="1"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 ca="1">'Acct Summary 7-8'!I33</f>
        <v>0</v>
      </c>
      <c r="D651" s="2" t="str">
        <f t="shared" ca="1" si="9"/>
        <v>Error?</v>
      </c>
    </row>
    <row r="652" spans="1:4" x14ac:dyDescent="0.2">
      <c r="A652" s="5">
        <v>591</v>
      </c>
      <c r="B652" s="138">
        <f ca="1">'Acct Summary 7-8'!I34</f>
        <v>0</v>
      </c>
      <c r="D652" s="2" t="str">
        <f t="shared" ca="1" si="9"/>
        <v>Error?</v>
      </c>
    </row>
    <row r="653" spans="1:4" x14ac:dyDescent="0.2">
      <c r="A653" s="5">
        <v>592</v>
      </c>
      <c r="B653" s="138">
        <f ca="1">'Acct Summary 7-8'!I35</f>
        <v>0</v>
      </c>
      <c r="D653" s="2" t="str">
        <f t="shared" ca="1"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 ca="1">'Expenditures 15-22'!C5</f>
        <v>569426</v>
      </c>
      <c r="D705" s="2" t="str">
        <f t="shared" ca="1" si="10"/>
        <v>Error?</v>
      </c>
    </row>
    <row r="706" spans="1:4" x14ac:dyDescent="0.2">
      <c r="A706" s="5">
        <v>645</v>
      </c>
      <c r="B706" s="138">
        <f ca="1">'Expenditures 15-22'!C16</f>
        <v>0</v>
      </c>
      <c r="D706" s="2" t="str">
        <f t="shared" ca="1"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 ca="1">'Expenditures 15-22'!C18</f>
        <v>0</v>
      </c>
      <c r="D712" s="2" t="str">
        <f t="shared" ca="1"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 ca="1">'Expenditures 15-22'!C12</f>
        <v>0</v>
      </c>
      <c r="D716" s="2" t="str">
        <f t="shared" ca="1" si="10"/>
        <v>Error?</v>
      </c>
    </row>
    <row r="717" spans="1:4" x14ac:dyDescent="0.2">
      <c r="A717" s="5">
        <v>656</v>
      </c>
      <c r="B717" s="138">
        <f ca="1">'Expenditures 15-22'!C13</f>
        <v>0</v>
      </c>
      <c r="D717" s="2" t="str">
        <f t="shared" ca="1" si="10"/>
        <v>Error?</v>
      </c>
    </row>
    <row r="718" spans="1:4" x14ac:dyDescent="0.2">
      <c r="A718" s="5">
        <v>657</v>
      </c>
      <c r="B718" s="138">
        <f ca="1">'Expenditures 15-22'!C14</f>
        <v>24985</v>
      </c>
      <c r="D718" s="2" t="str">
        <f t="shared" ca="1" si="10"/>
        <v>Error?</v>
      </c>
    </row>
    <row r="719" spans="1:4" x14ac:dyDescent="0.2">
      <c r="A719" s="5">
        <v>658</v>
      </c>
      <c r="B719" s="138">
        <f ca="1">'Expenditures 15-22'!C15</f>
        <v>0</v>
      </c>
      <c r="D719" s="2" t="str">
        <f t="shared" ca="1" si="10"/>
        <v>Error?</v>
      </c>
    </row>
    <row r="720" spans="1:4" x14ac:dyDescent="0.2">
      <c r="A720" s="5">
        <v>659</v>
      </c>
      <c r="B720" s="138">
        <f ca="1">'Expenditures 15-22'!C33</f>
        <v>760932</v>
      </c>
      <c r="C720" s="2" t="s">
        <v>573</v>
      </c>
      <c r="D720" s="2" t="str">
        <f t="shared" ca="1" si="10"/>
        <v>Error?</v>
      </c>
    </row>
    <row r="721" spans="1:4" x14ac:dyDescent="0.2">
      <c r="A721" s="5">
        <v>660</v>
      </c>
      <c r="B721" s="138">
        <f ca="1">'Expenditures 15-22'!C36</f>
        <v>0</v>
      </c>
      <c r="D721" s="2" t="str">
        <f t="shared" ca="1" si="10"/>
        <v>Error?</v>
      </c>
    </row>
    <row r="722" spans="1:4" x14ac:dyDescent="0.2">
      <c r="A722" s="5">
        <v>661</v>
      </c>
      <c r="B722" s="138">
        <f ca="1">'Expenditures 15-22'!C37</f>
        <v>0</v>
      </c>
      <c r="D722" s="2" t="str">
        <f t="shared" ca="1" si="10"/>
        <v>Error?</v>
      </c>
    </row>
    <row r="723" spans="1:4" x14ac:dyDescent="0.2">
      <c r="A723" s="5">
        <v>662</v>
      </c>
      <c r="B723" s="138">
        <f ca="1">'Expenditures 15-22'!C38</f>
        <v>0</v>
      </c>
      <c r="D723" s="2" t="str">
        <f t="shared" ca="1" si="10"/>
        <v>Error?</v>
      </c>
    </row>
    <row r="724" spans="1:4" x14ac:dyDescent="0.2">
      <c r="A724" s="5">
        <v>663</v>
      </c>
      <c r="B724" s="138">
        <f ca="1">'Expenditures 15-22'!C39</f>
        <v>0</v>
      </c>
      <c r="D724" s="2" t="str">
        <f t="shared" ca="1" si="10"/>
        <v>Error?</v>
      </c>
    </row>
    <row r="725" spans="1:4" x14ac:dyDescent="0.2">
      <c r="A725" s="5">
        <v>664</v>
      </c>
      <c r="B725" s="138">
        <f ca="1">'Expenditures 15-22'!C40</f>
        <v>0</v>
      </c>
      <c r="D725" s="2" t="str">
        <f t="shared" ca="1" si="10"/>
        <v>Error?</v>
      </c>
    </row>
    <row r="726" spans="1:4" x14ac:dyDescent="0.2">
      <c r="A726" s="5">
        <v>665</v>
      </c>
      <c r="B726" s="138">
        <f ca="1">'Expenditures 15-22'!C41</f>
        <v>0</v>
      </c>
      <c r="D726" s="2" t="str">
        <f t="shared" ca="1" si="10"/>
        <v>Error?</v>
      </c>
    </row>
    <row r="727" spans="1:4" x14ac:dyDescent="0.2">
      <c r="A727" s="5">
        <v>666</v>
      </c>
      <c r="B727" s="138">
        <f ca="1">'Expenditures 15-22'!C42</f>
        <v>0</v>
      </c>
      <c r="C727" s="2" t="s">
        <v>573</v>
      </c>
      <c r="D727" s="2" t="str">
        <f t="shared" ca="1" si="10"/>
        <v>Error?</v>
      </c>
    </row>
    <row r="728" spans="1:4" x14ac:dyDescent="0.2">
      <c r="A728" s="5">
        <v>667</v>
      </c>
      <c r="B728" s="138">
        <f ca="1">'Expenditures 15-22'!C44</f>
        <v>0</v>
      </c>
      <c r="D728" s="2" t="str">
        <f t="shared" ca="1" si="10"/>
        <v>Error?</v>
      </c>
    </row>
    <row r="729" spans="1:4" x14ac:dyDescent="0.2">
      <c r="A729" s="5">
        <v>668</v>
      </c>
      <c r="B729" s="138">
        <f ca="1">'Expenditures 15-22'!C45</f>
        <v>123</v>
      </c>
      <c r="D729" s="2" t="str">
        <f t="shared" ca="1" si="10"/>
        <v>Error?</v>
      </c>
    </row>
    <row r="730" spans="1:4" x14ac:dyDescent="0.2">
      <c r="A730" s="5">
        <v>669</v>
      </c>
      <c r="B730" s="138">
        <f ca="1">'Expenditures 15-22'!C46</f>
        <v>0</v>
      </c>
      <c r="D730" s="2" t="str">
        <f t="shared" ca="1" si="10"/>
        <v>Error?</v>
      </c>
    </row>
    <row r="731" spans="1:4" x14ac:dyDescent="0.2">
      <c r="A731" s="5">
        <v>670</v>
      </c>
      <c r="B731" s="138">
        <f ca="1">'Expenditures 15-22'!C47</f>
        <v>123</v>
      </c>
      <c r="C731" s="2" t="s">
        <v>573</v>
      </c>
      <c r="D731" s="2" t="str">
        <f t="shared" ca="1" si="10"/>
        <v>Error?</v>
      </c>
    </row>
    <row r="732" spans="1:4" x14ac:dyDescent="0.2">
      <c r="A732" s="5">
        <v>671</v>
      </c>
      <c r="B732" s="138">
        <f ca="1">'Expenditures 15-22'!C49</f>
        <v>3003</v>
      </c>
      <c r="D732" s="2" t="str">
        <f t="shared" ca="1" si="10"/>
        <v>Error?</v>
      </c>
    </row>
    <row r="733" spans="1:4" x14ac:dyDescent="0.2">
      <c r="A733" s="5">
        <v>672</v>
      </c>
      <c r="B733" s="138">
        <f ca="1">'Expenditures 15-22'!C50</f>
        <v>125404</v>
      </c>
      <c r="D733" s="2" t="str">
        <f t="shared" ca="1" si="10"/>
        <v>Error?</v>
      </c>
    </row>
    <row r="734" spans="1:4" x14ac:dyDescent="0.2">
      <c r="A734" s="5">
        <v>673</v>
      </c>
      <c r="B734" s="138">
        <f ca="1">'Expenditures 15-22'!C53</f>
        <v>128407</v>
      </c>
      <c r="C734" s="2" t="s">
        <v>573</v>
      </c>
      <c r="D734" s="2" t="str">
        <f t="shared" ca="1" si="10"/>
        <v>Error?</v>
      </c>
    </row>
    <row r="735" spans="1:4" x14ac:dyDescent="0.2">
      <c r="A735" s="5">
        <v>674</v>
      </c>
      <c r="B735" s="138">
        <f ca="1">'Expenditures 15-22'!C55</f>
        <v>90051</v>
      </c>
      <c r="D735" s="2" t="str">
        <f t="shared" ca="1" si="10"/>
        <v>Error?</v>
      </c>
    </row>
    <row r="736" spans="1:4" x14ac:dyDescent="0.2">
      <c r="A736" s="5">
        <v>675</v>
      </c>
      <c r="B736" s="138">
        <f ca="1">'Expenditures 15-22'!C56</f>
        <v>0</v>
      </c>
      <c r="D736" s="2" t="str">
        <f t="shared" ca="1" si="10"/>
        <v>Error?</v>
      </c>
    </row>
    <row r="737" spans="1:4" x14ac:dyDescent="0.2">
      <c r="A737" s="5">
        <v>676</v>
      </c>
      <c r="B737" s="138">
        <f ca="1">'Expenditures 15-22'!C57</f>
        <v>90051</v>
      </c>
      <c r="C737" s="2" t="s">
        <v>573</v>
      </c>
      <c r="D737" s="2" t="str">
        <f t="shared" ca="1" si="10"/>
        <v>Error?</v>
      </c>
    </row>
    <row r="738" spans="1:4" x14ac:dyDescent="0.2">
      <c r="A738" s="5">
        <v>677</v>
      </c>
      <c r="B738" s="138">
        <f ca="1">'Expenditures 15-22'!C59</f>
        <v>0</v>
      </c>
      <c r="D738" s="2" t="str">
        <f t="shared" ca="1" si="10"/>
        <v>Error?</v>
      </c>
    </row>
    <row r="739" spans="1:4" x14ac:dyDescent="0.2">
      <c r="A739" s="5">
        <v>678</v>
      </c>
      <c r="B739" s="138">
        <f ca="1">'Expenditures 15-22'!C60</f>
        <v>33219</v>
      </c>
      <c r="D739" s="2" t="str">
        <f t="shared" ca="1" si="10"/>
        <v>Error?</v>
      </c>
    </row>
    <row r="740" spans="1:4" x14ac:dyDescent="0.2">
      <c r="A740" s="5">
        <v>679</v>
      </c>
      <c r="B740" s="138">
        <f ca="1">'Expenditures 15-22'!C61</f>
        <v>0</v>
      </c>
      <c r="D740" s="2" t="str">
        <f t="shared" ca="1" si="10"/>
        <v>Error?</v>
      </c>
    </row>
    <row r="741" spans="1:4" x14ac:dyDescent="0.2">
      <c r="A741" s="5">
        <v>680</v>
      </c>
      <c r="B741" s="138">
        <f ca="1">'Expenditures 15-22'!C62</f>
        <v>0</v>
      </c>
      <c r="D741" s="2" t="str">
        <f t="shared" ca="1" si="10"/>
        <v>Error?</v>
      </c>
    </row>
    <row r="742" spans="1:4" x14ac:dyDescent="0.2">
      <c r="A742" s="5">
        <v>681</v>
      </c>
      <c r="B742" s="138">
        <f ca="1">'Expenditures 15-22'!C63</f>
        <v>29355</v>
      </c>
      <c r="D742" s="2" t="str">
        <f t="shared" ca="1" si="10"/>
        <v>Error?</v>
      </c>
    </row>
    <row r="743" spans="1:4" x14ac:dyDescent="0.2">
      <c r="A743" s="5">
        <v>682</v>
      </c>
      <c r="B743" s="138">
        <f ca="1">'Expenditures 15-22'!C64</f>
        <v>0</v>
      </c>
      <c r="D743" s="2" t="str">
        <f t="shared" ca="1" si="10"/>
        <v>Error?</v>
      </c>
    </row>
    <row r="744" spans="1:4" x14ac:dyDescent="0.2">
      <c r="A744" s="10">
        <v>683</v>
      </c>
      <c r="D744" s="2" t="str">
        <f t="shared" si="10"/>
        <v>OK</v>
      </c>
    </row>
    <row r="745" spans="1:4" x14ac:dyDescent="0.2">
      <c r="A745" s="5">
        <v>684</v>
      </c>
      <c r="B745" s="138">
        <f ca="1">'Expenditures 15-22'!C65</f>
        <v>62574</v>
      </c>
      <c r="C745" s="2" t="s">
        <v>573</v>
      </c>
      <c r="D745" s="2" t="str">
        <f t="shared" ca="1" si="10"/>
        <v>Error?</v>
      </c>
    </row>
    <row r="746" spans="1:4" x14ac:dyDescent="0.2">
      <c r="A746" s="5">
        <v>685</v>
      </c>
      <c r="B746" s="138">
        <f ca="1">'Expenditures 15-22'!C67</f>
        <v>0</v>
      </c>
      <c r="D746" s="2" t="str">
        <f t="shared" ca="1" si="10"/>
        <v>Error?</v>
      </c>
    </row>
    <row r="747" spans="1:4" x14ac:dyDescent="0.2">
      <c r="A747" s="5">
        <v>686</v>
      </c>
      <c r="B747" s="138">
        <f ca="1">'Expenditures 15-22'!C68</f>
        <v>0</v>
      </c>
      <c r="D747" s="2" t="str">
        <f t="shared" ca="1" si="10"/>
        <v>Error?</v>
      </c>
    </row>
    <row r="748" spans="1:4" x14ac:dyDescent="0.2">
      <c r="A748" s="5">
        <v>687</v>
      </c>
      <c r="B748" s="138">
        <f ca="1">'Expenditures 15-22'!C69</f>
        <v>0</v>
      </c>
      <c r="D748" s="2" t="str">
        <f t="shared" ca="1" si="10"/>
        <v>Error?</v>
      </c>
    </row>
    <row r="749" spans="1:4" x14ac:dyDescent="0.2">
      <c r="A749" s="5">
        <v>688</v>
      </c>
      <c r="B749" s="138">
        <f ca="1">'Expenditures 15-22'!C70</f>
        <v>0</v>
      </c>
      <c r="D749" s="2" t="str">
        <f t="shared" ca="1" si="10"/>
        <v>Error?</v>
      </c>
    </row>
    <row r="750" spans="1:4" x14ac:dyDescent="0.2">
      <c r="A750" s="10">
        <v>689</v>
      </c>
      <c r="D750" s="2" t="str">
        <f t="shared" si="10"/>
        <v>OK</v>
      </c>
    </row>
    <row r="751" spans="1:4" x14ac:dyDescent="0.2">
      <c r="A751" s="5">
        <v>690</v>
      </c>
      <c r="B751" s="138">
        <f ca="1">'Expenditures 15-22'!C71</f>
        <v>0</v>
      </c>
      <c r="D751" s="2" t="str">
        <f t="shared" ca="1" si="10"/>
        <v>Error?</v>
      </c>
    </row>
    <row r="752" spans="1:4" x14ac:dyDescent="0.2">
      <c r="A752" s="10">
        <v>691</v>
      </c>
      <c r="D752" s="2" t="str">
        <f t="shared" si="10"/>
        <v>OK</v>
      </c>
    </row>
    <row r="753" spans="1:4" x14ac:dyDescent="0.2">
      <c r="A753" s="5">
        <v>692</v>
      </c>
      <c r="B753" s="138">
        <f ca="1">'Expenditures 15-22'!C72</f>
        <v>0</v>
      </c>
      <c r="C753" s="2" t="s">
        <v>573</v>
      </c>
      <c r="D753" s="2" t="str">
        <f t="shared" ca="1" si="10"/>
        <v>Error?</v>
      </c>
    </row>
    <row r="754" spans="1:4" x14ac:dyDescent="0.2">
      <c r="A754" s="5">
        <v>693</v>
      </c>
      <c r="B754" s="138">
        <f ca="1">'Expenditures 15-22'!C73</f>
        <v>0</v>
      </c>
      <c r="D754" s="2" t="str">
        <f t="shared" ca="1" si="10"/>
        <v>Error?</v>
      </c>
    </row>
    <row r="755" spans="1:4" x14ac:dyDescent="0.2">
      <c r="A755" s="5">
        <v>694</v>
      </c>
      <c r="B755" s="138">
        <f ca="1">'Expenditures 15-22'!C74</f>
        <v>281155</v>
      </c>
      <c r="C755" s="2" t="s">
        <v>573</v>
      </c>
      <c r="D755" s="2" t="str">
        <f t="shared" ca="1" si="10"/>
        <v>Error?</v>
      </c>
    </row>
    <row r="756" spans="1:4" x14ac:dyDescent="0.2">
      <c r="A756" s="5">
        <v>695</v>
      </c>
      <c r="B756" s="138">
        <f ca="1">'Expenditures 15-22'!C75</f>
        <v>0</v>
      </c>
      <c r="D756" s="2" t="str">
        <f t="shared" ca="1" si="10"/>
        <v>Error?</v>
      </c>
    </row>
    <row r="757" spans="1:4" x14ac:dyDescent="0.2">
      <c r="A757" s="5">
        <v>696</v>
      </c>
      <c r="B757" s="138">
        <f ca="1">'Expenditures 15-22'!C114</f>
        <v>1042087</v>
      </c>
      <c r="C757" s="2" t="s">
        <v>573</v>
      </c>
      <c r="D757" s="2" t="str">
        <f t="shared" ca="1"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 ca="1">'Expenditures 15-22'!D5</f>
        <v>81036</v>
      </c>
      <c r="D763" s="2" t="str">
        <f t="shared" ca="1" si="10"/>
        <v>Error?</v>
      </c>
    </row>
    <row r="764" spans="1:4" x14ac:dyDescent="0.2">
      <c r="A764" s="5">
        <v>703</v>
      </c>
      <c r="B764" s="138">
        <f ca="1">'Expenditures 15-22'!D16</f>
        <v>0</v>
      </c>
      <c r="D764" s="2" t="str">
        <f t="shared" ca="1"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 ca="1">'Expenditures 15-22'!D18</f>
        <v>0</v>
      </c>
      <c r="D770" s="2" t="str">
        <f t="shared" ca="1"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 ca="1">'Expenditures 15-22'!D12</f>
        <v>0</v>
      </c>
      <c r="D774" s="2" t="str">
        <f t="shared" ca="1" si="11"/>
        <v>Error?</v>
      </c>
    </row>
    <row r="775" spans="1:4" x14ac:dyDescent="0.2">
      <c r="A775" s="5">
        <v>714</v>
      </c>
      <c r="B775" s="138">
        <f ca="1">'Expenditures 15-22'!D13</f>
        <v>0</v>
      </c>
      <c r="D775" s="2" t="str">
        <f t="shared" ca="1" si="11"/>
        <v>Error?</v>
      </c>
    </row>
    <row r="776" spans="1:4" x14ac:dyDescent="0.2">
      <c r="A776" s="5">
        <v>715</v>
      </c>
      <c r="B776" s="138">
        <f ca="1">'Expenditures 15-22'!D14</f>
        <v>239</v>
      </c>
      <c r="D776" s="2" t="str">
        <f t="shared" ca="1" si="11"/>
        <v>Error?</v>
      </c>
    </row>
    <row r="777" spans="1:4" x14ac:dyDescent="0.2">
      <c r="A777" s="5">
        <v>716</v>
      </c>
      <c r="B777" s="138">
        <f ca="1">'Expenditures 15-22'!D15</f>
        <v>0</v>
      </c>
      <c r="D777" s="2" t="str">
        <f t="shared" ca="1" si="11"/>
        <v>Error?</v>
      </c>
    </row>
    <row r="778" spans="1:4" x14ac:dyDescent="0.2">
      <c r="A778" s="5">
        <v>717</v>
      </c>
      <c r="B778" s="138">
        <f ca="1">'Expenditures 15-22'!D33</f>
        <v>109064</v>
      </c>
      <c r="C778" s="2" t="s">
        <v>573</v>
      </c>
      <c r="D778" s="2" t="str">
        <f t="shared" ca="1" si="11"/>
        <v>Error?</v>
      </c>
    </row>
    <row r="779" spans="1:4" x14ac:dyDescent="0.2">
      <c r="A779" s="5">
        <v>718</v>
      </c>
      <c r="B779" s="138">
        <f ca="1">'Expenditures 15-22'!D36</f>
        <v>0</v>
      </c>
      <c r="D779" s="2" t="str">
        <f t="shared" ca="1" si="11"/>
        <v>Error?</v>
      </c>
    </row>
    <row r="780" spans="1:4" x14ac:dyDescent="0.2">
      <c r="A780" s="5">
        <v>719</v>
      </c>
      <c r="B780" s="138">
        <f ca="1">'Expenditures 15-22'!D37</f>
        <v>0</v>
      </c>
      <c r="D780" s="2" t="str">
        <f t="shared" ca="1" si="11"/>
        <v>Error?</v>
      </c>
    </row>
    <row r="781" spans="1:4" x14ac:dyDescent="0.2">
      <c r="A781" s="5">
        <v>720</v>
      </c>
      <c r="B781" s="138">
        <f ca="1">'Expenditures 15-22'!D38</f>
        <v>0</v>
      </c>
      <c r="D781" s="2" t="str">
        <f t="shared" ca="1" si="11"/>
        <v>Error?</v>
      </c>
    </row>
    <row r="782" spans="1:4" x14ac:dyDescent="0.2">
      <c r="A782" s="5">
        <v>721</v>
      </c>
      <c r="B782" s="138">
        <f ca="1">'Expenditures 15-22'!D39</f>
        <v>0</v>
      </c>
      <c r="D782" s="2" t="str">
        <f t="shared" ca="1" si="11"/>
        <v>Error?</v>
      </c>
    </row>
    <row r="783" spans="1:4" x14ac:dyDescent="0.2">
      <c r="A783" s="5">
        <v>722</v>
      </c>
      <c r="B783" s="138">
        <f ca="1">'Expenditures 15-22'!D40</f>
        <v>0</v>
      </c>
      <c r="D783" s="2" t="str">
        <f t="shared" ca="1" si="11"/>
        <v>Error?</v>
      </c>
    </row>
    <row r="784" spans="1:4" x14ac:dyDescent="0.2">
      <c r="A784" s="5">
        <v>723</v>
      </c>
      <c r="B784" s="138">
        <f ca="1">'Expenditures 15-22'!D41</f>
        <v>0</v>
      </c>
      <c r="D784" s="2" t="str">
        <f t="shared" ca="1" si="11"/>
        <v>Error?</v>
      </c>
    </row>
    <row r="785" spans="1:4" x14ac:dyDescent="0.2">
      <c r="A785" s="5">
        <v>724</v>
      </c>
      <c r="B785" s="138">
        <f ca="1">'Expenditures 15-22'!D42</f>
        <v>0</v>
      </c>
      <c r="C785" s="2" t="s">
        <v>573</v>
      </c>
      <c r="D785" s="2" t="str">
        <f t="shared" ca="1" si="11"/>
        <v>Error?</v>
      </c>
    </row>
    <row r="786" spans="1:4" x14ac:dyDescent="0.2">
      <c r="A786" s="5">
        <v>725</v>
      </c>
      <c r="B786" s="138">
        <f ca="1">'Expenditures 15-22'!D44</f>
        <v>0</v>
      </c>
      <c r="D786" s="2" t="str">
        <f t="shared" ca="1" si="11"/>
        <v>Error?</v>
      </c>
    </row>
    <row r="787" spans="1:4" x14ac:dyDescent="0.2">
      <c r="A787" s="5">
        <v>726</v>
      </c>
      <c r="B787" s="138">
        <f ca="1">'Expenditures 15-22'!D45</f>
        <v>0</v>
      </c>
      <c r="D787" s="2" t="str">
        <f t="shared" ca="1" si="11"/>
        <v>Error?</v>
      </c>
    </row>
    <row r="788" spans="1:4" x14ac:dyDescent="0.2">
      <c r="A788" s="5">
        <v>727</v>
      </c>
      <c r="B788" s="138">
        <f ca="1">'Expenditures 15-22'!D46</f>
        <v>0</v>
      </c>
      <c r="D788" s="2" t="str">
        <f t="shared" ca="1" si="11"/>
        <v>Error?</v>
      </c>
    </row>
    <row r="789" spans="1:4" x14ac:dyDescent="0.2">
      <c r="A789" s="5">
        <v>728</v>
      </c>
      <c r="B789" s="138">
        <f ca="1">'Expenditures 15-22'!D47</f>
        <v>0</v>
      </c>
      <c r="C789" s="2" t="s">
        <v>573</v>
      </c>
      <c r="D789" s="2" t="str">
        <f t="shared" ca="1" si="11"/>
        <v>Error?</v>
      </c>
    </row>
    <row r="790" spans="1:4" x14ac:dyDescent="0.2">
      <c r="A790" s="5">
        <v>729</v>
      </c>
      <c r="B790" s="138">
        <f ca="1">'Expenditures 15-22'!D49</f>
        <v>74</v>
      </c>
      <c r="D790" s="2" t="str">
        <f t="shared" ca="1" si="11"/>
        <v>Error?</v>
      </c>
    </row>
    <row r="791" spans="1:4" x14ac:dyDescent="0.2">
      <c r="A791" s="5">
        <v>730</v>
      </c>
      <c r="B791" s="138">
        <f ca="1">'Expenditures 15-22'!D50</f>
        <v>10784</v>
      </c>
      <c r="D791" s="2" t="str">
        <f t="shared" ca="1" si="11"/>
        <v>Error?</v>
      </c>
    </row>
    <row r="792" spans="1:4" x14ac:dyDescent="0.2">
      <c r="A792" s="5">
        <v>731</v>
      </c>
      <c r="B792" s="138">
        <f ca="1">'Expenditures 15-22'!D53</f>
        <v>10858</v>
      </c>
      <c r="C792" s="2" t="s">
        <v>573</v>
      </c>
      <c r="D792" s="2" t="str">
        <f t="shared" ca="1" si="11"/>
        <v>Error?</v>
      </c>
    </row>
    <row r="793" spans="1:4" x14ac:dyDescent="0.2">
      <c r="A793" s="5">
        <v>732</v>
      </c>
      <c r="B793" s="138">
        <f ca="1">'Expenditures 15-22'!D55</f>
        <v>9204</v>
      </c>
      <c r="D793" s="2" t="str">
        <f t="shared" ca="1" si="11"/>
        <v>Error?</v>
      </c>
    </row>
    <row r="794" spans="1:4" x14ac:dyDescent="0.2">
      <c r="A794" s="5">
        <v>733</v>
      </c>
      <c r="B794" s="138">
        <f ca="1">'Expenditures 15-22'!D56</f>
        <v>0</v>
      </c>
      <c r="D794" s="2" t="str">
        <f t="shared" ca="1" si="11"/>
        <v>Error?</v>
      </c>
    </row>
    <row r="795" spans="1:4" x14ac:dyDescent="0.2">
      <c r="A795" s="5">
        <v>734</v>
      </c>
      <c r="B795" s="138">
        <f ca="1">'Expenditures 15-22'!D57</f>
        <v>9204</v>
      </c>
      <c r="C795" s="2" t="s">
        <v>573</v>
      </c>
      <c r="D795" s="2" t="str">
        <f t="shared" ca="1" si="11"/>
        <v>Error?</v>
      </c>
    </row>
    <row r="796" spans="1:4" x14ac:dyDescent="0.2">
      <c r="A796" s="5">
        <v>735</v>
      </c>
      <c r="B796" s="138">
        <f ca="1">'Expenditures 15-22'!D59</f>
        <v>0</v>
      </c>
      <c r="D796" s="2" t="str">
        <f t="shared" ca="1" si="11"/>
        <v>Error?</v>
      </c>
    </row>
    <row r="797" spans="1:4" x14ac:dyDescent="0.2">
      <c r="A797" s="5">
        <v>736</v>
      </c>
      <c r="B797" s="138">
        <f ca="1">'Expenditures 15-22'!D60</f>
        <v>4334</v>
      </c>
      <c r="D797" s="2" t="str">
        <f t="shared" ca="1" si="11"/>
        <v>Error?</v>
      </c>
    </row>
    <row r="798" spans="1:4" x14ac:dyDescent="0.2">
      <c r="A798" s="5">
        <v>737</v>
      </c>
      <c r="B798" s="138">
        <f ca="1">'Expenditures 15-22'!D61</f>
        <v>0</v>
      </c>
      <c r="D798" s="2" t="str">
        <f t="shared" ca="1" si="11"/>
        <v>Error?</v>
      </c>
    </row>
    <row r="799" spans="1:4" x14ac:dyDescent="0.2">
      <c r="A799" s="5">
        <v>738</v>
      </c>
      <c r="B799" s="138">
        <f ca="1">'Expenditures 15-22'!D62</f>
        <v>0</v>
      </c>
      <c r="D799" s="2" t="str">
        <f t="shared" ca="1" si="11"/>
        <v>Error?</v>
      </c>
    </row>
    <row r="800" spans="1:4" x14ac:dyDescent="0.2">
      <c r="A800" s="5">
        <v>739</v>
      </c>
      <c r="B800" s="138">
        <f ca="1">'Expenditures 15-22'!D63</f>
        <v>40</v>
      </c>
      <c r="D800" s="2" t="str">
        <f t="shared" ca="1" si="11"/>
        <v>Error?</v>
      </c>
    </row>
    <row r="801" spans="1:4" x14ac:dyDescent="0.2">
      <c r="A801" s="5">
        <v>740</v>
      </c>
      <c r="B801" s="138">
        <f ca="1">'Expenditures 15-22'!D64</f>
        <v>0</v>
      </c>
      <c r="D801" s="2" t="str">
        <f t="shared" ca="1" si="11"/>
        <v>Error?</v>
      </c>
    </row>
    <row r="802" spans="1:4" x14ac:dyDescent="0.2">
      <c r="A802" s="10">
        <v>741</v>
      </c>
      <c r="D802" s="2" t="str">
        <f t="shared" si="11"/>
        <v>OK</v>
      </c>
    </row>
    <row r="803" spans="1:4" x14ac:dyDescent="0.2">
      <c r="A803" s="5">
        <v>742</v>
      </c>
      <c r="B803" s="138">
        <f ca="1">'Expenditures 15-22'!D65</f>
        <v>4374</v>
      </c>
      <c r="C803" s="2" t="s">
        <v>573</v>
      </c>
      <c r="D803" s="2" t="str">
        <f t="shared" ca="1" si="11"/>
        <v>Error?</v>
      </c>
    </row>
    <row r="804" spans="1:4" x14ac:dyDescent="0.2">
      <c r="A804" s="5">
        <v>743</v>
      </c>
      <c r="B804" s="138">
        <f ca="1">'Expenditures 15-22'!D67</f>
        <v>0</v>
      </c>
      <c r="D804" s="2" t="str">
        <f t="shared" ca="1" si="11"/>
        <v>Error?</v>
      </c>
    </row>
    <row r="805" spans="1:4" x14ac:dyDescent="0.2">
      <c r="A805" s="5">
        <v>744</v>
      </c>
      <c r="B805" s="138">
        <f ca="1">'Expenditures 15-22'!D68</f>
        <v>0</v>
      </c>
      <c r="D805" s="2" t="str">
        <f t="shared" ca="1" si="11"/>
        <v>Error?</v>
      </c>
    </row>
    <row r="806" spans="1:4" x14ac:dyDescent="0.2">
      <c r="A806" s="5">
        <v>745</v>
      </c>
      <c r="B806" s="138">
        <f ca="1">'Expenditures 15-22'!D69</f>
        <v>0</v>
      </c>
      <c r="D806" s="2" t="str">
        <f t="shared" ca="1" si="11"/>
        <v>Error?</v>
      </c>
    </row>
    <row r="807" spans="1:4" x14ac:dyDescent="0.2">
      <c r="A807" s="5">
        <v>746</v>
      </c>
      <c r="B807" s="138">
        <f ca="1">'Expenditures 15-22'!D70</f>
        <v>0</v>
      </c>
      <c r="D807" s="2" t="str">
        <f t="shared" ca="1" si="11"/>
        <v>Error?</v>
      </c>
    </row>
    <row r="808" spans="1:4" x14ac:dyDescent="0.2">
      <c r="A808" s="10">
        <v>747</v>
      </c>
      <c r="D808" s="2" t="str">
        <f t="shared" si="11"/>
        <v>OK</v>
      </c>
    </row>
    <row r="809" spans="1:4" x14ac:dyDescent="0.2">
      <c r="A809" s="5">
        <v>748</v>
      </c>
      <c r="B809" s="138">
        <f ca="1">'Expenditures 15-22'!D71</f>
        <v>0</v>
      </c>
      <c r="D809" s="2" t="str">
        <f t="shared" ca="1" si="11"/>
        <v>Error?</v>
      </c>
    </row>
    <row r="810" spans="1:4" x14ac:dyDescent="0.2">
      <c r="A810" s="10">
        <v>749</v>
      </c>
      <c r="D810" s="2" t="str">
        <f t="shared" si="11"/>
        <v>OK</v>
      </c>
    </row>
    <row r="811" spans="1:4" x14ac:dyDescent="0.2">
      <c r="A811" s="5">
        <v>750</v>
      </c>
      <c r="B811" s="138">
        <f ca="1">'Expenditures 15-22'!D72</f>
        <v>0</v>
      </c>
      <c r="C811" s="2" t="s">
        <v>573</v>
      </c>
      <c r="D811" s="2" t="str">
        <f t="shared" ca="1" si="11"/>
        <v>Error?</v>
      </c>
    </row>
    <row r="812" spans="1:4" x14ac:dyDescent="0.2">
      <c r="A812" s="5">
        <v>751</v>
      </c>
      <c r="B812" s="138">
        <f ca="1">'Expenditures 15-22'!D73</f>
        <v>0</v>
      </c>
      <c r="D812" s="2" t="str">
        <f t="shared" ca="1" si="11"/>
        <v>Error?</v>
      </c>
    </row>
    <row r="813" spans="1:4" x14ac:dyDescent="0.2">
      <c r="A813" s="5">
        <v>752</v>
      </c>
      <c r="B813" s="138">
        <f ca="1">'Expenditures 15-22'!D74</f>
        <v>24436</v>
      </c>
      <c r="C813" s="2" t="s">
        <v>573</v>
      </c>
      <c r="D813" s="2" t="str">
        <f t="shared" ca="1" si="11"/>
        <v>Error?</v>
      </c>
    </row>
    <row r="814" spans="1:4" x14ac:dyDescent="0.2">
      <c r="A814" s="5">
        <v>753</v>
      </c>
      <c r="B814" s="138">
        <f ca="1">'Expenditures 15-22'!D75</f>
        <v>0</v>
      </c>
      <c r="D814" s="2" t="str">
        <f t="shared" ca="1" si="11"/>
        <v>Error?</v>
      </c>
    </row>
    <row r="815" spans="1:4" x14ac:dyDescent="0.2">
      <c r="A815" s="5">
        <v>754</v>
      </c>
      <c r="B815" s="138">
        <f ca="1">'Expenditures 15-22'!D114</f>
        <v>133500</v>
      </c>
      <c r="C815" s="2" t="s">
        <v>573</v>
      </c>
      <c r="D815" s="2" t="str">
        <f t="shared" ca="1"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 ca="1">'Expenditures 15-22'!E5</f>
        <v>32381</v>
      </c>
      <c r="D821" s="2" t="str">
        <f t="shared" ca="1" si="11"/>
        <v>Error?</v>
      </c>
    </row>
    <row r="822" spans="1:4" x14ac:dyDescent="0.2">
      <c r="A822" s="5">
        <v>761</v>
      </c>
      <c r="B822" s="138">
        <f ca="1">'Expenditures 15-22'!E16</f>
        <v>0</v>
      </c>
      <c r="D822" s="2" t="str">
        <f t="shared" ca="1"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 ca="1">'Expenditures 15-22'!E18</f>
        <v>0</v>
      </c>
      <c r="D828" s="2" t="str">
        <f t="shared" ca="1"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 ca="1">'Expenditures 15-22'!E12</f>
        <v>0</v>
      </c>
      <c r="D832" s="2" t="str">
        <f t="shared" ca="1" si="12"/>
        <v>Error?</v>
      </c>
    </row>
    <row r="833" spans="1:4" x14ac:dyDescent="0.2">
      <c r="A833" s="5">
        <v>772</v>
      </c>
      <c r="B833" s="138">
        <f ca="1">'Expenditures 15-22'!E13</f>
        <v>0</v>
      </c>
      <c r="D833" s="2" t="str">
        <f t="shared" ca="1" si="12"/>
        <v>Error?</v>
      </c>
    </row>
    <row r="834" spans="1:4" x14ac:dyDescent="0.2">
      <c r="A834" s="5">
        <v>773</v>
      </c>
      <c r="B834" s="138">
        <f ca="1">'Expenditures 15-22'!E14</f>
        <v>9546</v>
      </c>
      <c r="D834" s="2" t="str">
        <f t="shared" ca="1" si="12"/>
        <v>Error?</v>
      </c>
    </row>
    <row r="835" spans="1:4" x14ac:dyDescent="0.2">
      <c r="A835" s="5">
        <v>774</v>
      </c>
      <c r="B835" s="138">
        <f ca="1">'Expenditures 15-22'!E15</f>
        <v>0</v>
      </c>
      <c r="D835" s="2" t="str">
        <f t="shared" ca="1" si="12"/>
        <v>Error?</v>
      </c>
    </row>
    <row r="836" spans="1:4" x14ac:dyDescent="0.2">
      <c r="A836" s="5">
        <v>775</v>
      </c>
      <c r="B836" s="138">
        <f ca="1">'Expenditures 15-22'!E33</f>
        <v>62411</v>
      </c>
      <c r="C836" s="2" t="s">
        <v>573</v>
      </c>
      <c r="D836" s="2" t="str">
        <f t="shared" ca="1" si="12"/>
        <v>Error?</v>
      </c>
    </row>
    <row r="837" spans="1:4" x14ac:dyDescent="0.2">
      <c r="A837" s="5">
        <v>776</v>
      </c>
      <c r="B837" s="138">
        <f ca="1">'Expenditures 15-22'!E36</f>
        <v>0</v>
      </c>
      <c r="D837" s="2" t="str">
        <f t="shared" ca="1" si="12"/>
        <v>Error?</v>
      </c>
    </row>
    <row r="838" spans="1:4" x14ac:dyDescent="0.2">
      <c r="A838" s="5">
        <v>777</v>
      </c>
      <c r="B838" s="138">
        <f ca="1">'Expenditures 15-22'!E37</f>
        <v>0</v>
      </c>
      <c r="D838" s="2" t="str">
        <f t="shared" ca="1" si="12"/>
        <v>Error?</v>
      </c>
    </row>
    <row r="839" spans="1:4" x14ac:dyDescent="0.2">
      <c r="A839" s="5">
        <v>778</v>
      </c>
      <c r="B839" s="138">
        <f ca="1">'Expenditures 15-22'!E38</f>
        <v>0</v>
      </c>
      <c r="D839" s="2" t="str">
        <f t="shared" ca="1" si="12"/>
        <v>Error?</v>
      </c>
    </row>
    <row r="840" spans="1:4" x14ac:dyDescent="0.2">
      <c r="A840" s="5">
        <v>779</v>
      </c>
      <c r="B840" s="138">
        <f ca="1">'Expenditures 15-22'!E39</f>
        <v>0</v>
      </c>
      <c r="D840" s="2" t="str">
        <f t="shared" ca="1" si="12"/>
        <v>Error?</v>
      </c>
    </row>
    <row r="841" spans="1:4" x14ac:dyDescent="0.2">
      <c r="A841" s="5">
        <v>780</v>
      </c>
      <c r="B841" s="138">
        <f ca="1">'Expenditures 15-22'!E40</f>
        <v>44795</v>
      </c>
      <c r="D841" s="2" t="str">
        <f t="shared" ca="1" si="12"/>
        <v>Error?</v>
      </c>
    </row>
    <row r="842" spans="1:4" x14ac:dyDescent="0.2">
      <c r="A842" s="5">
        <v>781</v>
      </c>
      <c r="B842" s="138">
        <f ca="1">'Expenditures 15-22'!E41</f>
        <v>0</v>
      </c>
      <c r="D842" s="2" t="str">
        <f t="shared" ca="1" si="12"/>
        <v>Error?</v>
      </c>
    </row>
    <row r="843" spans="1:4" x14ac:dyDescent="0.2">
      <c r="A843" s="5">
        <v>782</v>
      </c>
      <c r="B843" s="138">
        <f ca="1">'Expenditures 15-22'!E42</f>
        <v>44795</v>
      </c>
      <c r="C843" s="2" t="s">
        <v>573</v>
      </c>
      <c r="D843" s="2" t="str">
        <f t="shared" ca="1" si="12"/>
        <v>Error?</v>
      </c>
    </row>
    <row r="844" spans="1:4" x14ac:dyDescent="0.2">
      <c r="A844" s="5">
        <v>783</v>
      </c>
      <c r="B844" s="138">
        <f ca="1">'Expenditures 15-22'!E44</f>
        <v>6403</v>
      </c>
      <c r="D844" s="2" t="str">
        <f t="shared" ca="1" si="12"/>
        <v>Error?</v>
      </c>
    </row>
    <row r="845" spans="1:4" x14ac:dyDescent="0.2">
      <c r="A845" s="5">
        <v>784</v>
      </c>
      <c r="B845" s="138">
        <f ca="1">'Expenditures 15-22'!E45</f>
        <v>0</v>
      </c>
      <c r="D845" s="2" t="str">
        <f t="shared" ca="1" si="12"/>
        <v>Error?</v>
      </c>
    </row>
    <row r="846" spans="1:4" x14ac:dyDescent="0.2">
      <c r="A846" s="5">
        <v>785</v>
      </c>
      <c r="B846" s="138">
        <f ca="1">'Expenditures 15-22'!E46</f>
        <v>5080</v>
      </c>
      <c r="D846" s="2" t="str">
        <f t="shared" ca="1" si="12"/>
        <v>Error?</v>
      </c>
    </row>
    <row r="847" spans="1:4" x14ac:dyDescent="0.2">
      <c r="A847" s="5">
        <v>786</v>
      </c>
      <c r="B847" s="138">
        <f ca="1">'Expenditures 15-22'!E47</f>
        <v>11483</v>
      </c>
      <c r="C847" s="2" t="s">
        <v>573</v>
      </c>
      <c r="D847" s="2" t="str">
        <f t="shared" ca="1" si="12"/>
        <v>Error?</v>
      </c>
    </row>
    <row r="848" spans="1:4" x14ac:dyDescent="0.2">
      <c r="A848" s="5">
        <v>787</v>
      </c>
      <c r="B848" s="138">
        <f ca="1">'Expenditures 15-22'!E49</f>
        <v>9271</v>
      </c>
      <c r="D848" s="2" t="str">
        <f t="shared" ca="1" si="12"/>
        <v>Error?</v>
      </c>
    </row>
    <row r="849" spans="1:4" x14ac:dyDescent="0.2">
      <c r="A849" s="5">
        <v>788</v>
      </c>
      <c r="B849" s="138">
        <f ca="1">'Expenditures 15-22'!E50</f>
        <v>8914</v>
      </c>
      <c r="D849" s="2" t="str">
        <f t="shared" ca="1" si="12"/>
        <v>Error?</v>
      </c>
    </row>
    <row r="850" spans="1:4" x14ac:dyDescent="0.2">
      <c r="A850" s="5">
        <v>789</v>
      </c>
      <c r="B850" s="138">
        <f ca="1">'Expenditures 15-22'!E53</f>
        <v>18185</v>
      </c>
      <c r="C850" s="2" t="s">
        <v>573</v>
      </c>
      <c r="D850" s="2" t="str">
        <f t="shared" ca="1" si="12"/>
        <v>Error?</v>
      </c>
    </row>
    <row r="851" spans="1:4" x14ac:dyDescent="0.2">
      <c r="A851" s="5">
        <v>790</v>
      </c>
      <c r="B851" s="138">
        <f ca="1">'Expenditures 15-22'!E55</f>
        <v>0</v>
      </c>
      <c r="D851" s="2" t="str">
        <f t="shared" ca="1" si="12"/>
        <v>Error?</v>
      </c>
    </row>
    <row r="852" spans="1:4" x14ac:dyDescent="0.2">
      <c r="A852" s="5">
        <v>791</v>
      </c>
      <c r="B852" s="138">
        <f ca="1">'Expenditures 15-22'!E56</f>
        <v>0</v>
      </c>
      <c r="D852" s="2" t="str">
        <f t="shared" ca="1" si="12"/>
        <v>Error?</v>
      </c>
    </row>
    <row r="853" spans="1:4" x14ac:dyDescent="0.2">
      <c r="A853" s="5">
        <v>792</v>
      </c>
      <c r="B853" s="138">
        <f ca="1">'Expenditures 15-22'!E57</f>
        <v>0</v>
      </c>
      <c r="C853" s="2" t="s">
        <v>573</v>
      </c>
      <c r="D853" s="2" t="str">
        <f t="shared" ca="1" si="12"/>
        <v>Error?</v>
      </c>
    </row>
    <row r="854" spans="1:4" x14ac:dyDescent="0.2">
      <c r="A854" s="5">
        <v>793</v>
      </c>
      <c r="B854" s="138">
        <f ca="1">'Expenditures 15-22'!E59</f>
        <v>0</v>
      </c>
      <c r="D854" s="2" t="str">
        <f t="shared" ca="1" si="12"/>
        <v>Error?</v>
      </c>
    </row>
    <row r="855" spans="1:4" x14ac:dyDescent="0.2">
      <c r="A855" s="5">
        <v>794</v>
      </c>
      <c r="B855" s="138">
        <f ca="1">'Expenditures 15-22'!E60</f>
        <v>6550</v>
      </c>
      <c r="D855" s="2" t="str">
        <f t="shared" ca="1" si="12"/>
        <v>Error?</v>
      </c>
    </row>
    <row r="856" spans="1:4" x14ac:dyDescent="0.2">
      <c r="A856" s="5">
        <v>795</v>
      </c>
      <c r="B856" s="138">
        <f ca="1">'Expenditures 15-22'!E61</f>
        <v>0</v>
      </c>
      <c r="D856" s="2" t="str">
        <f t="shared" ca="1" si="12"/>
        <v>Error?</v>
      </c>
    </row>
    <row r="857" spans="1:4" x14ac:dyDescent="0.2">
      <c r="A857" s="5">
        <v>796</v>
      </c>
      <c r="B857" s="138">
        <f ca="1">'Expenditures 15-22'!E62</f>
        <v>0</v>
      </c>
      <c r="D857" s="2" t="str">
        <f t="shared" ca="1" si="12"/>
        <v>Error?</v>
      </c>
    </row>
    <row r="858" spans="1:4" x14ac:dyDescent="0.2">
      <c r="A858" s="5">
        <v>797</v>
      </c>
      <c r="B858" s="138">
        <f ca="1">'Expenditures 15-22'!E63</f>
        <v>147</v>
      </c>
      <c r="D858" s="2" t="str">
        <f t="shared" ca="1" si="12"/>
        <v>Error?</v>
      </c>
    </row>
    <row r="859" spans="1:4" x14ac:dyDescent="0.2">
      <c r="A859" s="5">
        <v>798</v>
      </c>
      <c r="B859" s="138">
        <f ca="1">'Expenditures 15-22'!E64</f>
        <v>0</v>
      </c>
      <c r="D859" s="2" t="str">
        <f t="shared" ca="1" si="12"/>
        <v>Error?</v>
      </c>
    </row>
    <row r="860" spans="1:4" x14ac:dyDescent="0.2">
      <c r="A860" s="10">
        <v>799</v>
      </c>
      <c r="D860" s="2" t="str">
        <f t="shared" si="12"/>
        <v>OK</v>
      </c>
    </row>
    <row r="861" spans="1:4" x14ac:dyDescent="0.2">
      <c r="A861" s="5">
        <v>800</v>
      </c>
      <c r="B861" s="138">
        <f ca="1">'Expenditures 15-22'!E65</f>
        <v>6697</v>
      </c>
      <c r="C861" s="2" t="s">
        <v>573</v>
      </c>
      <c r="D861" s="2" t="str">
        <f t="shared" ca="1" si="12"/>
        <v>Error?</v>
      </c>
    </row>
    <row r="862" spans="1:4" x14ac:dyDescent="0.2">
      <c r="A862" s="5">
        <v>801</v>
      </c>
      <c r="B862" s="138">
        <f ca="1">'Expenditures 15-22'!E67</f>
        <v>0</v>
      </c>
      <c r="D862" s="2" t="str">
        <f t="shared" ca="1" si="12"/>
        <v>Error?</v>
      </c>
    </row>
    <row r="863" spans="1:4" x14ac:dyDescent="0.2">
      <c r="A863" s="5">
        <v>802</v>
      </c>
      <c r="B863" s="138">
        <f ca="1">'Expenditures 15-22'!E68</f>
        <v>0</v>
      </c>
      <c r="D863" s="2" t="str">
        <f t="shared" ca="1" si="12"/>
        <v>Error?</v>
      </c>
    </row>
    <row r="864" spans="1:4" x14ac:dyDescent="0.2">
      <c r="A864" s="5">
        <v>803</v>
      </c>
      <c r="B864" s="138">
        <f ca="1">'Expenditures 15-22'!E69</f>
        <v>0</v>
      </c>
      <c r="D864" s="2" t="str">
        <f t="shared" ca="1" si="12"/>
        <v>Error?</v>
      </c>
    </row>
    <row r="865" spans="1:4" x14ac:dyDescent="0.2">
      <c r="A865" s="5">
        <v>804</v>
      </c>
      <c r="B865" s="138">
        <f ca="1">'Expenditures 15-22'!E70</f>
        <v>0</v>
      </c>
      <c r="D865" s="2" t="str">
        <f t="shared" ca="1" si="12"/>
        <v>Error?</v>
      </c>
    </row>
    <row r="866" spans="1:4" x14ac:dyDescent="0.2">
      <c r="A866" s="10">
        <v>805</v>
      </c>
      <c r="D866" s="2" t="str">
        <f t="shared" si="12"/>
        <v>OK</v>
      </c>
    </row>
    <row r="867" spans="1:4" x14ac:dyDescent="0.2">
      <c r="A867" s="5">
        <v>806</v>
      </c>
      <c r="B867" s="138">
        <f ca="1">'Expenditures 15-22'!E71</f>
        <v>0</v>
      </c>
      <c r="D867" s="2" t="str">
        <f t="shared" ca="1" si="12"/>
        <v>Error?</v>
      </c>
    </row>
    <row r="868" spans="1:4" x14ac:dyDescent="0.2">
      <c r="A868" s="10">
        <v>807</v>
      </c>
      <c r="D868" s="2" t="str">
        <f t="shared" si="12"/>
        <v>OK</v>
      </c>
    </row>
    <row r="869" spans="1:4" x14ac:dyDescent="0.2">
      <c r="A869" s="5">
        <v>808</v>
      </c>
      <c r="B869" s="138">
        <f ca="1">'Expenditures 15-22'!E72</f>
        <v>0</v>
      </c>
      <c r="C869" s="2" t="s">
        <v>573</v>
      </c>
      <c r="D869" s="2" t="str">
        <f t="shared" ca="1" si="12"/>
        <v>Error?</v>
      </c>
    </row>
    <row r="870" spans="1:4" x14ac:dyDescent="0.2">
      <c r="A870" s="5">
        <v>809</v>
      </c>
      <c r="B870" s="138">
        <f ca="1">'Expenditures 15-22'!E73</f>
        <v>0</v>
      </c>
      <c r="D870" s="2" t="str">
        <f t="shared" ca="1" si="12"/>
        <v>Error?</v>
      </c>
    </row>
    <row r="871" spans="1:4" x14ac:dyDescent="0.2">
      <c r="A871" s="5">
        <v>810</v>
      </c>
      <c r="B871" s="138">
        <f ca="1">'Expenditures 15-22'!E74</f>
        <v>81160</v>
      </c>
      <c r="C871" s="2" t="s">
        <v>573</v>
      </c>
      <c r="D871" s="2" t="str">
        <f t="shared" ca="1" si="12"/>
        <v>Error?</v>
      </c>
    </row>
    <row r="872" spans="1:4" x14ac:dyDescent="0.2">
      <c r="A872" s="5">
        <v>811</v>
      </c>
      <c r="B872" s="138">
        <f ca="1">'Expenditures 15-22'!E75</f>
        <v>0</v>
      </c>
      <c r="D872" s="2" t="str">
        <f t="shared" ca="1" si="12"/>
        <v>Error?</v>
      </c>
    </row>
    <row r="873" spans="1:4" x14ac:dyDescent="0.2">
      <c r="A873" s="5">
        <v>812</v>
      </c>
      <c r="B873" s="138">
        <f ca="1">'Expenditures 15-22'!E114</f>
        <v>177993</v>
      </c>
      <c r="C873" s="2" t="s">
        <v>573</v>
      </c>
      <c r="D873" s="2" t="str">
        <f t="shared" ca="1"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 ca="1">'Expenditures 15-22'!F5</f>
        <v>124480</v>
      </c>
      <c r="D879" s="2" t="str">
        <f t="shared" ca="1" si="12"/>
        <v>Error?</v>
      </c>
    </row>
    <row r="880" spans="1:4" x14ac:dyDescent="0.2">
      <c r="A880" s="5">
        <v>819</v>
      </c>
      <c r="B880" s="138">
        <f ca="1">'Expenditures 15-22'!F16</f>
        <v>0</v>
      </c>
      <c r="D880" s="2" t="str">
        <f t="shared" ca="1"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 ca="1">'Expenditures 15-22'!F18</f>
        <v>0</v>
      </c>
      <c r="D886" s="2" t="str">
        <f t="shared" ca="1"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 ca="1">'Expenditures 15-22'!F12</f>
        <v>0</v>
      </c>
      <c r="D890" s="2" t="str">
        <f t="shared" ca="1" si="12"/>
        <v>Error?</v>
      </c>
    </row>
    <row r="891" spans="1:4" x14ac:dyDescent="0.2">
      <c r="A891" s="5">
        <v>830</v>
      </c>
      <c r="B891" s="138">
        <f ca="1">'Expenditures 15-22'!F13</f>
        <v>0</v>
      </c>
      <c r="D891" s="2" t="str">
        <f t="shared" ca="1" si="12"/>
        <v>Error?</v>
      </c>
    </row>
    <row r="892" spans="1:4" x14ac:dyDescent="0.2">
      <c r="A892" s="5">
        <v>831</v>
      </c>
      <c r="B892" s="138">
        <f ca="1">'Expenditures 15-22'!F14</f>
        <v>9402</v>
      </c>
      <c r="D892" s="2" t="str">
        <f t="shared" ca="1" si="12"/>
        <v>Error?</v>
      </c>
    </row>
    <row r="893" spans="1:4" x14ac:dyDescent="0.2">
      <c r="A893" s="5">
        <v>832</v>
      </c>
      <c r="B893" s="138">
        <f ca="1">'Expenditures 15-22'!F15</f>
        <v>0</v>
      </c>
      <c r="D893" s="2" t="str">
        <f t="shared" ca="1" si="12"/>
        <v>Error?</v>
      </c>
    </row>
    <row r="894" spans="1:4" x14ac:dyDescent="0.2">
      <c r="A894" s="5">
        <v>833</v>
      </c>
      <c r="B894" s="138">
        <f ca="1">'Expenditures 15-22'!F33</f>
        <v>154926</v>
      </c>
      <c r="C894" s="2" t="s">
        <v>573</v>
      </c>
      <c r="D894" s="2" t="str">
        <f t="shared" ca="1" si="12"/>
        <v>Error?</v>
      </c>
    </row>
    <row r="895" spans="1:4" x14ac:dyDescent="0.2">
      <c r="A895" s="5">
        <v>834</v>
      </c>
      <c r="B895" s="138">
        <f ca="1">'Expenditures 15-22'!F36</f>
        <v>0</v>
      </c>
      <c r="D895" s="2" t="str">
        <f t="shared" ref="D895:D958" ca="1" si="13">IF(ISBLANK(B895),"OK",IF(A895-B895=0,"OK","Error?"))</f>
        <v>Error?</v>
      </c>
    </row>
    <row r="896" spans="1:4" x14ac:dyDescent="0.2">
      <c r="A896" s="5">
        <v>835</v>
      </c>
      <c r="B896" s="138">
        <f ca="1">'Expenditures 15-22'!F37</f>
        <v>0</v>
      </c>
      <c r="D896" s="2" t="str">
        <f t="shared" ca="1" si="13"/>
        <v>Error?</v>
      </c>
    </row>
    <row r="897" spans="1:4" x14ac:dyDescent="0.2">
      <c r="A897" s="5">
        <v>836</v>
      </c>
      <c r="B897" s="138">
        <f ca="1">'Expenditures 15-22'!F38</f>
        <v>0</v>
      </c>
      <c r="D897" s="2" t="str">
        <f t="shared" ca="1" si="13"/>
        <v>Error?</v>
      </c>
    </row>
    <row r="898" spans="1:4" x14ac:dyDescent="0.2">
      <c r="A898" s="5">
        <v>837</v>
      </c>
      <c r="B898" s="138">
        <f ca="1">'Expenditures 15-22'!F39</f>
        <v>0</v>
      </c>
      <c r="D898" s="2" t="str">
        <f t="shared" ca="1" si="13"/>
        <v>Error?</v>
      </c>
    </row>
    <row r="899" spans="1:4" x14ac:dyDescent="0.2">
      <c r="A899" s="5">
        <v>838</v>
      </c>
      <c r="B899" s="138">
        <f ca="1">'Expenditures 15-22'!F40</f>
        <v>0</v>
      </c>
      <c r="D899" s="2" t="str">
        <f t="shared" ca="1" si="13"/>
        <v>Error?</v>
      </c>
    </row>
    <row r="900" spans="1:4" x14ac:dyDescent="0.2">
      <c r="A900" s="5">
        <v>839</v>
      </c>
      <c r="B900" s="138">
        <f ca="1">'Expenditures 15-22'!F41</f>
        <v>0</v>
      </c>
      <c r="D900" s="2" t="str">
        <f t="shared" ca="1" si="13"/>
        <v>Error?</v>
      </c>
    </row>
    <row r="901" spans="1:4" x14ac:dyDescent="0.2">
      <c r="A901" s="5">
        <v>840</v>
      </c>
      <c r="B901" s="138">
        <f ca="1">'Expenditures 15-22'!F42</f>
        <v>0</v>
      </c>
      <c r="C901" s="2" t="s">
        <v>573</v>
      </c>
      <c r="D901" s="2" t="str">
        <f t="shared" ca="1" si="13"/>
        <v>Error?</v>
      </c>
    </row>
    <row r="902" spans="1:4" x14ac:dyDescent="0.2">
      <c r="A902" s="5">
        <v>841</v>
      </c>
      <c r="B902" s="138">
        <f ca="1">'Expenditures 15-22'!F44</f>
        <v>0</v>
      </c>
      <c r="D902" s="2" t="str">
        <f t="shared" ca="1" si="13"/>
        <v>Error?</v>
      </c>
    </row>
    <row r="903" spans="1:4" x14ac:dyDescent="0.2">
      <c r="A903" s="5">
        <v>842</v>
      </c>
      <c r="B903" s="138">
        <f ca="1">'Expenditures 15-22'!F45</f>
        <v>47500</v>
      </c>
      <c r="D903" s="2" t="str">
        <f t="shared" ca="1" si="13"/>
        <v>Error?</v>
      </c>
    </row>
    <row r="904" spans="1:4" x14ac:dyDescent="0.2">
      <c r="A904" s="5">
        <v>843</v>
      </c>
      <c r="B904" s="138">
        <f ca="1">'Expenditures 15-22'!F46</f>
        <v>0</v>
      </c>
      <c r="D904" s="2" t="str">
        <f t="shared" ca="1" si="13"/>
        <v>Error?</v>
      </c>
    </row>
    <row r="905" spans="1:4" x14ac:dyDescent="0.2">
      <c r="A905" s="5">
        <v>844</v>
      </c>
      <c r="B905" s="138">
        <f ca="1">'Expenditures 15-22'!F47</f>
        <v>47500</v>
      </c>
      <c r="C905" s="2" t="s">
        <v>573</v>
      </c>
      <c r="D905" s="2" t="str">
        <f t="shared" ca="1" si="13"/>
        <v>Error?</v>
      </c>
    </row>
    <row r="906" spans="1:4" x14ac:dyDescent="0.2">
      <c r="A906" s="5">
        <v>845</v>
      </c>
      <c r="B906" s="138">
        <f ca="1">'Expenditures 15-22'!F49</f>
        <v>2120</v>
      </c>
      <c r="D906" s="2" t="str">
        <f t="shared" ca="1" si="13"/>
        <v>Error?</v>
      </c>
    </row>
    <row r="907" spans="1:4" x14ac:dyDescent="0.2">
      <c r="A907" s="5">
        <v>846</v>
      </c>
      <c r="B907" s="138">
        <f ca="1">'Expenditures 15-22'!F50</f>
        <v>6303</v>
      </c>
      <c r="D907" s="2" t="str">
        <f t="shared" ca="1" si="13"/>
        <v>Error?</v>
      </c>
    </row>
    <row r="908" spans="1:4" x14ac:dyDescent="0.2">
      <c r="A908" s="5">
        <v>847</v>
      </c>
      <c r="B908" s="138">
        <f ca="1">'Expenditures 15-22'!F53</f>
        <v>8423</v>
      </c>
      <c r="C908" s="2" t="s">
        <v>573</v>
      </c>
      <c r="D908" s="2" t="str">
        <f t="shared" ca="1" si="13"/>
        <v>Error?</v>
      </c>
    </row>
    <row r="909" spans="1:4" x14ac:dyDescent="0.2">
      <c r="A909" s="5">
        <v>848</v>
      </c>
      <c r="B909" s="138">
        <f ca="1">'Expenditures 15-22'!F55</f>
        <v>0</v>
      </c>
      <c r="D909" s="2" t="str">
        <f t="shared" ca="1" si="13"/>
        <v>Error?</v>
      </c>
    </row>
    <row r="910" spans="1:4" x14ac:dyDescent="0.2">
      <c r="A910" s="5">
        <v>849</v>
      </c>
      <c r="B910" s="138">
        <f ca="1">'Expenditures 15-22'!F56</f>
        <v>0</v>
      </c>
      <c r="D910" s="2" t="str">
        <f t="shared" ca="1" si="13"/>
        <v>Error?</v>
      </c>
    </row>
    <row r="911" spans="1:4" x14ac:dyDescent="0.2">
      <c r="A911" s="5">
        <v>850</v>
      </c>
      <c r="B911" s="138">
        <f ca="1">'Expenditures 15-22'!F57</f>
        <v>0</v>
      </c>
      <c r="C911" s="2" t="s">
        <v>573</v>
      </c>
      <c r="D911" s="2" t="str">
        <f t="shared" ca="1" si="13"/>
        <v>Error?</v>
      </c>
    </row>
    <row r="912" spans="1:4" x14ac:dyDescent="0.2">
      <c r="A912" s="5">
        <v>851</v>
      </c>
      <c r="B912" s="138">
        <f ca="1">'Expenditures 15-22'!F59</f>
        <v>0</v>
      </c>
      <c r="D912" s="2" t="str">
        <f t="shared" ca="1" si="13"/>
        <v>Error?</v>
      </c>
    </row>
    <row r="913" spans="1:4" x14ac:dyDescent="0.2">
      <c r="A913" s="5">
        <v>852</v>
      </c>
      <c r="B913" s="138">
        <f ca="1">'Expenditures 15-22'!F60</f>
        <v>51431</v>
      </c>
      <c r="D913" s="2" t="str">
        <f t="shared" ca="1" si="13"/>
        <v>Error?</v>
      </c>
    </row>
    <row r="914" spans="1:4" x14ac:dyDescent="0.2">
      <c r="A914" s="5">
        <v>853</v>
      </c>
      <c r="B914" s="138">
        <f ca="1">'Expenditures 15-22'!F61</f>
        <v>0</v>
      </c>
      <c r="D914" s="2" t="str">
        <f t="shared" ca="1" si="13"/>
        <v>Error?</v>
      </c>
    </row>
    <row r="915" spans="1:4" x14ac:dyDescent="0.2">
      <c r="A915" s="5">
        <v>854</v>
      </c>
      <c r="B915" s="138">
        <f ca="1">'Expenditures 15-22'!F62</f>
        <v>0</v>
      </c>
      <c r="D915" s="2" t="str">
        <f t="shared" ca="1" si="13"/>
        <v>Error?</v>
      </c>
    </row>
    <row r="916" spans="1:4" x14ac:dyDescent="0.2">
      <c r="A916" s="5">
        <v>855</v>
      </c>
      <c r="B916" s="138">
        <f ca="1">'Expenditures 15-22'!F63</f>
        <v>29817</v>
      </c>
      <c r="D916" s="2" t="str">
        <f t="shared" ca="1" si="13"/>
        <v>Error?</v>
      </c>
    </row>
    <row r="917" spans="1:4" x14ac:dyDescent="0.2">
      <c r="A917" s="5">
        <v>856</v>
      </c>
      <c r="B917" s="138">
        <f ca="1">'Expenditures 15-22'!F64</f>
        <v>0</v>
      </c>
      <c r="D917" s="2" t="str">
        <f t="shared" ca="1" si="13"/>
        <v>Error?</v>
      </c>
    </row>
    <row r="918" spans="1:4" x14ac:dyDescent="0.2">
      <c r="A918" s="10">
        <v>857</v>
      </c>
      <c r="D918" s="2" t="str">
        <f t="shared" si="13"/>
        <v>OK</v>
      </c>
    </row>
    <row r="919" spans="1:4" x14ac:dyDescent="0.2">
      <c r="A919" s="5">
        <v>858</v>
      </c>
      <c r="B919" s="138">
        <f ca="1">'Expenditures 15-22'!F65</f>
        <v>81248</v>
      </c>
      <c r="C919" s="2" t="s">
        <v>573</v>
      </c>
      <c r="D919" s="2" t="str">
        <f t="shared" ca="1" si="13"/>
        <v>Error?</v>
      </c>
    </row>
    <row r="920" spans="1:4" x14ac:dyDescent="0.2">
      <c r="A920" s="5">
        <v>859</v>
      </c>
      <c r="B920" s="138">
        <f ca="1">'Expenditures 15-22'!F67</f>
        <v>0</v>
      </c>
      <c r="D920" s="2" t="str">
        <f t="shared" ca="1" si="13"/>
        <v>Error?</v>
      </c>
    </row>
    <row r="921" spans="1:4" x14ac:dyDescent="0.2">
      <c r="A921" s="5">
        <v>860</v>
      </c>
      <c r="B921" s="138">
        <f ca="1">'Expenditures 15-22'!F68</f>
        <v>203</v>
      </c>
      <c r="D921" s="2" t="str">
        <f t="shared" ca="1" si="13"/>
        <v>Error?</v>
      </c>
    </row>
    <row r="922" spans="1:4" x14ac:dyDescent="0.2">
      <c r="A922" s="5">
        <v>861</v>
      </c>
      <c r="B922" s="138">
        <f ca="1">'Expenditures 15-22'!F69</f>
        <v>0</v>
      </c>
      <c r="D922" s="2" t="str">
        <f t="shared" ca="1" si="13"/>
        <v>Error?</v>
      </c>
    </row>
    <row r="923" spans="1:4" x14ac:dyDescent="0.2">
      <c r="A923" s="5">
        <v>862</v>
      </c>
      <c r="B923" s="138">
        <f ca="1">'Expenditures 15-22'!F70</f>
        <v>0</v>
      </c>
      <c r="D923" s="2" t="str">
        <f t="shared" ca="1" si="13"/>
        <v>Error?</v>
      </c>
    </row>
    <row r="924" spans="1:4" x14ac:dyDescent="0.2">
      <c r="A924" s="10">
        <v>863</v>
      </c>
      <c r="D924" s="2" t="str">
        <f t="shared" si="13"/>
        <v>OK</v>
      </c>
    </row>
    <row r="925" spans="1:4" x14ac:dyDescent="0.2">
      <c r="A925" s="5">
        <v>864</v>
      </c>
      <c r="B925" s="138">
        <f ca="1">'Expenditures 15-22'!F71</f>
        <v>0</v>
      </c>
      <c r="D925" s="2" t="str">
        <f t="shared" ca="1" si="13"/>
        <v>Error?</v>
      </c>
    </row>
    <row r="926" spans="1:4" x14ac:dyDescent="0.2">
      <c r="A926" s="10">
        <v>865</v>
      </c>
      <c r="D926" s="2" t="str">
        <f t="shared" si="13"/>
        <v>OK</v>
      </c>
    </row>
    <row r="927" spans="1:4" x14ac:dyDescent="0.2">
      <c r="A927" s="5">
        <v>866</v>
      </c>
      <c r="B927" s="138">
        <f ca="1">'Expenditures 15-22'!F72</f>
        <v>203</v>
      </c>
      <c r="C927" s="2" t="s">
        <v>573</v>
      </c>
      <c r="D927" s="2" t="str">
        <f t="shared" ca="1" si="13"/>
        <v>Error?</v>
      </c>
    </row>
    <row r="928" spans="1:4" x14ac:dyDescent="0.2">
      <c r="A928" s="5">
        <v>867</v>
      </c>
      <c r="B928" s="138">
        <f ca="1">'Expenditures 15-22'!F73</f>
        <v>0</v>
      </c>
      <c r="D928" s="2" t="str">
        <f t="shared" ca="1" si="13"/>
        <v>Error?</v>
      </c>
    </row>
    <row r="929" spans="1:4" x14ac:dyDescent="0.2">
      <c r="A929" s="5">
        <v>868</v>
      </c>
      <c r="B929" s="138">
        <f ca="1">'Expenditures 15-22'!F74</f>
        <v>137374</v>
      </c>
      <c r="C929" s="2" t="s">
        <v>573</v>
      </c>
      <c r="D929" s="2" t="str">
        <f t="shared" ca="1" si="13"/>
        <v>Error?</v>
      </c>
    </row>
    <row r="930" spans="1:4" x14ac:dyDescent="0.2">
      <c r="A930" s="5">
        <v>869</v>
      </c>
      <c r="B930" s="138">
        <f ca="1">'Expenditures 15-22'!F75</f>
        <v>0</v>
      </c>
      <c r="D930" s="2" t="str">
        <f t="shared" ca="1" si="13"/>
        <v>Error?</v>
      </c>
    </row>
    <row r="931" spans="1:4" x14ac:dyDescent="0.2">
      <c r="A931" s="5">
        <v>870</v>
      </c>
      <c r="B931" s="138">
        <f ca="1">'Expenditures 15-22'!F114</f>
        <v>292300</v>
      </c>
      <c r="C931" s="2" t="s">
        <v>573</v>
      </c>
      <c r="D931" s="2" t="str">
        <f t="shared" ca="1"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 ca="1">'Expenditures 15-22'!G5</f>
        <v>536</v>
      </c>
      <c r="D937" s="2" t="str">
        <f t="shared" ca="1" si="13"/>
        <v>Error?</v>
      </c>
    </row>
    <row r="938" spans="1:4" x14ac:dyDescent="0.2">
      <c r="A938" s="5">
        <v>877</v>
      </c>
      <c r="B938" s="138">
        <f ca="1">'Expenditures 15-22'!G16</f>
        <v>0</v>
      </c>
      <c r="D938" s="2" t="str">
        <f t="shared" ca="1"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 ca="1">'Expenditures 15-22'!G18</f>
        <v>0</v>
      </c>
      <c r="D944" s="2" t="str">
        <f t="shared" ca="1"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 ca="1">'Expenditures 15-22'!G12</f>
        <v>0</v>
      </c>
      <c r="D948" s="2" t="str">
        <f t="shared" ca="1" si="13"/>
        <v>Error?</v>
      </c>
    </row>
    <row r="949" spans="1:4" x14ac:dyDescent="0.2">
      <c r="A949" s="5">
        <v>888</v>
      </c>
      <c r="B949" s="138">
        <f ca="1">'Expenditures 15-22'!G13</f>
        <v>0</v>
      </c>
      <c r="D949" s="2" t="str">
        <f t="shared" ca="1" si="13"/>
        <v>Error?</v>
      </c>
    </row>
    <row r="950" spans="1:4" x14ac:dyDescent="0.2">
      <c r="A950" s="5">
        <v>889</v>
      </c>
      <c r="B950" s="138">
        <f ca="1">'Expenditures 15-22'!G14</f>
        <v>0</v>
      </c>
      <c r="D950" s="2" t="str">
        <f t="shared" ca="1" si="13"/>
        <v>Error?</v>
      </c>
    </row>
    <row r="951" spans="1:4" x14ac:dyDescent="0.2">
      <c r="A951" s="5">
        <v>890</v>
      </c>
      <c r="B951" s="138">
        <f ca="1">'Expenditures 15-22'!G15</f>
        <v>0</v>
      </c>
      <c r="D951" s="2" t="str">
        <f t="shared" ca="1" si="13"/>
        <v>Error?</v>
      </c>
    </row>
    <row r="952" spans="1:4" x14ac:dyDescent="0.2">
      <c r="A952" s="5">
        <v>891</v>
      </c>
      <c r="B952" s="138">
        <f ca="1">'Expenditures 15-22'!G33</f>
        <v>2336</v>
      </c>
      <c r="C952" s="2" t="s">
        <v>573</v>
      </c>
      <c r="D952" s="2" t="str">
        <f t="shared" ca="1" si="13"/>
        <v>Error?</v>
      </c>
    </row>
    <row r="953" spans="1:4" x14ac:dyDescent="0.2">
      <c r="A953" s="5">
        <v>892</v>
      </c>
      <c r="B953" s="138">
        <f ca="1">'Expenditures 15-22'!G36</f>
        <v>0</v>
      </c>
      <c r="D953" s="2" t="str">
        <f t="shared" ca="1" si="13"/>
        <v>Error?</v>
      </c>
    </row>
    <row r="954" spans="1:4" x14ac:dyDescent="0.2">
      <c r="A954" s="5">
        <v>893</v>
      </c>
      <c r="B954" s="138">
        <f ca="1">'Expenditures 15-22'!G37</f>
        <v>0</v>
      </c>
      <c r="D954" s="2" t="str">
        <f t="shared" ca="1" si="13"/>
        <v>Error?</v>
      </c>
    </row>
    <row r="955" spans="1:4" x14ac:dyDescent="0.2">
      <c r="A955" s="5">
        <v>894</v>
      </c>
      <c r="B955" s="138">
        <f ca="1">'Expenditures 15-22'!G38</f>
        <v>0</v>
      </c>
      <c r="D955" s="2" t="str">
        <f t="shared" ca="1" si="13"/>
        <v>Error?</v>
      </c>
    </row>
    <row r="956" spans="1:4" x14ac:dyDescent="0.2">
      <c r="A956" s="5">
        <v>895</v>
      </c>
      <c r="B956" s="138">
        <f ca="1">'Expenditures 15-22'!G39</f>
        <v>0</v>
      </c>
      <c r="D956" s="2" t="str">
        <f t="shared" ca="1" si="13"/>
        <v>Error?</v>
      </c>
    </row>
    <row r="957" spans="1:4" x14ac:dyDescent="0.2">
      <c r="A957" s="5">
        <v>896</v>
      </c>
      <c r="B957" s="138">
        <f ca="1">'Expenditures 15-22'!G40</f>
        <v>0</v>
      </c>
      <c r="D957" s="2" t="str">
        <f t="shared" ca="1" si="13"/>
        <v>Error?</v>
      </c>
    </row>
    <row r="958" spans="1:4" x14ac:dyDescent="0.2">
      <c r="A958" s="5">
        <v>897</v>
      </c>
      <c r="B958" s="138">
        <f ca="1">'Expenditures 15-22'!G41</f>
        <v>0</v>
      </c>
      <c r="D958" s="2" t="str">
        <f t="shared" ca="1" si="13"/>
        <v>Error?</v>
      </c>
    </row>
    <row r="959" spans="1:4" x14ac:dyDescent="0.2">
      <c r="A959" s="5">
        <v>898</v>
      </c>
      <c r="B959" s="138">
        <f ca="1">'Expenditures 15-22'!G42</f>
        <v>0</v>
      </c>
      <c r="C959" s="2" t="s">
        <v>573</v>
      </c>
      <c r="D959" s="2" t="str">
        <f t="shared" ref="D959:D1022" ca="1" si="14">IF(ISBLANK(B959),"OK",IF(A959-B959=0,"OK","Error?"))</f>
        <v>Error?</v>
      </c>
    </row>
    <row r="960" spans="1:4" x14ac:dyDescent="0.2">
      <c r="A960" s="5">
        <v>899</v>
      </c>
      <c r="B960" s="138">
        <f ca="1">'Expenditures 15-22'!G44</f>
        <v>0</v>
      </c>
      <c r="D960" s="2" t="str">
        <f t="shared" ca="1" si="14"/>
        <v>Error?</v>
      </c>
    </row>
    <row r="961" spans="1:4" x14ac:dyDescent="0.2">
      <c r="A961" s="5">
        <v>900</v>
      </c>
      <c r="B961" s="138">
        <f ca="1">'Expenditures 15-22'!G45</f>
        <v>0</v>
      </c>
      <c r="D961" s="2" t="str">
        <f t="shared" ca="1" si="14"/>
        <v>Error?</v>
      </c>
    </row>
    <row r="962" spans="1:4" x14ac:dyDescent="0.2">
      <c r="A962" s="5">
        <v>901</v>
      </c>
      <c r="B962" s="138">
        <f ca="1">'Expenditures 15-22'!G46</f>
        <v>0</v>
      </c>
      <c r="D962" s="2" t="str">
        <f t="shared" ca="1" si="14"/>
        <v>Error?</v>
      </c>
    </row>
    <row r="963" spans="1:4" x14ac:dyDescent="0.2">
      <c r="A963" s="5">
        <v>902</v>
      </c>
      <c r="B963" s="138">
        <f ca="1">'Expenditures 15-22'!G47</f>
        <v>0</v>
      </c>
      <c r="C963" s="2" t="s">
        <v>573</v>
      </c>
      <c r="D963" s="2" t="str">
        <f t="shared" ca="1" si="14"/>
        <v>Error?</v>
      </c>
    </row>
    <row r="964" spans="1:4" x14ac:dyDescent="0.2">
      <c r="A964" s="5">
        <v>903</v>
      </c>
      <c r="B964" s="138">
        <f ca="1">'Expenditures 15-22'!G49</f>
        <v>0</v>
      </c>
      <c r="D964" s="2" t="str">
        <f t="shared" ca="1" si="14"/>
        <v>Error?</v>
      </c>
    </row>
    <row r="965" spans="1:4" x14ac:dyDescent="0.2">
      <c r="A965" s="5">
        <v>904</v>
      </c>
      <c r="B965" s="138">
        <f ca="1">'Expenditures 15-22'!G50</f>
        <v>5430</v>
      </c>
      <c r="D965" s="2" t="str">
        <f t="shared" ca="1" si="14"/>
        <v>Error?</v>
      </c>
    </row>
    <row r="966" spans="1:4" x14ac:dyDescent="0.2">
      <c r="A966" s="5">
        <v>905</v>
      </c>
      <c r="B966" s="138">
        <f ca="1">'Expenditures 15-22'!G53</f>
        <v>5430</v>
      </c>
      <c r="C966" s="2" t="s">
        <v>573</v>
      </c>
      <c r="D966" s="2" t="str">
        <f t="shared" ca="1" si="14"/>
        <v>Error?</v>
      </c>
    </row>
    <row r="967" spans="1:4" x14ac:dyDescent="0.2">
      <c r="A967" s="5">
        <v>906</v>
      </c>
      <c r="B967" s="138">
        <f ca="1">'Expenditures 15-22'!G55</f>
        <v>0</v>
      </c>
      <c r="D967" s="2" t="str">
        <f t="shared" ca="1" si="14"/>
        <v>Error?</v>
      </c>
    </row>
    <row r="968" spans="1:4" x14ac:dyDescent="0.2">
      <c r="A968" s="5">
        <v>907</v>
      </c>
      <c r="B968" s="138">
        <f ca="1">'Expenditures 15-22'!G56</f>
        <v>0</v>
      </c>
      <c r="D968" s="2" t="str">
        <f t="shared" ca="1" si="14"/>
        <v>Error?</v>
      </c>
    </row>
    <row r="969" spans="1:4" x14ac:dyDescent="0.2">
      <c r="A969" s="5">
        <v>908</v>
      </c>
      <c r="B969" s="138">
        <f ca="1">'Expenditures 15-22'!G57</f>
        <v>0</v>
      </c>
      <c r="C969" s="2" t="s">
        <v>573</v>
      </c>
      <c r="D969" s="2" t="str">
        <f t="shared" ca="1" si="14"/>
        <v>Error?</v>
      </c>
    </row>
    <row r="970" spans="1:4" x14ac:dyDescent="0.2">
      <c r="A970" s="5">
        <v>909</v>
      </c>
      <c r="B970" s="138">
        <f ca="1">'Expenditures 15-22'!G59</f>
        <v>0</v>
      </c>
      <c r="D970" s="2" t="str">
        <f t="shared" ca="1" si="14"/>
        <v>Error?</v>
      </c>
    </row>
    <row r="971" spans="1:4" x14ac:dyDescent="0.2">
      <c r="A971" s="5">
        <v>910</v>
      </c>
      <c r="B971" s="138">
        <f ca="1">'Expenditures 15-22'!G60</f>
        <v>0</v>
      </c>
      <c r="D971" s="2" t="str">
        <f t="shared" ca="1" si="14"/>
        <v>Error?</v>
      </c>
    </row>
    <row r="972" spans="1:4" x14ac:dyDescent="0.2">
      <c r="A972" s="5">
        <v>911</v>
      </c>
      <c r="B972" s="138">
        <f ca="1">'Expenditures 15-22'!G61</f>
        <v>0</v>
      </c>
      <c r="D972" s="2" t="str">
        <f t="shared" ca="1" si="14"/>
        <v>Error?</v>
      </c>
    </row>
    <row r="973" spans="1:4" x14ac:dyDescent="0.2">
      <c r="A973" s="5">
        <v>912</v>
      </c>
      <c r="B973" s="138">
        <f ca="1">'Expenditures 15-22'!G62</f>
        <v>0</v>
      </c>
      <c r="D973" s="2" t="str">
        <f t="shared" ca="1" si="14"/>
        <v>Error?</v>
      </c>
    </row>
    <row r="974" spans="1:4" x14ac:dyDescent="0.2">
      <c r="A974" s="5">
        <v>913</v>
      </c>
      <c r="B974" s="138">
        <f ca="1">'Expenditures 15-22'!G63</f>
        <v>0</v>
      </c>
      <c r="D974" s="2" t="str">
        <f t="shared" ca="1" si="14"/>
        <v>Error?</v>
      </c>
    </row>
    <row r="975" spans="1:4" x14ac:dyDescent="0.2">
      <c r="A975" s="5">
        <v>914</v>
      </c>
      <c r="B975" s="138">
        <f ca="1">'Expenditures 15-22'!G64</f>
        <v>0</v>
      </c>
      <c r="D975" s="2" t="str">
        <f t="shared" ca="1" si="14"/>
        <v>Error?</v>
      </c>
    </row>
    <row r="976" spans="1:4" x14ac:dyDescent="0.2">
      <c r="A976" s="10">
        <v>915</v>
      </c>
      <c r="D976" s="2" t="str">
        <f t="shared" si="14"/>
        <v>OK</v>
      </c>
    </row>
    <row r="977" spans="1:4" x14ac:dyDescent="0.2">
      <c r="A977" s="5">
        <v>916</v>
      </c>
      <c r="B977" s="138">
        <f ca="1">'Expenditures 15-22'!G65</f>
        <v>0</v>
      </c>
      <c r="C977" s="2" t="s">
        <v>573</v>
      </c>
      <c r="D977" s="2" t="str">
        <f t="shared" ca="1" si="14"/>
        <v>Error?</v>
      </c>
    </row>
    <row r="978" spans="1:4" x14ac:dyDescent="0.2">
      <c r="A978" s="5">
        <v>917</v>
      </c>
      <c r="B978" s="138">
        <f ca="1">'Expenditures 15-22'!G67</f>
        <v>0</v>
      </c>
      <c r="D978" s="2" t="str">
        <f t="shared" ca="1" si="14"/>
        <v>Error?</v>
      </c>
    </row>
    <row r="979" spans="1:4" x14ac:dyDescent="0.2">
      <c r="A979" s="5">
        <v>918</v>
      </c>
      <c r="B979" s="138">
        <f ca="1">'Expenditures 15-22'!G68</f>
        <v>0</v>
      </c>
      <c r="D979" s="2" t="str">
        <f t="shared" ca="1" si="14"/>
        <v>Error?</v>
      </c>
    </row>
    <row r="980" spans="1:4" x14ac:dyDescent="0.2">
      <c r="A980" s="5">
        <v>919</v>
      </c>
      <c r="B980" s="138">
        <f ca="1">'Expenditures 15-22'!G69</f>
        <v>0</v>
      </c>
      <c r="D980" s="2" t="str">
        <f t="shared" ca="1" si="14"/>
        <v>Error?</v>
      </c>
    </row>
    <row r="981" spans="1:4" x14ac:dyDescent="0.2">
      <c r="A981" s="5">
        <v>920</v>
      </c>
      <c r="B981" s="138">
        <f ca="1">'Expenditures 15-22'!G70</f>
        <v>0</v>
      </c>
      <c r="D981" s="2" t="str">
        <f t="shared" ca="1" si="14"/>
        <v>Error?</v>
      </c>
    </row>
    <row r="982" spans="1:4" x14ac:dyDescent="0.2">
      <c r="A982" s="10">
        <v>921</v>
      </c>
      <c r="D982" s="2" t="str">
        <f t="shared" si="14"/>
        <v>OK</v>
      </c>
    </row>
    <row r="983" spans="1:4" x14ac:dyDescent="0.2">
      <c r="A983" s="5">
        <v>922</v>
      </c>
      <c r="B983" s="138">
        <f ca="1">'Expenditures 15-22'!G71</f>
        <v>0</v>
      </c>
      <c r="D983" s="2" t="str">
        <f t="shared" ca="1" si="14"/>
        <v>Error?</v>
      </c>
    </row>
    <row r="984" spans="1:4" x14ac:dyDescent="0.2">
      <c r="A984" s="10">
        <v>923</v>
      </c>
      <c r="D984" s="2" t="str">
        <f t="shared" si="14"/>
        <v>OK</v>
      </c>
    </row>
    <row r="985" spans="1:4" x14ac:dyDescent="0.2">
      <c r="A985" s="5">
        <v>924</v>
      </c>
      <c r="B985" s="138">
        <f ca="1">'Expenditures 15-22'!G72</f>
        <v>0</v>
      </c>
      <c r="C985" s="2" t="s">
        <v>573</v>
      </c>
      <c r="D985" s="2" t="str">
        <f t="shared" ca="1" si="14"/>
        <v>Error?</v>
      </c>
    </row>
    <row r="986" spans="1:4" x14ac:dyDescent="0.2">
      <c r="A986" s="5">
        <v>925</v>
      </c>
      <c r="B986" s="138">
        <f ca="1">'Expenditures 15-22'!G73</f>
        <v>0</v>
      </c>
      <c r="D986" s="2" t="str">
        <f t="shared" ca="1" si="14"/>
        <v>Error?</v>
      </c>
    </row>
    <row r="987" spans="1:4" x14ac:dyDescent="0.2">
      <c r="A987" s="5">
        <v>926</v>
      </c>
      <c r="B987" s="138">
        <f ca="1">'Expenditures 15-22'!G74</f>
        <v>5430</v>
      </c>
      <c r="C987" s="2" t="s">
        <v>573</v>
      </c>
      <c r="D987" s="2" t="str">
        <f t="shared" ca="1" si="14"/>
        <v>Error?</v>
      </c>
    </row>
    <row r="988" spans="1:4" x14ac:dyDescent="0.2">
      <c r="A988" s="5">
        <v>927</v>
      </c>
      <c r="B988" s="138">
        <f ca="1">'Expenditures 15-22'!G75</f>
        <v>0</v>
      </c>
      <c r="D988" s="2" t="str">
        <f t="shared" ca="1" si="14"/>
        <v>Error?</v>
      </c>
    </row>
    <row r="989" spans="1:4" x14ac:dyDescent="0.2">
      <c r="A989" s="5">
        <v>928</v>
      </c>
      <c r="B989" s="138">
        <f ca="1">'Expenditures 15-22'!G114</f>
        <v>7766</v>
      </c>
      <c r="C989" s="2" t="s">
        <v>573</v>
      </c>
      <c r="D989" s="2" t="str">
        <f t="shared" ca="1"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 ca="1">'Expenditures 15-22'!H5</f>
        <v>16698</v>
      </c>
      <c r="C995" s="9"/>
      <c r="D995" s="2" t="str">
        <f t="shared" ca="1" si="14"/>
        <v>Error?</v>
      </c>
    </row>
    <row r="996" spans="1:4" x14ac:dyDescent="0.2">
      <c r="A996" s="5">
        <v>935</v>
      </c>
      <c r="B996" s="138">
        <f ca="1">'Expenditures 15-22'!H16</f>
        <v>0</v>
      </c>
      <c r="D996" s="2" t="str">
        <f t="shared" ca="1"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 ca="1">'Expenditures 15-22'!H18</f>
        <v>0</v>
      </c>
      <c r="D1002" s="2" t="str">
        <f t="shared" ca="1"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 ca="1">'Expenditures 15-22'!H12</f>
        <v>0</v>
      </c>
      <c r="D1006" s="2" t="str">
        <f t="shared" ca="1" si="14"/>
        <v>Error?</v>
      </c>
    </row>
    <row r="1007" spans="1:4" x14ac:dyDescent="0.2">
      <c r="A1007" s="5">
        <v>946</v>
      </c>
      <c r="B1007" s="138">
        <f ca="1">'Expenditures 15-22'!H13</f>
        <v>0</v>
      </c>
      <c r="D1007" s="2" t="str">
        <f t="shared" ca="1" si="14"/>
        <v>Error?</v>
      </c>
    </row>
    <row r="1008" spans="1:4" x14ac:dyDescent="0.2">
      <c r="A1008" s="5">
        <v>947</v>
      </c>
      <c r="B1008" s="138">
        <f ca="1">'Expenditures 15-22'!H14</f>
        <v>1878</v>
      </c>
      <c r="D1008" s="2" t="str">
        <f t="shared" ca="1" si="14"/>
        <v>Error?</v>
      </c>
    </row>
    <row r="1009" spans="1:4" x14ac:dyDescent="0.2">
      <c r="A1009" s="5">
        <v>948</v>
      </c>
      <c r="B1009" s="138">
        <f ca="1">'Expenditures 15-22'!H15</f>
        <v>0</v>
      </c>
      <c r="D1009" s="2" t="str">
        <f t="shared" ca="1" si="14"/>
        <v>Error?</v>
      </c>
    </row>
    <row r="1010" spans="1:4" x14ac:dyDescent="0.2">
      <c r="A1010" s="5">
        <v>949</v>
      </c>
      <c r="B1010" s="138">
        <f ca="1">'Expenditures 15-22'!H33</f>
        <v>81053</v>
      </c>
      <c r="C1010" s="2" t="s">
        <v>573</v>
      </c>
      <c r="D1010" s="2" t="str">
        <f t="shared" ca="1" si="14"/>
        <v>Error?</v>
      </c>
    </row>
    <row r="1011" spans="1:4" x14ac:dyDescent="0.2">
      <c r="A1011" s="5">
        <v>950</v>
      </c>
      <c r="B1011" s="138">
        <f ca="1">'Expenditures 15-22'!H36</f>
        <v>0</v>
      </c>
      <c r="D1011" s="2" t="str">
        <f t="shared" ca="1" si="14"/>
        <v>Error?</v>
      </c>
    </row>
    <row r="1012" spans="1:4" x14ac:dyDescent="0.2">
      <c r="A1012" s="5">
        <v>951</v>
      </c>
      <c r="B1012" s="138">
        <f ca="1">'Expenditures 15-22'!H37</f>
        <v>0</v>
      </c>
      <c r="D1012" s="2" t="str">
        <f t="shared" ca="1" si="14"/>
        <v>Error?</v>
      </c>
    </row>
    <row r="1013" spans="1:4" x14ac:dyDescent="0.2">
      <c r="A1013" s="5">
        <v>952</v>
      </c>
      <c r="B1013" s="138">
        <f ca="1">'Expenditures 15-22'!H38</f>
        <v>0</v>
      </c>
      <c r="D1013" s="2" t="str">
        <f t="shared" ca="1" si="14"/>
        <v>Error?</v>
      </c>
    </row>
    <row r="1014" spans="1:4" x14ac:dyDescent="0.2">
      <c r="A1014" s="5">
        <v>953</v>
      </c>
      <c r="B1014" s="138">
        <f ca="1">'Expenditures 15-22'!H39</f>
        <v>0</v>
      </c>
      <c r="D1014" s="2" t="str">
        <f t="shared" ca="1" si="14"/>
        <v>Error?</v>
      </c>
    </row>
    <row r="1015" spans="1:4" x14ac:dyDescent="0.2">
      <c r="A1015" s="5">
        <v>954</v>
      </c>
      <c r="B1015" s="138">
        <f ca="1">'Expenditures 15-22'!H40</f>
        <v>0</v>
      </c>
      <c r="D1015" s="2" t="str">
        <f t="shared" ca="1" si="14"/>
        <v>Error?</v>
      </c>
    </row>
    <row r="1016" spans="1:4" x14ac:dyDescent="0.2">
      <c r="A1016" s="5">
        <v>955</v>
      </c>
      <c r="B1016" s="138">
        <f ca="1">'Expenditures 15-22'!H41</f>
        <v>0</v>
      </c>
      <c r="D1016" s="2" t="str">
        <f t="shared" ca="1" si="14"/>
        <v>Error?</v>
      </c>
    </row>
    <row r="1017" spans="1:4" x14ac:dyDescent="0.2">
      <c r="A1017" s="5">
        <v>956</v>
      </c>
      <c r="B1017" s="138">
        <f ca="1">'Expenditures 15-22'!H42</f>
        <v>0</v>
      </c>
      <c r="C1017" s="2" t="s">
        <v>573</v>
      </c>
      <c r="D1017" s="2" t="str">
        <f t="shared" ca="1" si="14"/>
        <v>Error?</v>
      </c>
    </row>
    <row r="1018" spans="1:4" x14ac:dyDescent="0.2">
      <c r="A1018" s="5">
        <v>957</v>
      </c>
      <c r="B1018" s="138">
        <f ca="1">'Expenditures 15-22'!H44</f>
        <v>0</v>
      </c>
      <c r="D1018" s="2" t="str">
        <f t="shared" ca="1" si="14"/>
        <v>Error?</v>
      </c>
    </row>
    <row r="1019" spans="1:4" x14ac:dyDescent="0.2">
      <c r="A1019" s="5">
        <v>958</v>
      </c>
      <c r="B1019" s="138">
        <f ca="1">'Expenditures 15-22'!H45</f>
        <v>0</v>
      </c>
      <c r="D1019" s="2" t="str">
        <f t="shared" ca="1" si="14"/>
        <v>Error?</v>
      </c>
    </row>
    <row r="1020" spans="1:4" x14ac:dyDescent="0.2">
      <c r="A1020" s="5">
        <v>959</v>
      </c>
      <c r="B1020" s="138">
        <f ca="1">'Expenditures 15-22'!H46</f>
        <v>0</v>
      </c>
      <c r="D1020" s="2" t="str">
        <f t="shared" ca="1" si="14"/>
        <v>Error?</v>
      </c>
    </row>
    <row r="1021" spans="1:4" x14ac:dyDescent="0.2">
      <c r="A1021" s="5">
        <v>960</v>
      </c>
      <c r="B1021" s="138">
        <f ca="1">'Expenditures 15-22'!H47</f>
        <v>0</v>
      </c>
      <c r="C1021" s="2" t="s">
        <v>573</v>
      </c>
      <c r="D1021" s="2" t="str">
        <f t="shared" ca="1" si="14"/>
        <v>Error?</v>
      </c>
    </row>
    <row r="1022" spans="1:4" x14ac:dyDescent="0.2">
      <c r="A1022" s="5">
        <v>961</v>
      </c>
      <c r="B1022" s="138">
        <f ca="1">'Expenditures 15-22'!H49</f>
        <v>16581</v>
      </c>
      <c r="D1022" s="2" t="str">
        <f t="shared" ca="1" si="14"/>
        <v>Error?</v>
      </c>
    </row>
    <row r="1023" spans="1:4" x14ac:dyDescent="0.2">
      <c r="A1023" s="5">
        <v>962</v>
      </c>
      <c r="B1023" s="138">
        <f ca="1">'Expenditures 15-22'!H50</f>
        <v>2200</v>
      </c>
      <c r="D1023" s="2" t="str">
        <f t="shared" ref="D1023:D1086" ca="1" si="15">IF(ISBLANK(B1023),"OK",IF(A1023-B1023=0,"OK","Error?"))</f>
        <v>Error?</v>
      </c>
    </row>
    <row r="1024" spans="1:4" x14ac:dyDescent="0.2">
      <c r="A1024" s="5">
        <v>963</v>
      </c>
      <c r="B1024" s="138">
        <f ca="1">'Expenditures 15-22'!H53</f>
        <v>18781</v>
      </c>
      <c r="C1024" s="2" t="s">
        <v>573</v>
      </c>
      <c r="D1024" s="2" t="str">
        <f t="shared" ca="1" si="15"/>
        <v>Error?</v>
      </c>
    </row>
    <row r="1025" spans="1:4" x14ac:dyDescent="0.2">
      <c r="A1025" s="5">
        <v>964</v>
      </c>
      <c r="B1025" s="138">
        <f ca="1">'Expenditures 15-22'!H55</f>
        <v>395</v>
      </c>
      <c r="D1025" s="2" t="str">
        <f t="shared" ca="1" si="15"/>
        <v>Error?</v>
      </c>
    </row>
    <row r="1026" spans="1:4" x14ac:dyDescent="0.2">
      <c r="A1026" s="5">
        <v>965</v>
      </c>
      <c r="B1026" s="138">
        <f ca="1">'Expenditures 15-22'!H56</f>
        <v>0</v>
      </c>
      <c r="D1026" s="2" t="str">
        <f t="shared" ca="1" si="15"/>
        <v>Error?</v>
      </c>
    </row>
    <row r="1027" spans="1:4" x14ac:dyDescent="0.2">
      <c r="A1027" s="5">
        <v>966</v>
      </c>
      <c r="B1027" s="138">
        <f ca="1">'Expenditures 15-22'!H57</f>
        <v>395</v>
      </c>
      <c r="C1027" s="2" t="s">
        <v>573</v>
      </c>
      <c r="D1027" s="2" t="str">
        <f t="shared" ca="1" si="15"/>
        <v>Error?</v>
      </c>
    </row>
    <row r="1028" spans="1:4" x14ac:dyDescent="0.2">
      <c r="A1028" s="5">
        <v>967</v>
      </c>
      <c r="B1028" s="138">
        <f ca="1">'Expenditures 15-22'!H59</f>
        <v>0</v>
      </c>
      <c r="D1028" s="2" t="str">
        <f t="shared" ca="1" si="15"/>
        <v>Error?</v>
      </c>
    </row>
    <row r="1029" spans="1:4" x14ac:dyDescent="0.2">
      <c r="A1029" s="5">
        <v>968</v>
      </c>
      <c r="B1029" s="138">
        <f ca="1">'Expenditures 15-22'!H60</f>
        <v>3022</v>
      </c>
      <c r="D1029" s="2" t="str">
        <f t="shared" ca="1" si="15"/>
        <v>Error?</v>
      </c>
    </row>
    <row r="1030" spans="1:4" x14ac:dyDescent="0.2">
      <c r="A1030" s="5">
        <v>969</v>
      </c>
      <c r="B1030" s="138">
        <f ca="1">'Expenditures 15-22'!H61</f>
        <v>0</v>
      </c>
      <c r="D1030" s="2" t="str">
        <f t="shared" ca="1" si="15"/>
        <v>Error?</v>
      </c>
    </row>
    <row r="1031" spans="1:4" x14ac:dyDescent="0.2">
      <c r="A1031" s="5">
        <v>970</v>
      </c>
      <c r="B1031" s="138">
        <f ca="1">'Expenditures 15-22'!H62</f>
        <v>0</v>
      </c>
      <c r="D1031" s="2" t="str">
        <f t="shared" ca="1" si="15"/>
        <v>Error?</v>
      </c>
    </row>
    <row r="1032" spans="1:4" x14ac:dyDescent="0.2">
      <c r="A1032" s="5">
        <v>971</v>
      </c>
      <c r="B1032" s="138">
        <f ca="1">'Expenditures 15-22'!H63</f>
        <v>0</v>
      </c>
      <c r="D1032" s="2" t="str">
        <f t="shared" ca="1" si="15"/>
        <v>Error?</v>
      </c>
    </row>
    <row r="1033" spans="1:4" x14ac:dyDescent="0.2">
      <c r="A1033" s="5">
        <v>972</v>
      </c>
      <c r="B1033" s="138">
        <f ca="1">'Expenditures 15-22'!H64</f>
        <v>0</v>
      </c>
      <c r="D1033" s="2" t="str">
        <f t="shared" ca="1" si="15"/>
        <v>Error?</v>
      </c>
    </row>
    <row r="1034" spans="1:4" x14ac:dyDescent="0.2">
      <c r="A1034" s="10">
        <v>973</v>
      </c>
      <c r="D1034" s="2" t="str">
        <f t="shared" si="15"/>
        <v>OK</v>
      </c>
    </row>
    <row r="1035" spans="1:4" x14ac:dyDescent="0.2">
      <c r="A1035" s="5">
        <v>974</v>
      </c>
      <c r="B1035" s="138">
        <f ca="1">'Expenditures 15-22'!H65</f>
        <v>3022</v>
      </c>
      <c r="C1035" s="2" t="s">
        <v>573</v>
      </c>
      <c r="D1035" s="2" t="str">
        <f t="shared" ca="1" si="15"/>
        <v>Error?</v>
      </c>
    </row>
    <row r="1036" spans="1:4" x14ac:dyDescent="0.2">
      <c r="A1036" s="5">
        <v>975</v>
      </c>
      <c r="B1036" s="138">
        <f ca="1">'Expenditures 15-22'!H67</f>
        <v>0</v>
      </c>
      <c r="D1036" s="2" t="str">
        <f t="shared" ca="1" si="15"/>
        <v>Error?</v>
      </c>
    </row>
    <row r="1037" spans="1:4" x14ac:dyDescent="0.2">
      <c r="A1037" s="5">
        <v>976</v>
      </c>
      <c r="B1037" s="138">
        <f ca="1">'Expenditures 15-22'!H68</f>
        <v>0</v>
      </c>
      <c r="D1037" s="2" t="str">
        <f t="shared" ca="1" si="15"/>
        <v>Error?</v>
      </c>
    </row>
    <row r="1038" spans="1:4" x14ac:dyDescent="0.2">
      <c r="A1038" s="5">
        <v>977</v>
      </c>
      <c r="B1038" s="138">
        <f ca="1">'Expenditures 15-22'!H69</f>
        <v>0</v>
      </c>
      <c r="D1038" s="2" t="str">
        <f t="shared" ca="1" si="15"/>
        <v>Error?</v>
      </c>
    </row>
    <row r="1039" spans="1:4" x14ac:dyDescent="0.2">
      <c r="A1039" s="5">
        <v>978</v>
      </c>
      <c r="B1039" s="138">
        <f ca="1">'Expenditures 15-22'!H70</f>
        <v>0</v>
      </c>
      <c r="D1039" s="2" t="str">
        <f t="shared" ca="1" si="15"/>
        <v>Error?</v>
      </c>
    </row>
    <row r="1040" spans="1:4" x14ac:dyDescent="0.2">
      <c r="A1040" s="10">
        <v>979</v>
      </c>
      <c r="D1040" s="2" t="str">
        <f t="shared" si="15"/>
        <v>OK</v>
      </c>
    </row>
    <row r="1041" spans="1:4" x14ac:dyDescent="0.2">
      <c r="A1041" s="5">
        <v>980</v>
      </c>
      <c r="B1041" s="138">
        <f ca="1">'Expenditures 15-22'!H71</f>
        <v>0</v>
      </c>
      <c r="D1041" s="2" t="str">
        <f t="shared" ca="1" si="15"/>
        <v>Error?</v>
      </c>
    </row>
    <row r="1042" spans="1:4" x14ac:dyDescent="0.2">
      <c r="A1042" s="10">
        <v>981</v>
      </c>
      <c r="D1042" s="2" t="str">
        <f t="shared" si="15"/>
        <v>OK</v>
      </c>
    </row>
    <row r="1043" spans="1:4" x14ac:dyDescent="0.2">
      <c r="A1043" s="5">
        <v>982</v>
      </c>
      <c r="B1043" s="138">
        <f ca="1">'Expenditures 15-22'!H72</f>
        <v>0</v>
      </c>
      <c r="C1043" s="2" t="s">
        <v>573</v>
      </c>
      <c r="D1043" s="2" t="str">
        <f t="shared" ca="1" si="15"/>
        <v>Error?</v>
      </c>
    </row>
    <row r="1044" spans="1:4" x14ac:dyDescent="0.2">
      <c r="A1044" s="5">
        <v>983</v>
      </c>
      <c r="B1044" s="138">
        <f ca="1">'Expenditures 15-22'!H73</f>
        <v>0</v>
      </c>
      <c r="D1044" s="2" t="str">
        <f t="shared" ca="1" si="15"/>
        <v>Error?</v>
      </c>
    </row>
    <row r="1045" spans="1:4" x14ac:dyDescent="0.2">
      <c r="A1045" s="5">
        <v>984</v>
      </c>
      <c r="B1045" s="138">
        <f ca="1">'Expenditures 15-22'!H74</f>
        <v>22198</v>
      </c>
      <c r="C1045" s="2" t="s">
        <v>573</v>
      </c>
      <c r="D1045" s="2" t="str">
        <f t="shared" ca="1" si="15"/>
        <v>Error?</v>
      </c>
    </row>
    <row r="1046" spans="1:4" x14ac:dyDescent="0.2">
      <c r="A1046" s="5">
        <v>985</v>
      </c>
      <c r="B1046" s="138">
        <f ca="1">'Expenditures 15-22'!H75</f>
        <v>0</v>
      </c>
      <c r="D1046" s="2" t="str">
        <f t="shared" ca="1" si="15"/>
        <v>Error?</v>
      </c>
    </row>
    <row r="1047" spans="1:4" x14ac:dyDescent="0.2">
      <c r="A1047" s="5">
        <v>986</v>
      </c>
      <c r="B1047" s="138">
        <f ca="1">'Expenditures 15-22'!H102</f>
        <v>0</v>
      </c>
      <c r="C1047" s="2" t="s">
        <v>573</v>
      </c>
      <c r="D1047" s="2" t="str">
        <f t="shared" ca="1" si="15"/>
        <v>Error?</v>
      </c>
    </row>
    <row r="1048" spans="1:4" x14ac:dyDescent="0.2">
      <c r="A1048" s="5">
        <v>987</v>
      </c>
      <c r="B1048" s="138">
        <f ca="1">'Expenditures 15-22'!H105</f>
        <v>0</v>
      </c>
      <c r="D1048" s="2" t="str">
        <f t="shared" ca="1" si="15"/>
        <v>Error?</v>
      </c>
    </row>
    <row r="1049" spans="1:4" x14ac:dyDescent="0.2">
      <c r="A1049" s="5">
        <v>988</v>
      </c>
      <c r="B1049" s="138">
        <f ca="1">'Expenditures 15-22'!H106</f>
        <v>0</v>
      </c>
      <c r="D1049" s="2" t="str">
        <f t="shared" ca="1" si="15"/>
        <v>Error?</v>
      </c>
    </row>
    <row r="1050" spans="1:4" x14ac:dyDescent="0.2">
      <c r="A1050" s="10">
        <v>989</v>
      </c>
      <c r="D1050" s="2" t="str">
        <f t="shared" si="15"/>
        <v>OK</v>
      </c>
    </row>
    <row r="1051" spans="1:4" x14ac:dyDescent="0.2">
      <c r="A1051" s="5">
        <v>990</v>
      </c>
      <c r="B1051" s="138">
        <f ca="1">'Expenditures 15-22'!H109</f>
        <v>0</v>
      </c>
      <c r="D1051" s="2" t="str">
        <f t="shared" ca="1" si="15"/>
        <v>Error?</v>
      </c>
    </row>
    <row r="1052" spans="1:4" x14ac:dyDescent="0.2">
      <c r="A1052" s="10">
        <v>991</v>
      </c>
      <c r="D1052" s="2" t="str">
        <f t="shared" si="15"/>
        <v>OK</v>
      </c>
    </row>
    <row r="1053" spans="1:4" x14ac:dyDescent="0.2">
      <c r="A1053" s="5">
        <v>992</v>
      </c>
      <c r="B1053" s="138">
        <f ca="1">'Expenditures 15-22'!H110</f>
        <v>0</v>
      </c>
      <c r="C1053" s="2" t="s">
        <v>573</v>
      </c>
      <c r="D1053" s="2" t="str">
        <f t="shared" ca="1" si="15"/>
        <v>Error?</v>
      </c>
    </row>
    <row r="1054" spans="1:4" x14ac:dyDescent="0.2">
      <c r="A1054" s="5">
        <v>993</v>
      </c>
      <c r="B1054" s="138">
        <f ca="1">'Expenditures 15-22'!H114</f>
        <v>103251</v>
      </c>
      <c r="C1054" s="2" t="s">
        <v>573</v>
      </c>
      <c r="D1054" s="2" t="str">
        <f t="shared" ca="1"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 ca="1">'Expenditures 15-22'!K5</f>
        <v>824557</v>
      </c>
      <c r="C1093" s="2" t="s">
        <v>573</v>
      </c>
      <c r="D1093" s="2" t="str">
        <f t="shared" ca="1" si="16"/>
        <v>Error?</v>
      </c>
    </row>
    <row r="1094" spans="1:4" x14ac:dyDescent="0.2">
      <c r="A1094" s="5">
        <v>1033</v>
      </c>
      <c r="B1094" s="138">
        <f ca="1">'Expenditures 15-22'!K16</f>
        <v>0</v>
      </c>
      <c r="C1094" s="2" t="s">
        <v>573</v>
      </c>
      <c r="D1094" s="2" t="str">
        <f t="shared" ca="1"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 ca="1">'Expenditures 15-22'!K18</f>
        <v>0</v>
      </c>
      <c r="C1100" s="2" t="s">
        <v>573</v>
      </c>
      <c r="D1100" s="2" t="str">
        <f t="shared" ca="1"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 ca="1">'Expenditures 15-22'!K12</f>
        <v>0</v>
      </c>
      <c r="C1104" s="2" t="s">
        <v>573</v>
      </c>
      <c r="D1104" s="2" t="str">
        <f t="shared" ca="1" si="16"/>
        <v>Error?</v>
      </c>
    </row>
    <row r="1105" spans="1:4" x14ac:dyDescent="0.2">
      <c r="A1105" s="5">
        <v>1044</v>
      </c>
      <c r="B1105" s="138">
        <f ca="1">'Expenditures 15-22'!K13</f>
        <v>0</v>
      </c>
      <c r="C1105" s="2" t="s">
        <v>573</v>
      </c>
      <c r="D1105" s="2" t="str">
        <f t="shared" ca="1" si="16"/>
        <v>Error?</v>
      </c>
    </row>
    <row r="1106" spans="1:4" x14ac:dyDescent="0.2">
      <c r="A1106" s="5">
        <v>1045</v>
      </c>
      <c r="B1106" s="138">
        <f ca="1">'Expenditures 15-22'!K14</f>
        <v>46050</v>
      </c>
      <c r="C1106" s="2" t="s">
        <v>573</v>
      </c>
      <c r="D1106" s="2" t="str">
        <f t="shared" ca="1" si="16"/>
        <v>Error?</v>
      </c>
    </row>
    <row r="1107" spans="1:4" x14ac:dyDescent="0.2">
      <c r="A1107" s="5">
        <v>1046</v>
      </c>
      <c r="B1107" s="138">
        <f ca="1">'Expenditures 15-22'!K15</f>
        <v>0</v>
      </c>
      <c r="C1107" s="2" t="s">
        <v>573</v>
      </c>
      <c r="D1107" s="2" t="str">
        <f t="shared" ca="1" si="16"/>
        <v>Error?</v>
      </c>
    </row>
    <row r="1108" spans="1:4" x14ac:dyDescent="0.2">
      <c r="A1108" s="5">
        <v>1047</v>
      </c>
      <c r="B1108" s="138">
        <f ca="1">'Expenditures 15-22'!K33</f>
        <v>1170722</v>
      </c>
      <c r="C1108" s="2" t="s">
        <v>573</v>
      </c>
      <c r="D1108" s="2" t="str">
        <f t="shared" ca="1" si="16"/>
        <v>Error?</v>
      </c>
    </row>
    <row r="1109" spans="1:4" x14ac:dyDescent="0.2">
      <c r="A1109" s="5">
        <v>1048</v>
      </c>
      <c r="B1109" s="138">
        <f ca="1">'Expenditures 15-22'!K36</f>
        <v>0</v>
      </c>
      <c r="C1109" s="2" t="s">
        <v>573</v>
      </c>
      <c r="D1109" s="2" t="str">
        <f t="shared" ca="1" si="16"/>
        <v>Error?</v>
      </c>
    </row>
    <row r="1110" spans="1:4" x14ac:dyDescent="0.2">
      <c r="A1110" s="5">
        <v>1049</v>
      </c>
      <c r="B1110" s="138">
        <f ca="1">'Expenditures 15-22'!K37</f>
        <v>0</v>
      </c>
      <c r="C1110" s="2" t="s">
        <v>573</v>
      </c>
      <c r="D1110" s="2" t="str">
        <f t="shared" ca="1" si="16"/>
        <v>Error?</v>
      </c>
    </row>
    <row r="1111" spans="1:4" x14ac:dyDescent="0.2">
      <c r="A1111" s="5">
        <v>1050</v>
      </c>
      <c r="B1111" s="138">
        <f ca="1">'Expenditures 15-22'!K38</f>
        <v>0</v>
      </c>
      <c r="C1111" s="2" t="s">
        <v>573</v>
      </c>
      <c r="D1111" s="2" t="str">
        <f t="shared" ca="1" si="16"/>
        <v>Error?</v>
      </c>
    </row>
    <row r="1112" spans="1:4" x14ac:dyDescent="0.2">
      <c r="A1112" s="5">
        <v>1051</v>
      </c>
      <c r="B1112" s="138">
        <f ca="1">'Expenditures 15-22'!K39</f>
        <v>0</v>
      </c>
      <c r="C1112" s="2" t="s">
        <v>573</v>
      </c>
      <c r="D1112" s="2" t="str">
        <f t="shared" ca="1" si="16"/>
        <v>Error?</v>
      </c>
    </row>
    <row r="1113" spans="1:4" x14ac:dyDescent="0.2">
      <c r="A1113" s="5">
        <v>1052</v>
      </c>
      <c r="B1113" s="138">
        <f ca="1">'Expenditures 15-22'!K40</f>
        <v>44795</v>
      </c>
      <c r="C1113" s="2" t="s">
        <v>573</v>
      </c>
      <c r="D1113" s="2" t="str">
        <f t="shared" ca="1" si="16"/>
        <v>Error?</v>
      </c>
    </row>
    <row r="1114" spans="1:4" x14ac:dyDescent="0.2">
      <c r="A1114" s="5">
        <v>1053</v>
      </c>
      <c r="B1114" s="138">
        <f ca="1">'Expenditures 15-22'!K41</f>
        <v>0</v>
      </c>
      <c r="C1114" s="2" t="s">
        <v>573</v>
      </c>
      <c r="D1114" s="2" t="str">
        <f t="shared" ca="1" si="16"/>
        <v>Error?</v>
      </c>
    </row>
    <row r="1115" spans="1:4" x14ac:dyDescent="0.2">
      <c r="A1115" s="5">
        <v>1054</v>
      </c>
      <c r="B1115" s="138">
        <f ca="1">'Expenditures 15-22'!K42</f>
        <v>44795</v>
      </c>
      <c r="C1115" s="2" t="s">
        <v>573</v>
      </c>
      <c r="D1115" s="2" t="str">
        <f t="shared" ca="1" si="16"/>
        <v>Error?</v>
      </c>
    </row>
    <row r="1116" spans="1:4" x14ac:dyDescent="0.2">
      <c r="A1116" s="5">
        <v>1055</v>
      </c>
      <c r="B1116" s="138">
        <f ca="1">'Expenditures 15-22'!K44</f>
        <v>6403</v>
      </c>
      <c r="C1116" s="2" t="s">
        <v>573</v>
      </c>
      <c r="D1116" s="2" t="str">
        <f t="shared" ca="1" si="16"/>
        <v>Error?</v>
      </c>
    </row>
    <row r="1117" spans="1:4" x14ac:dyDescent="0.2">
      <c r="A1117" s="5">
        <v>1056</v>
      </c>
      <c r="B1117" s="138">
        <f ca="1">'Expenditures 15-22'!K45</f>
        <v>47623</v>
      </c>
      <c r="C1117" s="2" t="s">
        <v>573</v>
      </c>
      <c r="D1117" s="2" t="str">
        <f t="shared" ca="1" si="16"/>
        <v>Error?</v>
      </c>
    </row>
    <row r="1118" spans="1:4" x14ac:dyDescent="0.2">
      <c r="A1118" s="5">
        <v>1057</v>
      </c>
      <c r="B1118" s="138">
        <f ca="1">'Expenditures 15-22'!K46</f>
        <v>5080</v>
      </c>
      <c r="C1118" s="2" t="s">
        <v>573</v>
      </c>
      <c r="D1118" s="2" t="str">
        <f t="shared" ca="1" si="16"/>
        <v>Error?</v>
      </c>
    </row>
    <row r="1119" spans="1:4" x14ac:dyDescent="0.2">
      <c r="A1119" s="5">
        <v>1058</v>
      </c>
      <c r="B1119" s="138">
        <f ca="1">'Expenditures 15-22'!K47</f>
        <v>59106</v>
      </c>
      <c r="C1119" s="2" t="s">
        <v>573</v>
      </c>
      <c r="D1119" s="2" t="str">
        <f t="shared" ca="1" si="16"/>
        <v>Error?</v>
      </c>
    </row>
    <row r="1120" spans="1:4" x14ac:dyDescent="0.2">
      <c r="A1120" s="5">
        <v>1059</v>
      </c>
      <c r="B1120" s="138">
        <f ca="1">'Expenditures 15-22'!K49</f>
        <v>31049</v>
      </c>
      <c r="C1120" s="2" t="s">
        <v>573</v>
      </c>
      <c r="D1120" s="2" t="str">
        <f t="shared" ca="1" si="16"/>
        <v>Error?</v>
      </c>
    </row>
    <row r="1121" spans="1:4" x14ac:dyDescent="0.2">
      <c r="A1121" s="5">
        <v>1060</v>
      </c>
      <c r="B1121" s="138">
        <f ca="1">'Expenditures 15-22'!K50</f>
        <v>159035</v>
      </c>
      <c r="C1121" s="2" t="s">
        <v>573</v>
      </c>
      <c r="D1121" s="2" t="str">
        <f t="shared" ca="1" si="16"/>
        <v>Error?</v>
      </c>
    </row>
    <row r="1122" spans="1:4" x14ac:dyDescent="0.2">
      <c r="A1122" s="5">
        <v>1061</v>
      </c>
      <c r="B1122" s="138">
        <f ca="1">'Expenditures 15-22'!K53</f>
        <v>190084</v>
      </c>
      <c r="C1122" s="2" t="s">
        <v>573</v>
      </c>
      <c r="D1122" s="2" t="str">
        <f t="shared" ca="1" si="16"/>
        <v>Error?</v>
      </c>
    </row>
    <row r="1123" spans="1:4" x14ac:dyDescent="0.2">
      <c r="A1123" s="5">
        <v>1062</v>
      </c>
      <c r="B1123" s="138">
        <f ca="1">'Expenditures 15-22'!K55</f>
        <v>99650</v>
      </c>
      <c r="C1123" s="2" t="s">
        <v>573</v>
      </c>
      <c r="D1123" s="2" t="str">
        <f t="shared" ca="1" si="16"/>
        <v>Error?</v>
      </c>
    </row>
    <row r="1124" spans="1:4" x14ac:dyDescent="0.2">
      <c r="A1124" s="5">
        <v>1063</v>
      </c>
      <c r="B1124" s="138">
        <f ca="1">'Expenditures 15-22'!K56</f>
        <v>0</v>
      </c>
      <c r="C1124" s="2" t="s">
        <v>573</v>
      </c>
      <c r="D1124" s="2" t="str">
        <f t="shared" ca="1" si="16"/>
        <v>Error?</v>
      </c>
    </row>
    <row r="1125" spans="1:4" x14ac:dyDescent="0.2">
      <c r="A1125" s="5">
        <v>1064</v>
      </c>
      <c r="B1125" s="138">
        <f ca="1">'Expenditures 15-22'!K57</f>
        <v>99650</v>
      </c>
      <c r="C1125" s="2" t="s">
        <v>573</v>
      </c>
      <c r="D1125" s="2" t="str">
        <f t="shared" ca="1" si="16"/>
        <v>Error?</v>
      </c>
    </row>
    <row r="1126" spans="1:4" x14ac:dyDescent="0.2">
      <c r="A1126" s="5">
        <v>1065</v>
      </c>
      <c r="B1126" s="138">
        <f ca="1">'Expenditures 15-22'!K59</f>
        <v>0</v>
      </c>
      <c r="C1126" s="2" t="s">
        <v>573</v>
      </c>
      <c r="D1126" s="2" t="str">
        <f t="shared" ca="1" si="16"/>
        <v>Error?</v>
      </c>
    </row>
    <row r="1127" spans="1:4" x14ac:dyDescent="0.2">
      <c r="A1127" s="5">
        <v>1066</v>
      </c>
      <c r="B1127" s="138">
        <f ca="1">'Expenditures 15-22'!K60</f>
        <v>98556</v>
      </c>
      <c r="C1127" s="2" t="s">
        <v>573</v>
      </c>
      <c r="D1127" s="2" t="str">
        <f t="shared" ca="1" si="16"/>
        <v>Error?</v>
      </c>
    </row>
    <row r="1128" spans="1:4" x14ac:dyDescent="0.2">
      <c r="A1128" s="5">
        <v>1067</v>
      </c>
      <c r="B1128" s="138">
        <f ca="1">'Expenditures 15-22'!K61</f>
        <v>0</v>
      </c>
      <c r="C1128" s="2" t="s">
        <v>573</v>
      </c>
      <c r="D1128" s="2" t="str">
        <f t="shared" ca="1" si="16"/>
        <v>Error?</v>
      </c>
    </row>
    <row r="1129" spans="1:4" x14ac:dyDescent="0.2">
      <c r="A1129" s="5">
        <v>1068</v>
      </c>
      <c r="B1129" s="138">
        <f ca="1">'Expenditures 15-22'!K62</f>
        <v>0</v>
      </c>
      <c r="C1129" s="2" t="s">
        <v>573</v>
      </c>
      <c r="D1129" s="2" t="str">
        <f t="shared" ca="1" si="16"/>
        <v>Error?</v>
      </c>
    </row>
    <row r="1130" spans="1:4" x14ac:dyDescent="0.2">
      <c r="A1130" s="5">
        <v>1069</v>
      </c>
      <c r="B1130" s="138">
        <f ca="1">'Expenditures 15-22'!K63</f>
        <v>59359</v>
      </c>
      <c r="C1130" s="2" t="s">
        <v>573</v>
      </c>
      <c r="D1130" s="2" t="str">
        <f t="shared" ca="1" si="16"/>
        <v>Error?</v>
      </c>
    </row>
    <row r="1131" spans="1:4" x14ac:dyDescent="0.2">
      <c r="A1131" s="5">
        <v>1070</v>
      </c>
      <c r="B1131" s="138">
        <f ca="1">'Expenditures 15-22'!K64</f>
        <v>0</v>
      </c>
      <c r="C1131" s="2" t="s">
        <v>573</v>
      </c>
      <c r="D1131" s="2" t="str">
        <f t="shared" ca="1" si="16"/>
        <v>Error?</v>
      </c>
    </row>
    <row r="1132" spans="1:4" x14ac:dyDescent="0.2">
      <c r="A1132" s="10">
        <v>1071</v>
      </c>
      <c r="D1132" s="2" t="str">
        <f t="shared" si="16"/>
        <v>OK</v>
      </c>
    </row>
    <row r="1133" spans="1:4" x14ac:dyDescent="0.2">
      <c r="A1133" s="5">
        <v>1072</v>
      </c>
      <c r="B1133" s="138">
        <f ca="1">'Expenditures 15-22'!K65</f>
        <v>157915</v>
      </c>
      <c r="C1133" s="2" t="s">
        <v>573</v>
      </c>
      <c r="D1133" s="2" t="str">
        <f t="shared" ca="1" si="16"/>
        <v>Error?</v>
      </c>
    </row>
    <row r="1134" spans="1:4" x14ac:dyDescent="0.2">
      <c r="A1134" s="5">
        <v>1073</v>
      </c>
      <c r="B1134" s="138">
        <f ca="1">'Expenditures 15-22'!K67</f>
        <v>0</v>
      </c>
      <c r="C1134" s="2" t="s">
        <v>573</v>
      </c>
      <c r="D1134" s="2" t="str">
        <f t="shared" ca="1" si="16"/>
        <v>Error?</v>
      </c>
    </row>
    <row r="1135" spans="1:4" x14ac:dyDescent="0.2">
      <c r="A1135" s="5">
        <v>1074</v>
      </c>
      <c r="B1135" s="138">
        <f ca="1">'Expenditures 15-22'!K68</f>
        <v>203</v>
      </c>
      <c r="C1135" s="2" t="s">
        <v>573</v>
      </c>
      <c r="D1135" s="2" t="str">
        <f t="shared" ca="1" si="16"/>
        <v>Error?</v>
      </c>
    </row>
    <row r="1136" spans="1:4" x14ac:dyDescent="0.2">
      <c r="A1136" s="5">
        <v>1075</v>
      </c>
      <c r="B1136" s="138">
        <f ca="1">'Expenditures 15-22'!K69</f>
        <v>0</v>
      </c>
      <c r="C1136" s="2" t="s">
        <v>573</v>
      </c>
      <c r="D1136" s="2" t="str">
        <f t="shared" ca="1" si="16"/>
        <v>Error?</v>
      </c>
    </row>
    <row r="1137" spans="1:4" x14ac:dyDescent="0.2">
      <c r="A1137" s="5">
        <v>1076</v>
      </c>
      <c r="B1137" s="138">
        <f ca="1">'Expenditures 15-22'!K70</f>
        <v>0</v>
      </c>
      <c r="C1137" s="2" t="s">
        <v>573</v>
      </c>
      <c r="D1137" s="2" t="str">
        <f t="shared" ca="1" si="16"/>
        <v>Error?</v>
      </c>
    </row>
    <row r="1138" spans="1:4" x14ac:dyDescent="0.2">
      <c r="A1138" s="10">
        <v>1077</v>
      </c>
      <c r="D1138" s="2" t="str">
        <f t="shared" si="16"/>
        <v>OK</v>
      </c>
    </row>
    <row r="1139" spans="1:4" x14ac:dyDescent="0.2">
      <c r="A1139" s="5">
        <v>1078</v>
      </c>
      <c r="B1139" s="138">
        <f ca="1">'Expenditures 15-22'!K71</f>
        <v>0</v>
      </c>
      <c r="C1139" s="2" t="s">
        <v>573</v>
      </c>
      <c r="D1139" s="2" t="str">
        <f t="shared" ca="1" si="16"/>
        <v>Error?</v>
      </c>
    </row>
    <row r="1140" spans="1:4" x14ac:dyDescent="0.2">
      <c r="A1140" s="10">
        <v>1079</v>
      </c>
      <c r="D1140" s="2" t="str">
        <f t="shared" si="16"/>
        <v>OK</v>
      </c>
    </row>
    <row r="1141" spans="1:4" x14ac:dyDescent="0.2">
      <c r="A1141" s="5">
        <v>1080</v>
      </c>
      <c r="B1141" s="138">
        <f ca="1">'Expenditures 15-22'!K72</f>
        <v>203</v>
      </c>
      <c r="C1141" s="2" t="s">
        <v>573</v>
      </c>
      <c r="D1141" s="2" t="str">
        <f t="shared" ca="1" si="16"/>
        <v>Error?</v>
      </c>
    </row>
    <row r="1142" spans="1:4" x14ac:dyDescent="0.2">
      <c r="A1142" s="5">
        <v>1081</v>
      </c>
      <c r="B1142" s="138">
        <f ca="1">'Expenditures 15-22'!K73</f>
        <v>0</v>
      </c>
      <c r="C1142" s="2" t="s">
        <v>573</v>
      </c>
      <c r="D1142" s="2" t="str">
        <f t="shared" ca="1" si="16"/>
        <v>Error?</v>
      </c>
    </row>
    <row r="1143" spans="1:4" x14ac:dyDescent="0.2">
      <c r="A1143" s="5">
        <v>1082</v>
      </c>
      <c r="B1143" s="138">
        <f ca="1">'Expenditures 15-22'!K74</f>
        <v>551753</v>
      </c>
      <c r="C1143" s="2" t="s">
        <v>573</v>
      </c>
      <c r="D1143" s="2" t="str">
        <f t="shared" ca="1" si="16"/>
        <v>Error?</v>
      </c>
    </row>
    <row r="1144" spans="1:4" x14ac:dyDescent="0.2">
      <c r="A1144" s="5">
        <v>1083</v>
      </c>
      <c r="B1144" s="138">
        <f ca="1">'Expenditures 15-22'!K75</f>
        <v>0</v>
      </c>
      <c r="C1144" s="2" t="s">
        <v>573</v>
      </c>
      <c r="D1144" s="2" t="str">
        <f t="shared" ca="1" si="16"/>
        <v>Error?</v>
      </c>
    </row>
    <row r="1145" spans="1:4" x14ac:dyDescent="0.2">
      <c r="A1145" s="5">
        <v>1084</v>
      </c>
      <c r="B1145" s="138">
        <f ca="1">'Expenditures 15-22'!K102</f>
        <v>34422</v>
      </c>
      <c r="C1145" s="2" t="s">
        <v>573</v>
      </c>
      <c r="D1145" s="2" t="str">
        <f t="shared" ca="1" si="16"/>
        <v>Error?</v>
      </c>
    </row>
    <row r="1146" spans="1:4" x14ac:dyDescent="0.2">
      <c r="A1146" s="5">
        <v>1085</v>
      </c>
      <c r="B1146" s="138">
        <f ca="1">'Expenditures 15-22'!K105</f>
        <v>0</v>
      </c>
      <c r="C1146" s="2" t="s">
        <v>573</v>
      </c>
      <c r="D1146" s="2" t="str">
        <f t="shared" ca="1" si="16"/>
        <v>Error?</v>
      </c>
    </row>
    <row r="1147" spans="1:4" x14ac:dyDescent="0.2">
      <c r="A1147" s="5">
        <v>1086</v>
      </c>
      <c r="B1147" s="138">
        <f ca="1">'Expenditures 15-22'!K106</f>
        <v>0</v>
      </c>
      <c r="C1147" s="2" t="s">
        <v>573</v>
      </c>
      <c r="D1147" s="2" t="str">
        <f t="shared" ca="1" si="16"/>
        <v>Error?</v>
      </c>
    </row>
    <row r="1148" spans="1:4" x14ac:dyDescent="0.2">
      <c r="A1148" s="10">
        <v>1087</v>
      </c>
      <c r="C1148" s="2" t="s">
        <v>573</v>
      </c>
      <c r="D1148" s="2" t="str">
        <f t="shared" si="16"/>
        <v>OK</v>
      </c>
    </row>
    <row r="1149" spans="1:4" x14ac:dyDescent="0.2">
      <c r="A1149" s="5">
        <v>1088</v>
      </c>
      <c r="B1149" s="138">
        <f ca="1">'Expenditures 15-22'!K109</f>
        <v>0</v>
      </c>
      <c r="C1149" s="2" t="s">
        <v>573</v>
      </c>
      <c r="D1149" s="2" t="str">
        <f t="shared" ca="1" si="16"/>
        <v>Error?</v>
      </c>
    </row>
    <row r="1150" spans="1:4" x14ac:dyDescent="0.2">
      <c r="A1150" s="10">
        <v>1089</v>
      </c>
      <c r="D1150" s="2" t="str">
        <f t="shared" si="16"/>
        <v>OK</v>
      </c>
    </row>
    <row r="1151" spans="1:4" x14ac:dyDescent="0.2">
      <c r="A1151" s="5">
        <v>1090</v>
      </c>
      <c r="B1151" s="138">
        <f ca="1">'Expenditures 15-22'!K110</f>
        <v>0</v>
      </c>
      <c r="C1151" s="2" t="s">
        <v>573</v>
      </c>
      <c r="D1151" s="2" t="str">
        <f t="shared" ref="D1151:D1214" ca="1" si="17">IF(ISBLANK(B1151),"OK",IF(A1151-B1151=0,"OK","Error?"))</f>
        <v>Error?</v>
      </c>
    </row>
    <row r="1152" spans="1:4" x14ac:dyDescent="0.2">
      <c r="A1152" s="5">
        <v>1091</v>
      </c>
      <c r="B1152" s="138">
        <f ca="1">'Expenditures 15-22'!K114</f>
        <v>1756897</v>
      </c>
      <c r="C1152" s="2" t="s">
        <v>573</v>
      </c>
      <c r="D1152" s="2" t="str">
        <f t="shared" ca="1" si="17"/>
        <v>Error?</v>
      </c>
    </row>
    <row r="1153" spans="1:4" x14ac:dyDescent="0.2">
      <c r="A1153" s="5">
        <v>1092</v>
      </c>
      <c r="B1153" s="138">
        <f ca="1">'Expenditures 15-22'!K115</f>
        <v>-87742</v>
      </c>
      <c r="C1153" s="2" t="s">
        <v>573</v>
      </c>
      <c r="D1153" s="2" t="str">
        <f t="shared" ca="1"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 ca="1">'Expenditures 15-22'!C122</f>
        <v>0</v>
      </c>
      <c r="D1219" s="2" t="str">
        <f t="shared" ca="1" si="18"/>
        <v>Error?</v>
      </c>
    </row>
    <row r="1220" spans="1:4" x14ac:dyDescent="0.2">
      <c r="A1220" s="5">
        <v>1159</v>
      </c>
      <c r="B1220" s="138">
        <f ca="1">'Expenditures 15-22'!C123</f>
        <v>0</v>
      </c>
      <c r="D1220" s="2" t="str">
        <f t="shared" ca="1" si="18"/>
        <v>Error?</v>
      </c>
    </row>
    <row r="1221" spans="1:4" x14ac:dyDescent="0.2">
      <c r="A1221" s="5">
        <v>1160</v>
      </c>
      <c r="B1221" s="138">
        <f ca="1">'Expenditures 15-22'!C124</f>
        <v>82893</v>
      </c>
      <c r="D1221" s="2" t="str">
        <f t="shared" ca="1" si="18"/>
        <v>Error?</v>
      </c>
    </row>
    <row r="1222" spans="1:4" x14ac:dyDescent="0.2">
      <c r="A1222" s="10">
        <v>1161</v>
      </c>
      <c r="D1222" s="2" t="str">
        <f t="shared" si="18"/>
        <v>OK</v>
      </c>
    </row>
    <row r="1223" spans="1:4" x14ac:dyDescent="0.2">
      <c r="A1223" s="5">
        <v>1162</v>
      </c>
      <c r="B1223" s="138">
        <f ca="1">'Expenditures 15-22'!C127</f>
        <v>82893</v>
      </c>
      <c r="C1223" s="2" t="s">
        <v>573</v>
      </c>
      <c r="D1223" s="2" t="str">
        <f t="shared" ca="1" si="18"/>
        <v>Error?</v>
      </c>
    </row>
    <row r="1224" spans="1:4" x14ac:dyDescent="0.2">
      <c r="A1224" s="5">
        <v>1163</v>
      </c>
      <c r="B1224" s="138">
        <f ca="1">'Expenditures 15-22'!C128</f>
        <v>0</v>
      </c>
      <c r="D1224" s="2" t="str">
        <f t="shared" ca="1" si="18"/>
        <v>Error?</v>
      </c>
    </row>
    <row r="1225" spans="1:4" x14ac:dyDescent="0.2">
      <c r="A1225" s="5">
        <v>1164</v>
      </c>
      <c r="B1225" s="138">
        <f ca="1">'Expenditures 15-22'!C129</f>
        <v>82893</v>
      </c>
      <c r="C1225" s="2" t="s">
        <v>573</v>
      </c>
      <c r="D1225" s="2" t="str">
        <f t="shared" ca="1" si="18"/>
        <v>Error?</v>
      </c>
    </row>
    <row r="1226" spans="1:4" x14ac:dyDescent="0.2">
      <c r="A1226" s="5">
        <v>1165</v>
      </c>
      <c r="B1226" s="138">
        <f ca="1">'Expenditures 15-22'!C151</f>
        <v>102091</v>
      </c>
      <c r="C1226" s="2" t="s">
        <v>573</v>
      </c>
      <c r="D1226" s="2" t="str">
        <f t="shared" ca="1" si="18"/>
        <v>Error?</v>
      </c>
    </row>
    <row r="1227" spans="1:4" x14ac:dyDescent="0.2">
      <c r="A1227" s="5">
        <v>1166</v>
      </c>
      <c r="B1227" s="138">
        <f ca="1">'Expenditures 15-22'!D122</f>
        <v>0</v>
      </c>
      <c r="D1227" s="2" t="str">
        <f t="shared" ca="1" si="18"/>
        <v>Error?</v>
      </c>
    </row>
    <row r="1228" spans="1:4" x14ac:dyDescent="0.2">
      <c r="A1228" s="5">
        <v>1167</v>
      </c>
      <c r="B1228" s="138">
        <f ca="1">'Expenditures 15-22'!D123</f>
        <v>0</v>
      </c>
      <c r="D1228" s="2" t="str">
        <f t="shared" ca="1" si="18"/>
        <v>Error?</v>
      </c>
    </row>
    <row r="1229" spans="1:4" x14ac:dyDescent="0.2">
      <c r="A1229" s="5">
        <v>1168</v>
      </c>
      <c r="B1229" s="138">
        <f ca="1">'Expenditures 15-22'!D124</f>
        <v>6533</v>
      </c>
      <c r="D1229" s="2" t="str">
        <f t="shared" ca="1" si="18"/>
        <v>Error?</v>
      </c>
    </row>
    <row r="1230" spans="1:4" x14ac:dyDescent="0.2">
      <c r="A1230" s="10">
        <v>1169</v>
      </c>
      <c r="D1230" s="2" t="str">
        <f t="shared" si="18"/>
        <v>OK</v>
      </c>
    </row>
    <row r="1231" spans="1:4" x14ac:dyDescent="0.2">
      <c r="A1231" s="5">
        <v>1170</v>
      </c>
      <c r="B1231" s="138">
        <f ca="1">'Expenditures 15-22'!D127</f>
        <v>6533</v>
      </c>
      <c r="C1231" s="2" t="s">
        <v>573</v>
      </c>
      <c r="D1231" s="2" t="str">
        <f t="shared" ca="1" si="18"/>
        <v>Error?</v>
      </c>
    </row>
    <row r="1232" spans="1:4" x14ac:dyDescent="0.2">
      <c r="A1232" s="5">
        <v>1171</v>
      </c>
      <c r="B1232" s="138">
        <f ca="1">'Expenditures 15-22'!D128</f>
        <v>0</v>
      </c>
      <c r="D1232" s="2" t="str">
        <f t="shared" ca="1" si="18"/>
        <v>Error?</v>
      </c>
    </row>
    <row r="1233" spans="1:4" x14ac:dyDescent="0.2">
      <c r="A1233" s="5">
        <v>1172</v>
      </c>
      <c r="B1233" s="138">
        <f ca="1">'Expenditures 15-22'!D129</f>
        <v>6533</v>
      </c>
      <c r="C1233" s="2" t="s">
        <v>573</v>
      </c>
      <c r="D1233" s="2" t="str">
        <f t="shared" ca="1" si="18"/>
        <v>Error?</v>
      </c>
    </row>
    <row r="1234" spans="1:4" x14ac:dyDescent="0.2">
      <c r="A1234" s="5">
        <v>1173</v>
      </c>
      <c r="B1234" s="138">
        <f ca="1">'Expenditures 15-22'!D151</f>
        <v>6533</v>
      </c>
      <c r="C1234" s="2" t="s">
        <v>573</v>
      </c>
      <c r="D1234" s="2" t="str">
        <f t="shared" ca="1" si="18"/>
        <v>Error?</v>
      </c>
    </row>
    <row r="1235" spans="1:4" x14ac:dyDescent="0.2">
      <c r="A1235" s="5">
        <v>1174</v>
      </c>
      <c r="B1235" s="138">
        <f ca="1">'Expenditures 15-22'!E122</f>
        <v>2966</v>
      </c>
      <c r="D1235" s="2" t="str">
        <f t="shared" ca="1" si="18"/>
        <v>Error?</v>
      </c>
    </row>
    <row r="1236" spans="1:4" x14ac:dyDescent="0.2">
      <c r="A1236" s="5">
        <v>1175</v>
      </c>
      <c r="B1236" s="138">
        <f ca="1">'Expenditures 15-22'!E123</f>
        <v>454</v>
      </c>
      <c r="D1236" s="2" t="str">
        <f t="shared" ca="1" si="18"/>
        <v>Error?</v>
      </c>
    </row>
    <row r="1237" spans="1:4" x14ac:dyDescent="0.2">
      <c r="A1237" s="5">
        <v>1176</v>
      </c>
      <c r="B1237" s="138">
        <f ca="1">'Expenditures 15-22'!E124</f>
        <v>66960</v>
      </c>
      <c r="D1237" s="2" t="str">
        <f t="shared" ca="1" si="18"/>
        <v>Error?</v>
      </c>
    </row>
    <row r="1238" spans="1:4" x14ac:dyDescent="0.2">
      <c r="A1238" s="10">
        <v>1177</v>
      </c>
      <c r="D1238" s="2" t="str">
        <f t="shared" si="18"/>
        <v>OK</v>
      </c>
    </row>
    <row r="1239" spans="1:4" x14ac:dyDescent="0.2">
      <c r="A1239" s="5">
        <v>1178</v>
      </c>
      <c r="B1239" s="138">
        <f ca="1">'Expenditures 15-22'!E127</f>
        <v>70412</v>
      </c>
      <c r="C1239" s="2" t="s">
        <v>573</v>
      </c>
      <c r="D1239" s="2" t="str">
        <f t="shared" ca="1" si="18"/>
        <v>Error?</v>
      </c>
    </row>
    <row r="1240" spans="1:4" x14ac:dyDescent="0.2">
      <c r="A1240" s="5">
        <v>1179</v>
      </c>
      <c r="B1240" s="138">
        <f ca="1">'Expenditures 15-22'!E128</f>
        <v>0</v>
      </c>
      <c r="D1240" s="2" t="str">
        <f t="shared" ca="1" si="18"/>
        <v>Error?</v>
      </c>
    </row>
    <row r="1241" spans="1:4" x14ac:dyDescent="0.2">
      <c r="A1241" s="5">
        <v>1180</v>
      </c>
      <c r="B1241" s="138">
        <f ca="1">'Expenditures 15-22'!E129</f>
        <v>70412</v>
      </c>
      <c r="C1241" s="2" t="s">
        <v>573</v>
      </c>
      <c r="D1241" s="2" t="str">
        <f t="shared" ca="1" si="18"/>
        <v>Error?</v>
      </c>
    </row>
    <row r="1242" spans="1:4" x14ac:dyDescent="0.2">
      <c r="A1242" s="5">
        <v>1181</v>
      </c>
      <c r="B1242" s="138">
        <f ca="1">'Expenditures 15-22'!E151</f>
        <v>70412</v>
      </c>
      <c r="C1242" s="2" t="s">
        <v>573</v>
      </c>
      <c r="D1242" s="2" t="str">
        <f t="shared" ca="1" si="18"/>
        <v>Error?</v>
      </c>
    </row>
    <row r="1243" spans="1:4" x14ac:dyDescent="0.2">
      <c r="A1243" s="5">
        <v>1182</v>
      </c>
      <c r="B1243" s="138">
        <f ca="1">'Expenditures 15-22'!F122</f>
        <v>0</v>
      </c>
      <c r="D1243" s="2" t="str">
        <f t="shared" ca="1" si="18"/>
        <v>Error?</v>
      </c>
    </row>
    <row r="1244" spans="1:4" x14ac:dyDescent="0.2">
      <c r="A1244" s="5">
        <v>1183</v>
      </c>
      <c r="B1244" s="138">
        <f ca="1">'Expenditures 15-22'!F123</f>
        <v>1113</v>
      </c>
      <c r="D1244" s="2" t="str">
        <f t="shared" ca="1" si="18"/>
        <v>Error?</v>
      </c>
    </row>
    <row r="1245" spans="1:4" x14ac:dyDescent="0.2">
      <c r="A1245" s="5">
        <v>1184</v>
      </c>
      <c r="B1245" s="138">
        <f ca="1">'Expenditures 15-22'!F124</f>
        <v>57709</v>
      </c>
      <c r="D1245" s="2" t="str">
        <f t="shared" ca="1" si="18"/>
        <v>Error?</v>
      </c>
    </row>
    <row r="1246" spans="1:4" x14ac:dyDescent="0.2">
      <c r="A1246" s="10">
        <v>1185</v>
      </c>
      <c r="D1246" s="2" t="str">
        <f t="shared" si="18"/>
        <v>OK</v>
      </c>
    </row>
    <row r="1247" spans="1:4" x14ac:dyDescent="0.2">
      <c r="A1247" s="5">
        <v>1186</v>
      </c>
      <c r="B1247" s="138">
        <f ca="1">'Expenditures 15-22'!F127</f>
        <v>58822</v>
      </c>
      <c r="C1247" s="2" t="s">
        <v>573</v>
      </c>
      <c r="D1247" s="2" t="str">
        <f t="shared" ca="1" si="18"/>
        <v>Error?</v>
      </c>
    </row>
    <row r="1248" spans="1:4" x14ac:dyDescent="0.2">
      <c r="A1248" s="5">
        <v>1187</v>
      </c>
      <c r="B1248" s="138">
        <f ca="1">'Expenditures 15-22'!F128</f>
        <v>0</v>
      </c>
      <c r="D1248" s="2" t="str">
        <f t="shared" ca="1" si="18"/>
        <v>Error?</v>
      </c>
    </row>
    <row r="1249" spans="1:4" x14ac:dyDescent="0.2">
      <c r="A1249" s="5">
        <v>1188</v>
      </c>
      <c r="B1249" s="138">
        <f ca="1">'Expenditures 15-22'!F129</f>
        <v>58822</v>
      </c>
      <c r="C1249" s="2" t="s">
        <v>573</v>
      </c>
      <c r="D1249" s="2" t="str">
        <f t="shared" ca="1" si="18"/>
        <v>Error?</v>
      </c>
    </row>
    <row r="1250" spans="1:4" x14ac:dyDescent="0.2">
      <c r="A1250" s="5">
        <v>1189</v>
      </c>
      <c r="B1250" s="138">
        <f ca="1">'Expenditures 15-22'!F151</f>
        <v>58822</v>
      </c>
      <c r="C1250" s="2" t="s">
        <v>573</v>
      </c>
      <c r="D1250" s="2" t="str">
        <f t="shared" ca="1" si="18"/>
        <v>Error?</v>
      </c>
    </row>
    <row r="1251" spans="1:4" x14ac:dyDescent="0.2">
      <c r="A1251" s="5">
        <v>1190</v>
      </c>
      <c r="B1251" s="138">
        <f ca="1">'Expenditures 15-22'!G122</f>
        <v>0</v>
      </c>
      <c r="D1251" s="2" t="str">
        <f t="shared" ca="1" si="18"/>
        <v>Error?</v>
      </c>
    </row>
    <row r="1252" spans="1:4" x14ac:dyDescent="0.2">
      <c r="A1252" s="5">
        <v>1191</v>
      </c>
      <c r="B1252" s="138">
        <f ca="1">'Expenditures 15-22'!G123</f>
        <v>0</v>
      </c>
      <c r="D1252" s="2" t="str">
        <f t="shared" ca="1" si="18"/>
        <v>Error?</v>
      </c>
    </row>
    <row r="1253" spans="1:4" x14ac:dyDescent="0.2">
      <c r="A1253" s="5">
        <v>1192</v>
      </c>
      <c r="B1253" s="138">
        <f ca="1">'Expenditures 15-22'!G124</f>
        <v>2997</v>
      </c>
      <c r="D1253" s="2" t="str">
        <f t="shared" ca="1" si="18"/>
        <v>Error?</v>
      </c>
    </row>
    <row r="1254" spans="1:4" x14ac:dyDescent="0.2">
      <c r="A1254" s="5">
        <v>1193</v>
      </c>
      <c r="B1254" s="138">
        <f ca="1">'Expenditures 15-22'!G126</f>
        <v>0</v>
      </c>
      <c r="D1254" s="2" t="str">
        <f t="shared" ca="1" si="18"/>
        <v>Error?</v>
      </c>
    </row>
    <row r="1255" spans="1:4" x14ac:dyDescent="0.2">
      <c r="A1255" s="10">
        <v>1194</v>
      </c>
      <c r="D1255" s="2" t="str">
        <f t="shared" si="18"/>
        <v>OK</v>
      </c>
    </row>
    <row r="1256" spans="1:4" x14ac:dyDescent="0.2">
      <c r="A1256" s="5">
        <v>1195</v>
      </c>
      <c r="B1256" s="138">
        <f ca="1">'Expenditures 15-22'!G127</f>
        <v>2997</v>
      </c>
      <c r="C1256" s="2" t="s">
        <v>573</v>
      </c>
      <c r="D1256" s="2" t="str">
        <f t="shared" ca="1" si="18"/>
        <v>Error?</v>
      </c>
    </row>
    <row r="1257" spans="1:4" x14ac:dyDescent="0.2">
      <c r="A1257" s="5">
        <v>1196</v>
      </c>
      <c r="B1257" s="138">
        <f ca="1">'Expenditures 15-22'!G128</f>
        <v>0</v>
      </c>
      <c r="D1257" s="2" t="str">
        <f t="shared" ca="1" si="18"/>
        <v>Error?</v>
      </c>
    </row>
    <row r="1258" spans="1:4" x14ac:dyDescent="0.2">
      <c r="A1258" s="5">
        <v>1197</v>
      </c>
      <c r="B1258" s="138">
        <f ca="1">'Expenditures 15-22'!G129</f>
        <v>2997</v>
      </c>
      <c r="C1258" s="2" t="s">
        <v>573</v>
      </c>
      <c r="D1258" s="2" t="str">
        <f t="shared" ca="1" si="18"/>
        <v>Error?</v>
      </c>
    </row>
    <row r="1259" spans="1:4" x14ac:dyDescent="0.2">
      <c r="A1259" s="5">
        <v>1198</v>
      </c>
      <c r="B1259" s="138">
        <f ca="1">'Expenditures 15-22'!G151</f>
        <v>2997</v>
      </c>
      <c r="C1259" s="2" t="s">
        <v>573</v>
      </c>
      <c r="D1259" s="2" t="str">
        <f t="shared" ca="1" si="18"/>
        <v>Error?</v>
      </c>
    </row>
    <row r="1260" spans="1:4" x14ac:dyDescent="0.2">
      <c r="A1260" s="5">
        <v>1199</v>
      </c>
      <c r="B1260" s="138">
        <f ca="1">'Expenditures 15-22'!H122</f>
        <v>0</v>
      </c>
      <c r="D1260" s="2" t="str">
        <f t="shared" ca="1" si="18"/>
        <v>Error?</v>
      </c>
    </row>
    <row r="1261" spans="1:4" x14ac:dyDescent="0.2">
      <c r="A1261" s="5">
        <v>1200</v>
      </c>
      <c r="B1261" s="138">
        <f ca="1">'Expenditures 15-22'!H123</f>
        <v>0</v>
      </c>
      <c r="D1261" s="2" t="str">
        <f t="shared" ca="1" si="18"/>
        <v>Error?</v>
      </c>
    </row>
    <row r="1262" spans="1:4" x14ac:dyDescent="0.2">
      <c r="A1262" s="5">
        <v>1201</v>
      </c>
      <c r="B1262" s="138">
        <f ca="1">'Expenditures 15-22'!H124</f>
        <v>200</v>
      </c>
      <c r="D1262" s="2" t="str">
        <f t="shared" ca="1" si="18"/>
        <v>Error?</v>
      </c>
    </row>
    <row r="1263" spans="1:4" x14ac:dyDescent="0.2">
      <c r="A1263" s="10">
        <v>1202</v>
      </c>
      <c r="D1263" s="2" t="str">
        <f t="shared" si="18"/>
        <v>OK</v>
      </c>
    </row>
    <row r="1264" spans="1:4" x14ac:dyDescent="0.2">
      <c r="A1264" s="5">
        <v>1203</v>
      </c>
      <c r="B1264" s="138">
        <f ca="1">'Expenditures 15-22'!H127</f>
        <v>200</v>
      </c>
      <c r="C1264" s="2" t="s">
        <v>573</v>
      </c>
      <c r="D1264" s="2" t="str">
        <f t="shared" ca="1" si="18"/>
        <v>Error?</v>
      </c>
    </row>
    <row r="1265" spans="1:4" x14ac:dyDescent="0.2">
      <c r="A1265" s="5">
        <v>1204</v>
      </c>
      <c r="B1265" s="138">
        <f ca="1">'Expenditures 15-22'!H128</f>
        <v>0</v>
      </c>
      <c r="D1265" s="2" t="str">
        <f t="shared" ca="1" si="18"/>
        <v>Error?</v>
      </c>
    </row>
    <row r="1266" spans="1:4" x14ac:dyDescent="0.2">
      <c r="A1266" s="5">
        <v>1205</v>
      </c>
      <c r="B1266" s="138">
        <f ca="1">'Expenditures 15-22'!H129</f>
        <v>200</v>
      </c>
      <c r="C1266" s="2" t="s">
        <v>573</v>
      </c>
      <c r="D1266" s="2" t="str">
        <f t="shared" ca="1" si="18"/>
        <v>Error?</v>
      </c>
    </row>
    <row r="1267" spans="1:4" x14ac:dyDescent="0.2">
      <c r="A1267" s="5">
        <v>1206</v>
      </c>
      <c r="B1267" s="138">
        <f ca="1">'Expenditures 15-22'!H139</f>
        <v>0</v>
      </c>
      <c r="C1267" s="2" t="s">
        <v>573</v>
      </c>
      <c r="D1267" s="2" t="str">
        <f t="shared" ca="1" si="18"/>
        <v>Error?</v>
      </c>
    </row>
    <row r="1268" spans="1:4" x14ac:dyDescent="0.2">
      <c r="A1268" s="5">
        <v>1207</v>
      </c>
      <c r="B1268" s="138">
        <f ca="1">'Expenditures 15-22'!H142</f>
        <v>0</v>
      </c>
      <c r="D1268" s="2" t="str">
        <f t="shared" ca="1" si="18"/>
        <v>Error?</v>
      </c>
    </row>
    <row r="1269" spans="1:4" x14ac:dyDescent="0.2">
      <c r="A1269" s="5">
        <v>1208</v>
      </c>
      <c r="B1269" s="138">
        <f ca="1">'Expenditures 15-22'!H143</f>
        <v>0</v>
      </c>
      <c r="D1269" s="2" t="str">
        <f t="shared" ca="1" si="18"/>
        <v>Error?</v>
      </c>
    </row>
    <row r="1270" spans="1:4" x14ac:dyDescent="0.2">
      <c r="A1270" s="5">
        <v>1209</v>
      </c>
      <c r="B1270" s="138">
        <f ca="1">'Expenditures 15-22'!H146</f>
        <v>0</v>
      </c>
      <c r="D1270" s="2" t="str">
        <f t="shared" ca="1" si="18"/>
        <v>Error?</v>
      </c>
    </row>
    <row r="1271" spans="1:4" x14ac:dyDescent="0.2">
      <c r="A1271" s="10">
        <v>1210</v>
      </c>
      <c r="D1271" s="2" t="str">
        <f t="shared" si="18"/>
        <v>OK</v>
      </c>
    </row>
    <row r="1272" spans="1:4" x14ac:dyDescent="0.2">
      <c r="A1272" s="5">
        <v>1211</v>
      </c>
      <c r="B1272" s="138">
        <f ca="1">'Expenditures 15-22'!H149</f>
        <v>0</v>
      </c>
      <c r="C1272" s="2" t="s">
        <v>573</v>
      </c>
      <c r="D1272" s="2" t="str">
        <f t="shared" ca="1" si="18"/>
        <v>Error?</v>
      </c>
    </row>
    <row r="1273" spans="1:4" x14ac:dyDescent="0.2">
      <c r="A1273" s="5">
        <v>1212</v>
      </c>
      <c r="B1273" s="138">
        <f ca="1">'Expenditures 15-22'!H151</f>
        <v>200</v>
      </c>
      <c r="C1273" s="2" t="s">
        <v>573</v>
      </c>
      <c r="D1273" s="2" t="str">
        <f t="shared" ca="1" si="18"/>
        <v>Error?</v>
      </c>
    </row>
    <row r="1274" spans="1:4" x14ac:dyDescent="0.2">
      <c r="A1274" s="5">
        <v>1213</v>
      </c>
      <c r="B1274" s="138">
        <f ca="1">'Expenditures 15-22'!K122</f>
        <v>2966</v>
      </c>
      <c r="C1274" s="2" t="s">
        <v>573</v>
      </c>
      <c r="D1274" s="2" t="str">
        <f t="shared" ca="1" si="18"/>
        <v>Error?</v>
      </c>
    </row>
    <row r="1275" spans="1:4" x14ac:dyDescent="0.2">
      <c r="A1275" s="5">
        <v>1214</v>
      </c>
      <c r="B1275" s="138">
        <f ca="1">'Expenditures 15-22'!K123</f>
        <v>1567</v>
      </c>
      <c r="C1275" s="2" t="s">
        <v>573</v>
      </c>
      <c r="D1275" s="2" t="str">
        <f t="shared" ca="1" si="18"/>
        <v>Error?</v>
      </c>
    </row>
    <row r="1276" spans="1:4" x14ac:dyDescent="0.2">
      <c r="A1276" s="5">
        <v>1215</v>
      </c>
      <c r="B1276" s="138">
        <f ca="1">'Expenditures 15-22'!K124</f>
        <v>217292</v>
      </c>
      <c r="C1276" s="2" t="s">
        <v>573</v>
      </c>
      <c r="D1276" s="2" t="str">
        <f t="shared" ca="1" si="18"/>
        <v>Error?</v>
      </c>
    </row>
    <row r="1277" spans="1:4" x14ac:dyDescent="0.2">
      <c r="A1277" s="5">
        <v>1216</v>
      </c>
      <c r="B1277" s="138">
        <f ca="1">'Expenditures 15-22'!K126</f>
        <v>0</v>
      </c>
      <c r="C1277" s="2" t="s">
        <v>573</v>
      </c>
      <c r="D1277" s="2" t="str">
        <f t="shared" ca="1" si="18"/>
        <v>Error?</v>
      </c>
    </row>
    <row r="1278" spans="1:4" x14ac:dyDescent="0.2">
      <c r="A1278" s="10">
        <v>1217</v>
      </c>
      <c r="D1278" s="2" t="str">
        <f t="shared" si="18"/>
        <v>OK</v>
      </c>
    </row>
    <row r="1279" spans="1:4" x14ac:dyDescent="0.2">
      <c r="A1279" s="5">
        <v>1218</v>
      </c>
      <c r="B1279" s="138">
        <f ca="1">'Expenditures 15-22'!K127</f>
        <v>221857</v>
      </c>
      <c r="C1279" s="2" t="s">
        <v>573</v>
      </c>
      <c r="D1279" s="2" t="str">
        <f t="shared" ref="D1279:D1342" ca="1" si="19">IF(ISBLANK(B1279),"OK",IF(A1279-B1279=0,"OK","Error?"))</f>
        <v>Error?</v>
      </c>
    </row>
    <row r="1280" spans="1:4" x14ac:dyDescent="0.2">
      <c r="A1280" s="5">
        <v>1219</v>
      </c>
      <c r="B1280" s="138">
        <f ca="1">'Expenditures 15-22'!K128</f>
        <v>0</v>
      </c>
      <c r="C1280" s="2" t="s">
        <v>573</v>
      </c>
      <c r="D1280" s="2" t="str">
        <f t="shared" ca="1" si="19"/>
        <v>Error?</v>
      </c>
    </row>
    <row r="1281" spans="1:4" x14ac:dyDescent="0.2">
      <c r="A1281" s="5">
        <v>1220</v>
      </c>
      <c r="B1281" s="138">
        <f ca="1">'Expenditures 15-22'!K129</f>
        <v>221857</v>
      </c>
      <c r="C1281" s="2" t="s">
        <v>573</v>
      </c>
      <c r="D1281" s="2" t="str">
        <f t="shared" ca="1" si="19"/>
        <v>Error?</v>
      </c>
    </row>
    <row r="1282" spans="1:4" x14ac:dyDescent="0.2">
      <c r="A1282" s="5">
        <v>1221</v>
      </c>
      <c r="B1282" s="138">
        <f ca="1">'Expenditures 15-22'!K139</f>
        <v>0</v>
      </c>
      <c r="C1282" s="2" t="s">
        <v>573</v>
      </c>
      <c r="D1282" s="2" t="str">
        <f t="shared" ca="1" si="19"/>
        <v>Error?</v>
      </c>
    </row>
    <row r="1283" spans="1:4" x14ac:dyDescent="0.2">
      <c r="A1283" s="5">
        <v>1222</v>
      </c>
      <c r="B1283" s="138">
        <f ca="1">'Expenditures 15-22'!K142</f>
        <v>0</v>
      </c>
      <c r="C1283" s="2" t="s">
        <v>573</v>
      </c>
      <c r="D1283" s="2" t="str">
        <f t="shared" ca="1" si="19"/>
        <v>Error?</v>
      </c>
    </row>
    <row r="1284" spans="1:4" x14ac:dyDescent="0.2">
      <c r="A1284" s="5">
        <v>1223</v>
      </c>
      <c r="B1284" s="138">
        <f ca="1">'Expenditures 15-22'!K143</f>
        <v>0</v>
      </c>
      <c r="C1284" s="2" t="s">
        <v>573</v>
      </c>
      <c r="D1284" s="2" t="str">
        <f t="shared" ca="1" si="19"/>
        <v>Error?</v>
      </c>
    </row>
    <row r="1285" spans="1:4" x14ac:dyDescent="0.2">
      <c r="A1285" s="5">
        <v>1224</v>
      </c>
      <c r="B1285" s="138">
        <f ca="1">'Expenditures 15-22'!K146</f>
        <v>0</v>
      </c>
      <c r="C1285" s="2" t="s">
        <v>573</v>
      </c>
      <c r="D1285" s="2" t="str">
        <f t="shared" ca="1" si="19"/>
        <v>Error?</v>
      </c>
    </row>
    <row r="1286" spans="1:4" x14ac:dyDescent="0.2">
      <c r="A1286" s="10">
        <v>1225</v>
      </c>
      <c r="D1286" s="2" t="str">
        <f t="shared" si="19"/>
        <v>OK</v>
      </c>
    </row>
    <row r="1287" spans="1:4" x14ac:dyDescent="0.2">
      <c r="A1287" s="12">
        <v>1226</v>
      </c>
      <c r="B1287" s="138">
        <f ca="1">'Expenditures 15-22'!K149</f>
        <v>0</v>
      </c>
      <c r="C1287" s="2" t="s">
        <v>573</v>
      </c>
      <c r="D1287" s="2" t="str">
        <f t="shared" ca="1" si="19"/>
        <v>Error?</v>
      </c>
    </row>
    <row r="1288" spans="1:4" x14ac:dyDescent="0.2">
      <c r="A1288" s="5">
        <v>1227</v>
      </c>
      <c r="B1288" s="138">
        <f ca="1">'Expenditures 15-22'!K151</f>
        <v>241055</v>
      </c>
      <c r="C1288" s="2" t="s">
        <v>573</v>
      </c>
      <c r="D1288" s="2" t="str">
        <f t="shared" ca="1" si="19"/>
        <v>Error?</v>
      </c>
    </row>
    <row r="1289" spans="1:4" x14ac:dyDescent="0.2">
      <c r="A1289" s="5">
        <v>1228</v>
      </c>
      <c r="B1289" s="138">
        <f ca="1">'Expenditures 15-22'!K152</f>
        <v>7287</v>
      </c>
      <c r="C1289" s="2" t="s">
        <v>573</v>
      </c>
      <c r="D1289" s="2" t="str">
        <f t="shared" ca="1"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 ca="1">'Expenditures 15-22'!E171</f>
        <v>0</v>
      </c>
      <c r="D1307" s="2" t="str">
        <f t="shared" ca="1" si="19"/>
        <v>Error?</v>
      </c>
    </row>
    <row r="1308" spans="1:4" x14ac:dyDescent="0.2">
      <c r="A1308" s="5">
        <v>1247</v>
      </c>
      <c r="B1308" s="138">
        <f ca="1">'Expenditures 15-22'!E172</f>
        <v>0</v>
      </c>
      <c r="C1308" s="2" t="s">
        <v>573</v>
      </c>
      <c r="D1308" s="2" t="str">
        <f t="shared" ca="1" si="19"/>
        <v>Error?</v>
      </c>
    </row>
    <row r="1309" spans="1:4" x14ac:dyDescent="0.2">
      <c r="A1309" s="5">
        <v>1248</v>
      </c>
      <c r="B1309" s="138">
        <f ca="1">'Expenditures 15-22'!E174</f>
        <v>0</v>
      </c>
      <c r="C1309" s="2" t="s">
        <v>573</v>
      </c>
      <c r="D1309" s="2" t="str">
        <f t="shared" ca="1" si="19"/>
        <v>Error?</v>
      </c>
    </row>
    <row r="1310" spans="1:4" x14ac:dyDescent="0.2">
      <c r="A1310" s="5">
        <v>1249</v>
      </c>
      <c r="B1310" s="138">
        <f ca="1">'Expenditures 15-22'!H163</f>
        <v>0</v>
      </c>
      <c r="D1310" s="2" t="str">
        <f t="shared" ca="1" si="19"/>
        <v>Error?</v>
      </c>
    </row>
    <row r="1311" spans="1:4" x14ac:dyDescent="0.2">
      <c r="A1311" s="5">
        <v>1250</v>
      </c>
      <c r="B1311" s="138">
        <f ca="1">'Expenditures 15-22'!H164</f>
        <v>0</v>
      </c>
      <c r="D1311" s="2" t="str">
        <f t="shared" ca="1" si="19"/>
        <v>Error?</v>
      </c>
    </row>
    <row r="1312" spans="1:4" x14ac:dyDescent="0.2">
      <c r="A1312" s="5">
        <v>1251</v>
      </c>
      <c r="B1312" s="138">
        <f ca="1">'Expenditures 15-22'!H169</f>
        <v>0</v>
      </c>
      <c r="D1312" s="2" t="str">
        <f t="shared" ca="1" si="19"/>
        <v>Error?</v>
      </c>
    </row>
    <row r="1313" spans="1:4" x14ac:dyDescent="0.2">
      <c r="A1313" s="5">
        <v>1252</v>
      </c>
      <c r="B1313" s="138">
        <f ca="1">'Expenditures 15-22'!H167</f>
        <v>0</v>
      </c>
      <c r="D1313" s="2" t="str">
        <f t="shared" ca="1" si="19"/>
        <v>Error?</v>
      </c>
    </row>
    <row r="1314" spans="1:4" x14ac:dyDescent="0.2">
      <c r="A1314" s="5">
        <v>1253</v>
      </c>
      <c r="B1314" s="138">
        <f ca="1">'Expenditures 15-22'!H168</f>
        <v>0</v>
      </c>
      <c r="C1314" s="2" t="s">
        <v>573</v>
      </c>
      <c r="D1314" s="2" t="str">
        <f t="shared" ca="1" si="19"/>
        <v>Error?</v>
      </c>
    </row>
    <row r="1315" spans="1:4" x14ac:dyDescent="0.2">
      <c r="A1315" s="5">
        <v>1254</v>
      </c>
      <c r="B1315" s="138">
        <f ca="1">'Expenditures 15-22'!H170</f>
        <v>0</v>
      </c>
      <c r="D1315" s="2" t="str">
        <f t="shared" ca="1" si="19"/>
        <v>Error?</v>
      </c>
    </row>
    <row r="1316" spans="1:4" x14ac:dyDescent="0.2">
      <c r="A1316" s="5">
        <v>1255</v>
      </c>
      <c r="B1316" s="138">
        <f ca="1">'Expenditures 15-22'!H171</f>
        <v>0</v>
      </c>
      <c r="D1316" s="2" t="str">
        <f t="shared" ca="1" si="19"/>
        <v>Error?</v>
      </c>
    </row>
    <row r="1317" spans="1:4" x14ac:dyDescent="0.2">
      <c r="A1317" s="5">
        <v>1256</v>
      </c>
      <c r="B1317" s="138">
        <f ca="1">'Expenditures 15-22'!H172</f>
        <v>0</v>
      </c>
      <c r="C1317" s="2" t="s">
        <v>573</v>
      </c>
      <c r="D1317" s="2" t="str">
        <f t="shared" ca="1" si="19"/>
        <v>Error?</v>
      </c>
    </row>
    <row r="1318" spans="1:4" x14ac:dyDescent="0.2">
      <c r="A1318" s="5">
        <v>1257</v>
      </c>
      <c r="B1318" s="138">
        <f ca="1">'Expenditures 15-22'!H174</f>
        <v>0</v>
      </c>
      <c r="C1318" s="2" t="s">
        <v>573</v>
      </c>
      <c r="D1318" s="2" t="str">
        <f t="shared" ca="1"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 ca="1">'Expenditures 15-22'!K163</f>
        <v>0</v>
      </c>
      <c r="C1324" s="2" t="s">
        <v>573</v>
      </c>
      <c r="D1324" s="2" t="str">
        <f t="shared" ca="1" si="19"/>
        <v>Error?</v>
      </c>
    </row>
    <row r="1325" spans="1:4" x14ac:dyDescent="0.2">
      <c r="A1325" s="5">
        <v>1264</v>
      </c>
      <c r="B1325" s="138">
        <f ca="1">'Expenditures 15-22'!K164</f>
        <v>0</v>
      </c>
      <c r="C1325" s="2" t="s">
        <v>573</v>
      </c>
      <c r="D1325" s="2" t="str">
        <f t="shared" ca="1" si="19"/>
        <v>Error?</v>
      </c>
    </row>
    <row r="1326" spans="1:4" x14ac:dyDescent="0.2">
      <c r="A1326" s="5">
        <v>1265</v>
      </c>
      <c r="B1326" s="138">
        <f ca="1">'Expenditures 15-22'!K169</f>
        <v>0</v>
      </c>
      <c r="C1326" s="2" t="s">
        <v>573</v>
      </c>
      <c r="D1326" s="2" t="str">
        <f t="shared" ca="1" si="19"/>
        <v>Error?</v>
      </c>
    </row>
    <row r="1327" spans="1:4" x14ac:dyDescent="0.2">
      <c r="A1327" s="5">
        <v>1266</v>
      </c>
      <c r="B1327" s="138">
        <f ca="1">'Expenditures 15-22'!K167</f>
        <v>0</v>
      </c>
      <c r="C1327" s="2" t="s">
        <v>573</v>
      </c>
      <c r="D1327" s="2" t="str">
        <f t="shared" ca="1" si="19"/>
        <v>Error?</v>
      </c>
    </row>
    <row r="1328" spans="1:4" x14ac:dyDescent="0.2">
      <c r="A1328" s="5">
        <v>1267</v>
      </c>
      <c r="B1328" s="138">
        <f ca="1">'Expenditures 15-22'!K168</f>
        <v>0</v>
      </c>
      <c r="C1328" s="2" t="s">
        <v>573</v>
      </c>
      <c r="D1328" s="2" t="str">
        <f t="shared" ca="1" si="19"/>
        <v>Error?</v>
      </c>
    </row>
    <row r="1329" spans="1:4" x14ac:dyDescent="0.2">
      <c r="A1329" s="5">
        <v>1268</v>
      </c>
      <c r="B1329" s="138">
        <f ca="1">'Expenditures 15-22'!K170</f>
        <v>0</v>
      </c>
      <c r="C1329" s="2" t="s">
        <v>573</v>
      </c>
      <c r="D1329" s="2" t="str">
        <f t="shared" ca="1" si="19"/>
        <v>Error?</v>
      </c>
    </row>
    <row r="1330" spans="1:4" x14ac:dyDescent="0.2">
      <c r="A1330" s="5">
        <v>1269</v>
      </c>
      <c r="B1330" s="138">
        <f ca="1">'Expenditures 15-22'!K171</f>
        <v>0</v>
      </c>
      <c r="C1330" s="2" t="s">
        <v>573</v>
      </c>
      <c r="D1330" s="2" t="str">
        <f t="shared" ca="1" si="19"/>
        <v>Error?</v>
      </c>
    </row>
    <row r="1331" spans="1:4" x14ac:dyDescent="0.2">
      <c r="A1331" s="5">
        <v>1270</v>
      </c>
      <c r="B1331" s="138">
        <f ca="1">'Expenditures 15-22'!K172</f>
        <v>0</v>
      </c>
      <c r="C1331" s="2" t="s">
        <v>573</v>
      </c>
      <c r="D1331" s="2" t="str">
        <f t="shared" ca="1" si="19"/>
        <v>Error?</v>
      </c>
    </row>
    <row r="1332" spans="1:4" x14ac:dyDescent="0.2">
      <c r="A1332" s="5">
        <v>1271</v>
      </c>
      <c r="B1332" s="138">
        <f ca="1">'Expenditures 15-22'!K174</f>
        <v>0</v>
      </c>
      <c r="C1332" s="2" t="s">
        <v>573</v>
      </c>
      <c r="D1332" s="2" t="str">
        <f t="shared" ca="1" si="19"/>
        <v>Error?</v>
      </c>
    </row>
    <row r="1333" spans="1:4" x14ac:dyDescent="0.2">
      <c r="A1333" s="5">
        <v>1272</v>
      </c>
      <c r="B1333" s="138">
        <f ca="1">'Expenditures 15-22'!K175</f>
        <v>0</v>
      </c>
      <c r="C1333" s="2" t="s">
        <v>573</v>
      </c>
      <c r="D1333" s="2" t="str">
        <f t="shared" ca="1" si="19"/>
        <v>Error?</v>
      </c>
    </row>
    <row r="1334" spans="1:4" x14ac:dyDescent="0.2">
      <c r="A1334" s="10">
        <v>1273</v>
      </c>
      <c r="D1334" s="2" t="str">
        <f t="shared" si="19"/>
        <v>OK</v>
      </c>
    </row>
    <row r="1335" spans="1:4" x14ac:dyDescent="0.2">
      <c r="A1335" s="5">
        <v>1274</v>
      </c>
      <c r="B1335" s="138">
        <f ca="1">'Expenditures 15-22'!C182</f>
        <v>13270</v>
      </c>
      <c r="D1335" s="2" t="str">
        <f t="shared" ca="1"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 ca="1">'Expenditures 15-22'!C183</f>
        <v>0</v>
      </c>
      <c r="D1338" s="2" t="str">
        <f t="shared" ca="1" si="19"/>
        <v>Error?</v>
      </c>
    </row>
    <row r="1339" spans="1:4" x14ac:dyDescent="0.2">
      <c r="A1339" s="5">
        <v>1278</v>
      </c>
      <c r="B1339" s="138">
        <f ca="1">'Expenditures 15-22'!C184</f>
        <v>13270</v>
      </c>
      <c r="C1339" s="2" t="s">
        <v>573</v>
      </c>
      <c r="D1339" s="2" t="str">
        <f t="shared" ca="1" si="19"/>
        <v>Error?</v>
      </c>
    </row>
    <row r="1340" spans="1:4" x14ac:dyDescent="0.2">
      <c r="A1340" s="5">
        <v>1279</v>
      </c>
      <c r="B1340" s="138">
        <f ca="1">'Expenditures 15-22'!C210</f>
        <v>13270</v>
      </c>
      <c r="C1340" s="2" t="s">
        <v>573</v>
      </c>
      <c r="D1340" s="2" t="str">
        <f t="shared" ca="1" si="19"/>
        <v>Error?</v>
      </c>
    </row>
    <row r="1341" spans="1:4" x14ac:dyDescent="0.2">
      <c r="A1341" s="5">
        <v>1280</v>
      </c>
      <c r="B1341" s="138">
        <f ca="1">'Expenditures 15-22'!D182</f>
        <v>1347</v>
      </c>
      <c r="D1341" s="2" t="str">
        <f t="shared" ca="1"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 ca="1">'Expenditures 15-22'!D183</f>
        <v>0</v>
      </c>
      <c r="D1344" s="2" t="str">
        <f t="shared" ca="1" si="20"/>
        <v>Error?</v>
      </c>
    </row>
    <row r="1345" spans="1:4" x14ac:dyDescent="0.2">
      <c r="A1345" s="5">
        <v>1284</v>
      </c>
      <c r="B1345" s="138">
        <f ca="1">'Expenditures 15-22'!D184</f>
        <v>1347</v>
      </c>
      <c r="C1345" s="2" t="s">
        <v>573</v>
      </c>
      <c r="D1345" s="2" t="str">
        <f t="shared" ca="1" si="20"/>
        <v>Error?</v>
      </c>
    </row>
    <row r="1346" spans="1:4" x14ac:dyDescent="0.2">
      <c r="A1346" s="5">
        <v>1285</v>
      </c>
      <c r="B1346" s="138">
        <f ca="1">'Expenditures 15-22'!D210</f>
        <v>1347</v>
      </c>
      <c r="C1346" s="2" t="s">
        <v>573</v>
      </c>
      <c r="D1346" s="2" t="str">
        <f t="shared" ca="1" si="20"/>
        <v>Error?</v>
      </c>
    </row>
    <row r="1347" spans="1:4" x14ac:dyDescent="0.2">
      <c r="A1347" s="5">
        <v>1286</v>
      </c>
      <c r="B1347" s="138">
        <f ca="1">'Expenditures 15-22'!E182</f>
        <v>63254</v>
      </c>
      <c r="D1347" s="2" t="str">
        <f t="shared" ca="1"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 ca="1">'Expenditures 15-22'!E183</f>
        <v>0</v>
      </c>
      <c r="D1350" s="2" t="str">
        <f t="shared" ca="1" si="20"/>
        <v>Error?</v>
      </c>
    </row>
    <row r="1351" spans="1:4" x14ac:dyDescent="0.2">
      <c r="A1351" s="5">
        <v>1290</v>
      </c>
      <c r="B1351" s="138">
        <f ca="1">'Expenditures 15-22'!E184</f>
        <v>63254</v>
      </c>
      <c r="C1351" s="2" t="s">
        <v>573</v>
      </c>
      <c r="D1351" s="2" t="str">
        <f t="shared" ca="1" si="20"/>
        <v>Error?</v>
      </c>
    </row>
    <row r="1352" spans="1:4" x14ac:dyDescent="0.2">
      <c r="A1352" s="5">
        <v>1291</v>
      </c>
      <c r="B1352" s="138">
        <f ca="1">'Expenditures 15-22'!E196</f>
        <v>0</v>
      </c>
      <c r="C1352" s="2" t="s">
        <v>573</v>
      </c>
      <c r="D1352" s="2" t="str">
        <f t="shared" ca="1" si="20"/>
        <v>Error?</v>
      </c>
    </row>
    <row r="1353" spans="1:4" x14ac:dyDescent="0.2">
      <c r="A1353" s="5">
        <v>1292</v>
      </c>
      <c r="B1353" s="138">
        <f ca="1">'Expenditures 15-22'!E210</f>
        <v>63254</v>
      </c>
      <c r="C1353" s="2" t="s">
        <v>573</v>
      </c>
      <c r="D1353" s="2" t="str">
        <f t="shared" ca="1" si="20"/>
        <v>Error?</v>
      </c>
    </row>
    <row r="1354" spans="1:4" x14ac:dyDescent="0.2">
      <c r="A1354" s="5">
        <v>1293</v>
      </c>
      <c r="B1354" s="138">
        <f ca="1">'Expenditures 15-22'!F182</f>
        <v>14622</v>
      </c>
      <c r="D1354" s="2" t="str">
        <f t="shared" ca="1"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 ca="1">'Expenditures 15-22'!F183</f>
        <v>0</v>
      </c>
      <c r="D1357" s="2" t="str">
        <f t="shared" ca="1" si="20"/>
        <v>Error?</v>
      </c>
    </row>
    <row r="1358" spans="1:4" x14ac:dyDescent="0.2">
      <c r="A1358" s="5">
        <v>1297</v>
      </c>
      <c r="B1358" s="138">
        <f ca="1">'Expenditures 15-22'!F184</f>
        <v>14622</v>
      </c>
      <c r="C1358" s="2" t="s">
        <v>573</v>
      </c>
      <c r="D1358" s="2" t="str">
        <f t="shared" ca="1" si="20"/>
        <v>Error?</v>
      </c>
    </row>
    <row r="1359" spans="1:4" x14ac:dyDescent="0.2">
      <c r="A1359" s="5">
        <v>1298</v>
      </c>
      <c r="B1359" s="138">
        <f ca="1">'Expenditures 15-22'!F210</f>
        <v>14622</v>
      </c>
      <c r="C1359" s="2" t="s">
        <v>573</v>
      </c>
      <c r="D1359" s="2" t="str">
        <f t="shared" ca="1" si="20"/>
        <v>Error?</v>
      </c>
    </row>
    <row r="1360" spans="1:4" x14ac:dyDescent="0.2">
      <c r="A1360" s="5">
        <v>1299</v>
      </c>
      <c r="B1360" s="138">
        <f ca="1">'Expenditures 15-22'!G182</f>
        <v>21651</v>
      </c>
      <c r="D1360" s="2" t="str">
        <f t="shared" ca="1"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 ca="1">'Expenditures 15-22'!G183</f>
        <v>0</v>
      </c>
      <c r="D1363" s="2" t="str">
        <f t="shared" ca="1" si="20"/>
        <v>Error?</v>
      </c>
    </row>
    <row r="1364" spans="1:4" x14ac:dyDescent="0.2">
      <c r="A1364" s="5">
        <v>1303</v>
      </c>
      <c r="B1364" s="138">
        <f ca="1">'Expenditures 15-22'!G184</f>
        <v>21651</v>
      </c>
      <c r="C1364" s="2" t="s">
        <v>573</v>
      </c>
      <c r="D1364" s="2" t="str">
        <f t="shared" ca="1" si="20"/>
        <v>Error?</v>
      </c>
    </row>
    <row r="1365" spans="1:4" x14ac:dyDescent="0.2">
      <c r="A1365" s="5">
        <v>1304</v>
      </c>
      <c r="B1365" s="138">
        <f ca="1">'Expenditures 15-22'!G210</f>
        <v>21651</v>
      </c>
      <c r="C1365" s="2" t="s">
        <v>573</v>
      </c>
      <c r="D1365" s="2" t="str">
        <f t="shared" ca="1" si="20"/>
        <v>Error?</v>
      </c>
    </row>
    <row r="1366" spans="1:4" x14ac:dyDescent="0.2">
      <c r="A1366" s="5">
        <v>1305</v>
      </c>
      <c r="B1366" s="138">
        <f ca="1">'Expenditures 15-22'!H182</f>
        <v>0</v>
      </c>
      <c r="D1366" s="2" t="str">
        <f t="shared" ca="1"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 ca="1">'Expenditures 15-22'!H183</f>
        <v>0</v>
      </c>
      <c r="D1369" s="2" t="str">
        <f t="shared" ca="1" si="20"/>
        <v>Error?</v>
      </c>
    </row>
    <row r="1370" spans="1:4" x14ac:dyDescent="0.2">
      <c r="A1370" s="5">
        <v>1309</v>
      </c>
      <c r="B1370" s="138">
        <f ca="1">'Expenditures 15-22'!H184</f>
        <v>0</v>
      </c>
      <c r="C1370" s="2" t="s">
        <v>573</v>
      </c>
      <c r="D1370" s="2" t="str">
        <f t="shared" ca="1" si="20"/>
        <v>Error?</v>
      </c>
    </row>
    <row r="1371" spans="1:4" x14ac:dyDescent="0.2">
      <c r="A1371" s="5">
        <v>1310</v>
      </c>
      <c r="B1371" s="138">
        <f ca="1">'Expenditures 15-22'!H199</f>
        <v>0</v>
      </c>
      <c r="D1371" s="2" t="str">
        <f t="shared" ca="1" si="20"/>
        <v>Error?</v>
      </c>
    </row>
    <row r="1372" spans="1:4" x14ac:dyDescent="0.2">
      <c r="A1372" s="5">
        <v>1311</v>
      </c>
      <c r="B1372" s="138">
        <f ca="1">'Expenditures 15-22'!H200</f>
        <v>0</v>
      </c>
      <c r="D1372" s="2" t="str">
        <f t="shared" ca="1" si="20"/>
        <v>Error?</v>
      </c>
    </row>
    <row r="1373" spans="1:4" x14ac:dyDescent="0.2">
      <c r="A1373" s="5">
        <v>1312</v>
      </c>
      <c r="B1373" s="138">
        <f ca="1">'Expenditures 15-22'!H203</f>
        <v>0</v>
      </c>
      <c r="D1373" s="2" t="str">
        <f t="shared" ca="1" si="20"/>
        <v>Error?</v>
      </c>
    </row>
    <row r="1374" spans="1:4" x14ac:dyDescent="0.2">
      <c r="A1374" s="10">
        <v>1313</v>
      </c>
      <c r="D1374" s="2" t="str">
        <f t="shared" si="20"/>
        <v>OK</v>
      </c>
    </row>
    <row r="1375" spans="1:4" x14ac:dyDescent="0.2">
      <c r="A1375" s="5">
        <v>1314</v>
      </c>
      <c r="B1375" s="138">
        <f ca="1">'Expenditures 15-22'!H208</f>
        <v>7690</v>
      </c>
      <c r="C1375" s="2" t="s">
        <v>573</v>
      </c>
      <c r="D1375" s="2" t="str">
        <f t="shared" ca="1" si="20"/>
        <v>Error?</v>
      </c>
    </row>
    <row r="1376" spans="1:4" x14ac:dyDescent="0.2">
      <c r="A1376" s="5">
        <v>1315</v>
      </c>
      <c r="B1376" s="138">
        <f ca="1">'Expenditures 15-22'!H210</f>
        <v>7690</v>
      </c>
      <c r="C1376" s="2" t="s">
        <v>573</v>
      </c>
      <c r="D1376" s="2" t="str">
        <f t="shared" ca="1" si="20"/>
        <v>Error?</v>
      </c>
    </row>
    <row r="1377" spans="1:4" x14ac:dyDescent="0.2">
      <c r="A1377" s="5">
        <v>1316</v>
      </c>
      <c r="B1377" s="138">
        <f ca="1">'Expenditures 15-22'!K182</f>
        <v>114144</v>
      </c>
      <c r="C1377" s="2" t="s">
        <v>573</v>
      </c>
      <c r="D1377" s="2" t="str">
        <f t="shared" ca="1"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 ca="1">'Expenditures 15-22'!K183</f>
        <v>0</v>
      </c>
      <c r="C1380" s="2" t="s">
        <v>573</v>
      </c>
      <c r="D1380" s="2" t="str">
        <f t="shared" ca="1" si="20"/>
        <v>Error?</v>
      </c>
    </row>
    <row r="1381" spans="1:4" x14ac:dyDescent="0.2">
      <c r="A1381" s="5">
        <v>1320</v>
      </c>
      <c r="B1381" s="138">
        <f ca="1">'Expenditures 15-22'!K184</f>
        <v>114144</v>
      </c>
      <c r="C1381" s="2" t="s">
        <v>573</v>
      </c>
      <c r="D1381" s="2" t="str">
        <f t="shared" ca="1" si="20"/>
        <v>Error?</v>
      </c>
    </row>
    <row r="1382" spans="1:4" x14ac:dyDescent="0.2">
      <c r="A1382" s="5">
        <v>1321</v>
      </c>
      <c r="B1382" s="138">
        <f ca="1">'Expenditures 15-22'!K196</f>
        <v>0</v>
      </c>
      <c r="C1382" s="2" t="s">
        <v>573</v>
      </c>
      <c r="D1382" s="2" t="str">
        <f t="shared" ca="1" si="20"/>
        <v>Error?</v>
      </c>
    </row>
    <row r="1383" spans="1:4" x14ac:dyDescent="0.2">
      <c r="A1383" s="5">
        <v>1322</v>
      </c>
      <c r="B1383" s="138">
        <f ca="1">'Expenditures 15-22'!K199</f>
        <v>0</v>
      </c>
      <c r="C1383" s="2" t="s">
        <v>573</v>
      </c>
      <c r="D1383" s="2" t="str">
        <f t="shared" ca="1" si="20"/>
        <v>Error?</v>
      </c>
    </row>
    <row r="1384" spans="1:4" x14ac:dyDescent="0.2">
      <c r="A1384" s="5">
        <v>1323</v>
      </c>
      <c r="B1384" s="138">
        <f ca="1">'Expenditures 15-22'!K200</f>
        <v>0</v>
      </c>
      <c r="C1384" s="2" t="s">
        <v>573</v>
      </c>
      <c r="D1384" s="2" t="str">
        <f t="shared" ca="1" si="20"/>
        <v>Error?</v>
      </c>
    </row>
    <row r="1385" spans="1:4" x14ac:dyDescent="0.2">
      <c r="A1385" s="5">
        <v>1324</v>
      </c>
      <c r="B1385" s="138">
        <f ca="1">'Expenditures 15-22'!K203</f>
        <v>0</v>
      </c>
      <c r="C1385" s="2" t="s">
        <v>573</v>
      </c>
      <c r="D1385" s="2" t="str">
        <f t="shared" ca="1" si="20"/>
        <v>Error?</v>
      </c>
    </row>
    <row r="1386" spans="1:4" x14ac:dyDescent="0.2">
      <c r="A1386" s="10">
        <v>1325</v>
      </c>
      <c r="D1386" s="2" t="str">
        <f t="shared" si="20"/>
        <v>OK</v>
      </c>
    </row>
    <row r="1387" spans="1:4" x14ac:dyDescent="0.2">
      <c r="A1387" s="5">
        <v>1326</v>
      </c>
      <c r="B1387" s="138">
        <f ca="1">'Expenditures 15-22'!K208</f>
        <v>7690</v>
      </c>
      <c r="C1387" s="2" t="s">
        <v>573</v>
      </c>
      <c r="D1387" s="2" t="str">
        <f t="shared" ca="1" si="20"/>
        <v>Error?</v>
      </c>
    </row>
    <row r="1388" spans="1:4" x14ac:dyDescent="0.2">
      <c r="A1388" s="5">
        <v>1327</v>
      </c>
      <c r="B1388" s="138">
        <f ca="1">'Expenditures 15-22'!K210</f>
        <v>121834</v>
      </c>
      <c r="C1388" s="2" t="s">
        <v>573</v>
      </c>
      <c r="D1388" s="2" t="str">
        <f t="shared" ca="1" si="20"/>
        <v>Error?</v>
      </c>
    </row>
    <row r="1389" spans="1:4" x14ac:dyDescent="0.2">
      <c r="A1389" s="5">
        <v>1328</v>
      </c>
      <c r="B1389" s="138">
        <f ca="1">'Expenditures 15-22'!K211</f>
        <v>79977</v>
      </c>
      <c r="C1389" s="2" t="s">
        <v>573</v>
      </c>
      <c r="D1389" s="2" t="str">
        <f t="shared" ca="1"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 ca="1">'Expenditures 15-22'!D225</f>
        <v>0</v>
      </c>
      <c r="D1396" s="2" t="str">
        <f t="shared" ca="1"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 ca="1">'Expenditures 15-22'!D227</f>
        <v>0</v>
      </c>
      <c r="D1402" s="2" t="str">
        <f t="shared" ca="1"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 ca="1">'Expenditures 15-22'!D221</f>
        <v>0</v>
      </c>
      <c r="D1406" s="2" t="str">
        <f t="shared" ca="1" si="20"/>
        <v>Error?</v>
      </c>
    </row>
    <row r="1407" spans="1:4" x14ac:dyDescent="0.2">
      <c r="A1407" s="5">
        <v>1346</v>
      </c>
      <c r="B1407" s="138">
        <f ca="1">'Expenditures 15-22'!D222</f>
        <v>0</v>
      </c>
      <c r="D1407" s="2" t="str">
        <f t="shared" ref="D1407:D1470" ca="1" si="21">IF(ISBLANK(B1407),"OK",IF(A1407-B1407=0,"OK","Error?"))</f>
        <v>Error?</v>
      </c>
    </row>
    <row r="1408" spans="1:4" x14ac:dyDescent="0.2">
      <c r="A1408" s="5">
        <v>1347</v>
      </c>
      <c r="B1408" s="138">
        <f ca="1">'Expenditures 15-22'!D223</f>
        <v>841</v>
      </c>
      <c r="D1408" s="2" t="str">
        <f t="shared" ca="1" si="21"/>
        <v>Error?</v>
      </c>
    </row>
    <row r="1409" spans="1:4" x14ac:dyDescent="0.2">
      <c r="A1409" s="5">
        <v>1348</v>
      </c>
      <c r="B1409" s="138">
        <f ca="1">'Expenditures 15-22'!D224</f>
        <v>0</v>
      </c>
      <c r="D1409" s="2" t="str">
        <f t="shared" ca="1" si="21"/>
        <v>Error?</v>
      </c>
    </row>
    <row r="1410" spans="1:4" x14ac:dyDescent="0.2">
      <c r="A1410" s="5">
        <v>1349</v>
      </c>
      <c r="B1410" s="138">
        <f ca="1">'Expenditures 15-22'!D229</f>
        <v>25655</v>
      </c>
      <c r="C1410" s="2" t="s">
        <v>573</v>
      </c>
      <c r="D1410" s="2" t="str">
        <f t="shared" ca="1" si="21"/>
        <v>Error?</v>
      </c>
    </row>
    <row r="1411" spans="1:4" x14ac:dyDescent="0.2">
      <c r="A1411" s="5">
        <v>1350</v>
      </c>
      <c r="B1411" s="138">
        <f ca="1">'Expenditures 15-22'!D232</f>
        <v>0</v>
      </c>
      <c r="D1411" s="2" t="str">
        <f t="shared" ca="1" si="21"/>
        <v>Error?</v>
      </c>
    </row>
    <row r="1412" spans="1:4" x14ac:dyDescent="0.2">
      <c r="A1412" s="5">
        <v>1351</v>
      </c>
      <c r="B1412" s="138">
        <f ca="1">'Expenditures 15-22'!D233</f>
        <v>0</v>
      </c>
      <c r="D1412" s="2" t="str">
        <f t="shared" ca="1" si="21"/>
        <v>Error?</v>
      </c>
    </row>
    <row r="1413" spans="1:4" x14ac:dyDescent="0.2">
      <c r="A1413" s="5">
        <v>1352</v>
      </c>
      <c r="B1413" s="138">
        <f ca="1">'Expenditures 15-22'!D234</f>
        <v>0</v>
      </c>
      <c r="D1413" s="2" t="str">
        <f t="shared" ca="1" si="21"/>
        <v>Error?</v>
      </c>
    </row>
    <row r="1414" spans="1:4" x14ac:dyDescent="0.2">
      <c r="A1414" s="5">
        <v>1353</v>
      </c>
      <c r="B1414" s="138">
        <f ca="1">'Expenditures 15-22'!D235</f>
        <v>0</v>
      </c>
      <c r="D1414" s="2" t="str">
        <f t="shared" ca="1" si="21"/>
        <v>Error?</v>
      </c>
    </row>
    <row r="1415" spans="1:4" x14ac:dyDescent="0.2">
      <c r="A1415" s="5">
        <v>1354</v>
      </c>
      <c r="B1415" s="138">
        <f ca="1">'Expenditures 15-22'!D236</f>
        <v>0</v>
      </c>
      <c r="D1415" s="2" t="str">
        <f t="shared" ca="1" si="21"/>
        <v>Error?</v>
      </c>
    </row>
    <row r="1416" spans="1:4" x14ac:dyDescent="0.2">
      <c r="A1416" s="5">
        <v>1355</v>
      </c>
      <c r="B1416" s="138">
        <f ca="1">'Expenditures 15-22'!D237</f>
        <v>0</v>
      </c>
      <c r="D1416" s="2" t="str">
        <f t="shared" ca="1" si="21"/>
        <v>Error?</v>
      </c>
    </row>
    <row r="1417" spans="1:4" x14ac:dyDescent="0.2">
      <c r="A1417" s="5">
        <v>1356</v>
      </c>
      <c r="B1417" s="138">
        <f ca="1">'Expenditures 15-22'!D238</f>
        <v>0</v>
      </c>
      <c r="C1417" s="2" t="s">
        <v>573</v>
      </c>
      <c r="D1417" s="2" t="str">
        <f t="shared" ca="1" si="21"/>
        <v>Error?</v>
      </c>
    </row>
    <row r="1418" spans="1:4" x14ac:dyDescent="0.2">
      <c r="A1418" s="5">
        <v>1357</v>
      </c>
      <c r="B1418" s="138">
        <f ca="1">'Expenditures 15-22'!D240</f>
        <v>0</v>
      </c>
      <c r="D1418" s="2" t="str">
        <f t="shared" ca="1" si="21"/>
        <v>Error?</v>
      </c>
    </row>
    <row r="1419" spans="1:4" x14ac:dyDescent="0.2">
      <c r="A1419" s="5">
        <v>1358</v>
      </c>
      <c r="B1419" s="138">
        <f ca="1">'Expenditures 15-22'!D241</f>
        <v>9</v>
      </c>
      <c r="D1419" s="2" t="str">
        <f t="shared" ca="1" si="21"/>
        <v>Error?</v>
      </c>
    </row>
    <row r="1420" spans="1:4" x14ac:dyDescent="0.2">
      <c r="A1420" s="5">
        <v>1359</v>
      </c>
      <c r="B1420" s="138">
        <f ca="1">'Expenditures 15-22'!D242</f>
        <v>0</v>
      </c>
      <c r="D1420" s="2" t="str">
        <f t="shared" ca="1" si="21"/>
        <v>Error?</v>
      </c>
    </row>
    <row r="1421" spans="1:4" x14ac:dyDescent="0.2">
      <c r="A1421" s="5">
        <v>1360</v>
      </c>
      <c r="B1421" s="138">
        <f ca="1">'Expenditures 15-22'!D243</f>
        <v>9</v>
      </c>
      <c r="C1421" s="2" t="s">
        <v>573</v>
      </c>
      <c r="D1421" s="2" t="str">
        <f t="shared" ca="1" si="21"/>
        <v>Error?</v>
      </c>
    </row>
    <row r="1422" spans="1:4" x14ac:dyDescent="0.2">
      <c r="A1422" s="5">
        <v>1361</v>
      </c>
      <c r="B1422" s="138">
        <f ca="1">'Expenditures 15-22'!D245</f>
        <v>317</v>
      </c>
      <c r="D1422" s="2" t="str">
        <f t="shared" ca="1" si="21"/>
        <v>Error?</v>
      </c>
    </row>
    <row r="1423" spans="1:4" x14ac:dyDescent="0.2">
      <c r="A1423" s="5">
        <v>1362</v>
      </c>
      <c r="B1423" s="138">
        <f ca="1">'Expenditures 15-22'!D246</f>
        <v>4791</v>
      </c>
      <c r="D1423" s="2" t="str">
        <f t="shared" ca="1" si="21"/>
        <v>Error?</v>
      </c>
    </row>
    <row r="1424" spans="1:4" x14ac:dyDescent="0.2">
      <c r="A1424" s="5">
        <v>1363</v>
      </c>
      <c r="B1424" s="138">
        <f ca="1">'Expenditures 15-22'!D257</f>
        <v>5226</v>
      </c>
      <c r="C1424" s="2" t="s">
        <v>573</v>
      </c>
      <c r="D1424" s="2" t="str">
        <f t="shared" ca="1" si="21"/>
        <v>Error?</v>
      </c>
    </row>
    <row r="1425" spans="1:4" x14ac:dyDescent="0.2">
      <c r="A1425" s="5">
        <v>1364</v>
      </c>
      <c r="B1425" s="138">
        <f ca="1">'Expenditures 15-22'!D259</f>
        <v>798</v>
      </c>
      <c r="D1425" s="2" t="str">
        <f t="shared" ca="1" si="21"/>
        <v>Error?</v>
      </c>
    </row>
    <row r="1426" spans="1:4" x14ac:dyDescent="0.2">
      <c r="A1426" s="5">
        <v>1365</v>
      </c>
      <c r="B1426" s="138">
        <f ca="1">'Expenditures 15-22'!D260</f>
        <v>508</v>
      </c>
      <c r="D1426" s="2" t="str">
        <f t="shared" ca="1" si="21"/>
        <v>Error?</v>
      </c>
    </row>
    <row r="1427" spans="1:4" x14ac:dyDescent="0.2">
      <c r="A1427" s="5">
        <v>1366</v>
      </c>
      <c r="B1427" s="138">
        <f ca="1">'Expenditures 15-22'!D261</f>
        <v>1306</v>
      </c>
      <c r="C1427" s="2" t="s">
        <v>573</v>
      </c>
      <c r="D1427" s="2" t="str">
        <f t="shared" ca="1" si="21"/>
        <v>Error?</v>
      </c>
    </row>
    <row r="1428" spans="1:4" x14ac:dyDescent="0.2">
      <c r="A1428" s="5">
        <v>1367</v>
      </c>
      <c r="B1428" s="138">
        <f ca="1">'Expenditures 15-22'!D263</f>
        <v>0</v>
      </c>
      <c r="D1428" s="2" t="str">
        <f t="shared" ca="1" si="21"/>
        <v>Error?</v>
      </c>
    </row>
    <row r="1429" spans="1:4" x14ac:dyDescent="0.2">
      <c r="A1429" s="5">
        <v>1368</v>
      </c>
      <c r="B1429" s="138">
        <f ca="1">'Expenditures 15-22'!D264</f>
        <v>5221</v>
      </c>
      <c r="D1429" s="2" t="str">
        <f t="shared" ca="1" si="21"/>
        <v>Error?</v>
      </c>
    </row>
    <row r="1430" spans="1:4" x14ac:dyDescent="0.2">
      <c r="A1430" s="5">
        <v>1369</v>
      </c>
      <c r="B1430" s="138">
        <f ca="1">'Expenditures 15-22'!D265</f>
        <v>0</v>
      </c>
      <c r="D1430" s="2" t="str">
        <f t="shared" ca="1" si="21"/>
        <v>Error?</v>
      </c>
    </row>
    <row r="1431" spans="1:4" x14ac:dyDescent="0.2">
      <c r="A1431" s="5">
        <v>1370</v>
      </c>
      <c r="B1431" s="138">
        <f ca="1">'Expenditures 15-22'!D266</f>
        <v>11191</v>
      </c>
      <c r="D1431" s="2" t="str">
        <f t="shared" ca="1" si="21"/>
        <v>Error?</v>
      </c>
    </row>
    <row r="1432" spans="1:4" x14ac:dyDescent="0.2">
      <c r="A1432" s="5">
        <v>1371</v>
      </c>
      <c r="B1432" s="138">
        <f ca="1">'Expenditures 15-22'!D267</f>
        <v>662</v>
      </c>
      <c r="D1432" s="2" t="str">
        <f t="shared" ca="1" si="21"/>
        <v>Error?</v>
      </c>
    </row>
    <row r="1433" spans="1:4" x14ac:dyDescent="0.2">
      <c r="A1433" s="5">
        <v>1372</v>
      </c>
      <c r="B1433" s="138">
        <f ca="1">'Expenditures 15-22'!D268</f>
        <v>4486</v>
      </c>
      <c r="D1433" s="2" t="str">
        <f t="shared" ca="1" si="21"/>
        <v>Error?</v>
      </c>
    </row>
    <row r="1434" spans="1:4" x14ac:dyDescent="0.2">
      <c r="A1434" s="5">
        <v>1373</v>
      </c>
      <c r="B1434" s="138">
        <f ca="1">'Expenditures 15-22'!D269</f>
        <v>0</v>
      </c>
      <c r="D1434" s="2" t="str">
        <f t="shared" ca="1" si="21"/>
        <v>Error?</v>
      </c>
    </row>
    <row r="1435" spans="1:4" x14ac:dyDescent="0.2">
      <c r="A1435" s="10">
        <v>1374</v>
      </c>
      <c r="D1435" s="2" t="str">
        <f t="shared" si="21"/>
        <v>OK</v>
      </c>
    </row>
    <row r="1436" spans="1:4" x14ac:dyDescent="0.2">
      <c r="A1436" s="5">
        <v>1375</v>
      </c>
      <c r="B1436" s="138">
        <f ca="1">'Expenditures 15-22'!D270</f>
        <v>21560</v>
      </c>
      <c r="C1436" s="2" t="s">
        <v>573</v>
      </c>
      <c r="D1436" s="2" t="str">
        <f t="shared" ca="1" si="21"/>
        <v>Error?</v>
      </c>
    </row>
    <row r="1437" spans="1:4" x14ac:dyDescent="0.2">
      <c r="A1437" s="5">
        <v>1376</v>
      </c>
      <c r="B1437" s="138">
        <f ca="1">'Expenditures 15-22'!D272</f>
        <v>0</v>
      </c>
      <c r="D1437" s="2" t="str">
        <f t="shared" ca="1" si="21"/>
        <v>Error?</v>
      </c>
    </row>
    <row r="1438" spans="1:4" x14ac:dyDescent="0.2">
      <c r="A1438" s="5">
        <v>1377</v>
      </c>
      <c r="B1438" s="138">
        <f ca="1">'Expenditures 15-22'!D273</f>
        <v>0</v>
      </c>
      <c r="D1438" s="2" t="str">
        <f t="shared" ca="1" si="21"/>
        <v>Error?</v>
      </c>
    </row>
    <row r="1439" spans="1:4" x14ac:dyDescent="0.2">
      <c r="A1439" s="5">
        <v>1378</v>
      </c>
      <c r="B1439" s="138">
        <f ca="1">'Expenditures 15-22'!D274</f>
        <v>0</v>
      </c>
      <c r="D1439" s="2" t="str">
        <f t="shared" ca="1" si="21"/>
        <v>Error?</v>
      </c>
    </row>
    <row r="1440" spans="1:4" x14ac:dyDescent="0.2">
      <c r="A1440" s="5">
        <v>1379</v>
      </c>
      <c r="B1440" s="138">
        <f ca="1">'Expenditures 15-22'!D275</f>
        <v>0</v>
      </c>
      <c r="D1440" s="2" t="str">
        <f t="shared" ca="1" si="21"/>
        <v>Error?</v>
      </c>
    </row>
    <row r="1441" spans="1:4" x14ac:dyDescent="0.2">
      <c r="A1441" s="10">
        <v>1380</v>
      </c>
      <c r="D1441" s="2" t="str">
        <f t="shared" si="21"/>
        <v>OK</v>
      </c>
    </row>
    <row r="1442" spans="1:4" x14ac:dyDescent="0.2">
      <c r="A1442" s="5">
        <v>1381</v>
      </c>
      <c r="B1442" s="138">
        <f ca="1">'Expenditures 15-22'!D276</f>
        <v>0</v>
      </c>
      <c r="D1442" s="2" t="str">
        <f t="shared" ca="1" si="21"/>
        <v>Error?</v>
      </c>
    </row>
    <row r="1443" spans="1:4" x14ac:dyDescent="0.2">
      <c r="A1443" s="10">
        <v>1382</v>
      </c>
      <c r="D1443" s="2" t="str">
        <f t="shared" si="21"/>
        <v>OK</v>
      </c>
    </row>
    <row r="1444" spans="1:4" x14ac:dyDescent="0.2">
      <c r="A1444" s="5">
        <v>1383</v>
      </c>
      <c r="B1444" s="138">
        <f ca="1">'Expenditures 15-22'!D277</f>
        <v>0</v>
      </c>
      <c r="C1444" s="2" t="s">
        <v>573</v>
      </c>
      <c r="D1444" s="2" t="str">
        <f t="shared" ca="1" si="21"/>
        <v>Error?</v>
      </c>
    </row>
    <row r="1445" spans="1:4" x14ac:dyDescent="0.2">
      <c r="A1445" s="5">
        <v>1384</v>
      </c>
      <c r="B1445" s="138">
        <f ca="1">'Expenditures 15-22'!D278</f>
        <v>0</v>
      </c>
      <c r="D1445" s="2" t="str">
        <f t="shared" ca="1" si="21"/>
        <v>Error?</v>
      </c>
    </row>
    <row r="1446" spans="1:4" x14ac:dyDescent="0.2">
      <c r="A1446" s="5">
        <v>1385</v>
      </c>
      <c r="B1446" s="138">
        <f ca="1">'Expenditures 15-22'!D279</f>
        <v>28101</v>
      </c>
      <c r="C1446" s="2" t="s">
        <v>573</v>
      </c>
      <c r="D1446" s="2" t="str">
        <f t="shared" ca="1" si="21"/>
        <v>Error?</v>
      </c>
    </row>
    <row r="1447" spans="1:4" x14ac:dyDescent="0.2">
      <c r="A1447" s="5">
        <v>1386</v>
      </c>
      <c r="B1447" s="138">
        <f ca="1">'Expenditures 15-22'!D280</f>
        <v>1599</v>
      </c>
      <c r="D1447" s="2" t="str">
        <f t="shared" ca="1" si="21"/>
        <v>Error?</v>
      </c>
    </row>
    <row r="1448" spans="1:4" x14ac:dyDescent="0.2">
      <c r="A1448" s="5">
        <v>1387</v>
      </c>
      <c r="B1448" s="138">
        <f ca="1">'Expenditures 15-22'!D295</f>
        <v>55355</v>
      </c>
      <c r="C1448" s="2" t="s">
        <v>573</v>
      </c>
      <c r="D1448" s="2" t="str">
        <f t="shared" ca="1" si="21"/>
        <v>Error?</v>
      </c>
    </row>
    <row r="1449" spans="1:4" x14ac:dyDescent="0.2">
      <c r="A1449" s="5">
        <v>1388</v>
      </c>
      <c r="B1449" s="138">
        <f ca="1">'Expenditures 15-22'!H288</f>
        <v>0</v>
      </c>
      <c r="D1449" s="2" t="str">
        <f t="shared" ca="1" si="21"/>
        <v>Error?</v>
      </c>
    </row>
    <row r="1450" spans="1:4" x14ac:dyDescent="0.2">
      <c r="A1450" s="5">
        <v>1389</v>
      </c>
      <c r="B1450" s="138">
        <f ca="1">'Expenditures 15-22'!H289</f>
        <v>0</v>
      </c>
      <c r="D1450" s="2" t="str">
        <f t="shared" ca="1" si="21"/>
        <v>Error?</v>
      </c>
    </row>
    <row r="1451" spans="1:4" x14ac:dyDescent="0.2">
      <c r="A1451" s="5">
        <v>1390</v>
      </c>
      <c r="B1451" s="138">
        <f ca="1">'Expenditures 15-22'!H292</f>
        <v>0</v>
      </c>
      <c r="D1451" s="2" t="str">
        <f t="shared" ca="1" si="21"/>
        <v>Error?</v>
      </c>
    </row>
    <row r="1452" spans="1:4" x14ac:dyDescent="0.2">
      <c r="A1452" s="5">
        <v>1391</v>
      </c>
      <c r="B1452" s="138">
        <f ca="1">'Expenditures 15-22'!H293</f>
        <v>0</v>
      </c>
      <c r="C1452" s="2" t="s">
        <v>573</v>
      </c>
      <c r="D1452" s="2" t="str">
        <f t="shared" ca="1" si="21"/>
        <v>Error?</v>
      </c>
    </row>
    <row r="1453" spans="1:4" x14ac:dyDescent="0.2">
      <c r="A1453" s="10">
        <v>1392</v>
      </c>
      <c r="D1453" s="2" t="str">
        <f t="shared" si="21"/>
        <v>OK</v>
      </c>
    </row>
    <row r="1454" spans="1:4" x14ac:dyDescent="0.2">
      <c r="A1454" s="5">
        <v>1393</v>
      </c>
      <c r="B1454" s="138">
        <f ca="1">'Expenditures 15-22'!H295</f>
        <v>0</v>
      </c>
      <c r="C1454" s="2" t="s">
        <v>573</v>
      </c>
      <c r="D1454" s="2" t="str">
        <f t="shared" ca="1"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 ca="1">'Expenditures 15-22'!K225</f>
        <v>0</v>
      </c>
      <c r="C1460" s="2" t="s">
        <v>573</v>
      </c>
      <c r="D1460" s="2" t="str">
        <f t="shared" ca="1"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 ca="1">'Expenditures 15-22'!K227</f>
        <v>0</v>
      </c>
      <c r="C1466" s="2" t="s">
        <v>573</v>
      </c>
      <c r="D1466" s="2" t="str">
        <f t="shared" ca="1"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 ca="1">'Expenditures 15-22'!K221</f>
        <v>0</v>
      </c>
      <c r="C1470" s="2" t="s">
        <v>573</v>
      </c>
      <c r="D1470" s="2" t="str">
        <f t="shared" ca="1" si="21"/>
        <v>Error?</v>
      </c>
    </row>
    <row r="1471" spans="1:4" x14ac:dyDescent="0.2">
      <c r="A1471" s="5">
        <v>1410</v>
      </c>
      <c r="B1471" s="138">
        <f ca="1">'Expenditures 15-22'!K222</f>
        <v>0</v>
      </c>
      <c r="C1471" s="2" t="s">
        <v>573</v>
      </c>
      <c r="D1471" s="2" t="str">
        <f t="shared" ref="D1471:D1534" ca="1" si="22">IF(ISBLANK(B1471),"OK",IF(A1471-B1471=0,"OK","Error?"))</f>
        <v>Error?</v>
      </c>
    </row>
    <row r="1472" spans="1:4" x14ac:dyDescent="0.2">
      <c r="A1472" s="5">
        <v>1411</v>
      </c>
      <c r="B1472" s="138">
        <f ca="1">'Expenditures 15-22'!K223</f>
        <v>841</v>
      </c>
      <c r="C1472" s="2" t="s">
        <v>573</v>
      </c>
      <c r="D1472" s="2" t="str">
        <f t="shared" ca="1" si="22"/>
        <v>Error?</v>
      </c>
    </row>
    <row r="1473" spans="1:4" x14ac:dyDescent="0.2">
      <c r="A1473" s="5">
        <v>1412</v>
      </c>
      <c r="B1473" s="138">
        <f ca="1">'Expenditures 15-22'!K224</f>
        <v>0</v>
      </c>
      <c r="C1473" s="2" t="s">
        <v>573</v>
      </c>
      <c r="D1473" s="2" t="str">
        <f t="shared" ca="1" si="22"/>
        <v>Error?</v>
      </c>
    </row>
    <row r="1474" spans="1:4" x14ac:dyDescent="0.2">
      <c r="A1474" s="5">
        <v>1413</v>
      </c>
      <c r="B1474" s="138">
        <f ca="1">'Expenditures 15-22'!K229</f>
        <v>25655</v>
      </c>
      <c r="C1474" s="2" t="s">
        <v>573</v>
      </c>
      <c r="D1474" s="2" t="str">
        <f t="shared" ca="1" si="22"/>
        <v>Error?</v>
      </c>
    </row>
    <row r="1475" spans="1:4" x14ac:dyDescent="0.2">
      <c r="A1475" s="5">
        <v>1414</v>
      </c>
      <c r="B1475" s="138">
        <f ca="1">'Expenditures 15-22'!K232</f>
        <v>0</v>
      </c>
      <c r="C1475" s="2" t="s">
        <v>573</v>
      </c>
      <c r="D1475" s="2" t="str">
        <f t="shared" ca="1" si="22"/>
        <v>Error?</v>
      </c>
    </row>
    <row r="1476" spans="1:4" x14ac:dyDescent="0.2">
      <c r="A1476" s="5">
        <v>1415</v>
      </c>
      <c r="B1476" s="138">
        <f ca="1">'Expenditures 15-22'!K233</f>
        <v>0</v>
      </c>
      <c r="C1476" s="2" t="s">
        <v>573</v>
      </c>
      <c r="D1476" s="2" t="str">
        <f t="shared" ca="1" si="22"/>
        <v>Error?</v>
      </c>
    </row>
    <row r="1477" spans="1:4" x14ac:dyDescent="0.2">
      <c r="A1477" s="5">
        <v>1416</v>
      </c>
      <c r="B1477" s="138">
        <f ca="1">'Expenditures 15-22'!K234</f>
        <v>0</v>
      </c>
      <c r="C1477" s="2" t="s">
        <v>573</v>
      </c>
      <c r="D1477" s="2" t="str">
        <f t="shared" ca="1" si="22"/>
        <v>Error?</v>
      </c>
    </row>
    <row r="1478" spans="1:4" x14ac:dyDescent="0.2">
      <c r="A1478" s="5">
        <v>1417</v>
      </c>
      <c r="B1478" s="138">
        <f ca="1">'Expenditures 15-22'!K235</f>
        <v>0</v>
      </c>
      <c r="C1478" s="2" t="s">
        <v>573</v>
      </c>
      <c r="D1478" s="2" t="str">
        <f t="shared" ca="1" si="22"/>
        <v>Error?</v>
      </c>
    </row>
    <row r="1479" spans="1:4" x14ac:dyDescent="0.2">
      <c r="A1479" s="5">
        <v>1418</v>
      </c>
      <c r="B1479" s="138">
        <f ca="1">'Expenditures 15-22'!K236</f>
        <v>0</v>
      </c>
      <c r="C1479" s="2" t="s">
        <v>573</v>
      </c>
      <c r="D1479" s="2" t="str">
        <f t="shared" ca="1" si="22"/>
        <v>Error?</v>
      </c>
    </row>
    <row r="1480" spans="1:4" x14ac:dyDescent="0.2">
      <c r="A1480" s="5">
        <v>1419</v>
      </c>
      <c r="B1480" s="138">
        <f ca="1">'Expenditures 15-22'!K237</f>
        <v>0</v>
      </c>
      <c r="C1480" s="2" t="s">
        <v>573</v>
      </c>
      <c r="D1480" s="2" t="str">
        <f t="shared" ca="1" si="22"/>
        <v>Error?</v>
      </c>
    </row>
    <row r="1481" spans="1:4" x14ac:dyDescent="0.2">
      <c r="A1481" s="5">
        <v>1420</v>
      </c>
      <c r="B1481" s="138">
        <f ca="1">'Expenditures 15-22'!K238</f>
        <v>0</v>
      </c>
      <c r="C1481" s="2" t="s">
        <v>573</v>
      </c>
      <c r="D1481" s="2" t="str">
        <f t="shared" ca="1" si="22"/>
        <v>Error?</v>
      </c>
    </row>
    <row r="1482" spans="1:4" x14ac:dyDescent="0.2">
      <c r="A1482" s="5">
        <v>1421</v>
      </c>
      <c r="B1482" s="138">
        <f ca="1">'Expenditures 15-22'!K240</f>
        <v>0</v>
      </c>
      <c r="C1482" s="2" t="s">
        <v>573</v>
      </c>
      <c r="D1482" s="2" t="str">
        <f t="shared" ca="1" si="22"/>
        <v>Error?</v>
      </c>
    </row>
    <row r="1483" spans="1:4" x14ac:dyDescent="0.2">
      <c r="A1483" s="5">
        <v>1422</v>
      </c>
      <c r="B1483" s="138">
        <f ca="1">'Expenditures 15-22'!K241</f>
        <v>9</v>
      </c>
      <c r="C1483" s="2" t="s">
        <v>573</v>
      </c>
      <c r="D1483" s="2" t="str">
        <f t="shared" ca="1" si="22"/>
        <v>Error?</v>
      </c>
    </row>
    <row r="1484" spans="1:4" x14ac:dyDescent="0.2">
      <c r="A1484" s="5">
        <v>1423</v>
      </c>
      <c r="B1484" s="138">
        <f ca="1">'Expenditures 15-22'!K242</f>
        <v>0</v>
      </c>
      <c r="C1484" s="2" t="s">
        <v>573</v>
      </c>
      <c r="D1484" s="2" t="str">
        <f t="shared" ca="1" si="22"/>
        <v>Error?</v>
      </c>
    </row>
    <row r="1485" spans="1:4" x14ac:dyDescent="0.2">
      <c r="A1485" s="5">
        <v>1424</v>
      </c>
      <c r="B1485" s="138">
        <f ca="1">'Expenditures 15-22'!K243</f>
        <v>9</v>
      </c>
      <c r="C1485" s="2" t="s">
        <v>573</v>
      </c>
      <c r="D1485" s="2" t="str">
        <f t="shared" ca="1" si="22"/>
        <v>Error?</v>
      </c>
    </row>
    <row r="1486" spans="1:4" x14ac:dyDescent="0.2">
      <c r="A1486" s="5">
        <v>1425</v>
      </c>
      <c r="B1486" s="138">
        <f ca="1">'Expenditures 15-22'!K245</f>
        <v>317</v>
      </c>
      <c r="C1486" s="2" t="s">
        <v>573</v>
      </c>
      <c r="D1486" s="2" t="str">
        <f t="shared" ca="1" si="22"/>
        <v>Error?</v>
      </c>
    </row>
    <row r="1487" spans="1:4" x14ac:dyDescent="0.2">
      <c r="A1487" s="5">
        <v>1426</v>
      </c>
      <c r="B1487" s="138">
        <f ca="1">'Expenditures 15-22'!K246</f>
        <v>4791</v>
      </c>
      <c r="C1487" s="2" t="s">
        <v>573</v>
      </c>
      <c r="D1487" s="2" t="str">
        <f t="shared" ca="1" si="22"/>
        <v>Error?</v>
      </c>
    </row>
    <row r="1488" spans="1:4" x14ac:dyDescent="0.2">
      <c r="A1488" s="5">
        <v>1427</v>
      </c>
      <c r="B1488" s="138">
        <f ca="1">'Expenditures 15-22'!K257</f>
        <v>5226</v>
      </c>
      <c r="C1488" s="2" t="s">
        <v>573</v>
      </c>
      <c r="D1488" s="2" t="str">
        <f t="shared" ca="1" si="22"/>
        <v>Error?</v>
      </c>
    </row>
    <row r="1489" spans="1:4" x14ac:dyDescent="0.2">
      <c r="A1489" s="5">
        <v>1428</v>
      </c>
      <c r="B1489" s="138">
        <f ca="1">'Expenditures 15-22'!K259</f>
        <v>798</v>
      </c>
      <c r="C1489" s="2" t="s">
        <v>573</v>
      </c>
      <c r="D1489" s="2" t="str">
        <f t="shared" ca="1" si="22"/>
        <v>Error?</v>
      </c>
    </row>
    <row r="1490" spans="1:4" x14ac:dyDescent="0.2">
      <c r="A1490" s="5">
        <v>1429</v>
      </c>
      <c r="B1490" s="138">
        <f ca="1">'Expenditures 15-22'!K260</f>
        <v>508</v>
      </c>
      <c r="C1490" s="2" t="s">
        <v>573</v>
      </c>
      <c r="D1490" s="2" t="str">
        <f t="shared" ca="1" si="22"/>
        <v>Error?</v>
      </c>
    </row>
    <row r="1491" spans="1:4" x14ac:dyDescent="0.2">
      <c r="A1491" s="5">
        <v>1430</v>
      </c>
      <c r="B1491" s="138">
        <f ca="1">'Expenditures 15-22'!K261</f>
        <v>1306</v>
      </c>
      <c r="C1491" s="2" t="s">
        <v>573</v>
      </c>
      <c r="D1491" s="2" t="str">
        <f t="shared" ca="1" si="22"/>
        <v>Error?</v>
      </c>
    </row>
    <row r="1492" spans="1:4" x14ac:dyDescent="0.2">
      <c r="A1492" s="5">
        <v>1431</v>
      </c>
      <c r="B1492" s="138">
        <f ca="1">'Expenditures 15-22'!K263</f>
        <v>0</v>
      </c>
      <c r="C1492" s="2" t="s">
        <v>573</v>
      </c>
      <c r="D1492" s="2" t="str">
        <f t="shared" ca="1" si="22"/>
        <v>Error?</v>
      </c>
    </row>
    <row r="1493" spans="1:4" x14ac:dyDescent="0.2">
      <c r="A1493" s="5">
        <v>1432</v>
      </c>
      <c r="B1493" s="138">
        <f ca="1">'Expenditures 15-22'!K264</f>
        <v>5221</v>
      </c>
      <c r="C1493" s="2" t="s">
        <v>573</v>
      </c>
      <c r="D1493" s="2" t="str">
        <f t="shared" ca="1" si="22"/>
        <v>Error?</v>
      </c>
    </row>
    <row r="1494" spans="1:4" x14ac:dyDescent="0.2">
      <c r="A1494" s="5">
        <v>1433</v>
      </c>
      <c r="B1494" s="138">
        <f ca="1">'Expenditures 15-22'!K265</f>
        <v>0</v>
      </c>
      <c r="C1494" s="2" t="s">
        <v>573</v>
      </c>
      <c r="D1494" s="2" t="str">
        <f t="shared" ca="1" si="22"/>
        <v>Error?</v>
      </c>
    </row>
    <row r="1495" spans="1:4" x14ac:dyDescent="0.2">
      <c r="A1495" s="5">
        <v>1434</v>
      </c>
      <c r="B1495" s="138">
        <f ca="1">'Expenditures 15-22'!K266</f>
        <v>11191</v>
      </c>
      <c r="C1495" s="2" t="s">
        <v>573</v>
      </c>
      <c r="D1495" s="2" t="str">
        <f t="shared" ca="1" si="22"/>
        <v>Error?</v>
      </c>
    </row>
    <row r="1496" spans="1:4" x14ac:dyDescent="0.2">
      <c r="A1496" s="5">
        <v>1435</v>
      </c>
      <c r="B1496" s="138">
        <f ca="1">'Expenditures 15-22'!K267</f>
        <v>662</v>
      </c>
      <c r="C1496" s="2" t="s">
        <v>573</v>
      </c>
      <c r="D1496" s="2" t="str">
        <f t="shared" ca="1" si="22"/>
        <v>Error?</v>
      </c>
    </row>
    <row r="1497" spans="1:4" x14ac:dyDescent="0.2">
      <c r="A1497" s="5">
        <v>1436</v>
      </c>
      <c r="B1497" s="138">
        <f ca="1">'Expenditures 15-22'!K268</f>
        <v>4486</v>
      </c>
      <c r="C1497" s="2" t="s">
        <v>573</v>
      </c>
      <c r="D1497" s="2" t="str">
        <f t="shared" ca="1" si="22"/>
        <v>Error?</v>
      </c>
    </row>
    <row r="1498" spans="1:4" x14ac:dyDescent="0.2">
      <c r="A1498" s="5">
        <v>1437</v>
      </c>
      <c r="B1498" s="138">
        <f ca="1">'Expenditures 15-22'!K269</f>
        <v>0</v>
      </c>
      <c r="C1498" s="2" t="s">
        <v>573</v>
      </c>
      <c r="D1498" s="2" t="str">
        <f t="shared" ca="1" si="22"/>
        <v>Error?</v>
      </c>
    </row>
    <row r="1499" spans="1:4" x14ac:dyDescent="0.2">
      <c r="A1499" s="10">
        <v>1438</v>
      </c>
      <c r="D1499" s="2" t="str">
        <f t="shared" si="22"/>
        <v>OK</v>
      </c>
    </row>
    <row r="1500" spans="1:4" x14ac:dyDescent="0.2">
      <c r="A1500" s="5">
        <v>1439</v>
      </c>
      <c r="B1500" s="138">
        <f ca="1">'Expenditures 15-22'!K270</f>
        <v>21560</v>
      </c>
      <c r="C1500" s="2" t="s">
        <v>573</v>
      </c>
      <c r="D1500" s="2" t="str">
        <f t="shared" ca="1" si="22"/>
        <v>Error?</v>
      </c>
    </row>
    <row r="1501" spans="1:4" x14ac:dyDescent="0.2">
      <c r="A1501" s="5">
        <v>1440</v>
      </c>
      <c r="B1501" s="138">
        <f ca="1">'Expenditures 15-22'!K272</f>
        <v>0</v>
      </c>
      <c r="C1501" s="2" t="s">
        <v>573</v>
      </c>
      <c r="D1501" s="2" t="str">
        <f t="shared" ca="1" si="22"/>
        <v>Error?</v>
      </c>
    </row>
    <row r="1502" spans="1:4" x14ac:dyDescent="0.2">
      <c r="A1502" s="5">
        <v>1441</v>
      </c>
      <c r="B1502" s="138">
        <f ca="1">'Expenditures 15-22'!K273</f>
        <v>0</v>
      </c>
      <c r="C1502" s="2" t="s">
        <v>573</v>
      </c>
      <c r="D1502" s="2" t="str">
        <f t="shared" ca="1" si="22"/>
        <v>Error?</v>
      </c>
    </row>
    <row r="1503" spans="1:4" x14ac:dyDescent="0.2">
      <c r="A1503" s="5">
        <v>1442</v>
      </c>
      <c r="B1503" s="138">
        <f ca="1">'Expenditures 15-22'!K274</f>
        <v>0</v>
      </c>
      <c r="C1503" s="2" t="s">
        <v>573</v>
      </c>
      <c r="D1503" s="2" t="str">
        <f t="shared" ca="1" si="22"/>
        <v>Error?</v>
      </c>
    </row>
    <row r="1504" spans="1:4" x14ac:dyDescent="0.2">
      <c r="A1504" s="5">
        <v>1443</v>
      </c>
      <c r="B1504" s="138">
        <f ca="1">'Expenditures 15-22'!K275</f>
        <v>0</v>
      </c>
      <c r="C1504" s="2" t="s">
        <v>573</v>
      </c>
      <c r="D1504" s="2" t="str">
        <f t="shared" ca="1" si="22"/>
        <v>Error?</v>
      </c>
    </row>
    <row r="1505" spans="1:4" x14ac:dyDescent="0.2">
      <c r="A1505" s="10">
        <v>1444</v>
      </c>
      <c r="D1505" s="2" t="str">
        <f t="shared" si="22"/>
        <v>OK</v>
      </c>
    </row>
    <row r="1506" spans="1:4" x14ac:dyDescent="0.2">
      <c r="A1506" s="5">
        <v>1445</v>
      </c>
      <c r="B1506" s="138">
        <f ca="1">'Expenditures 15-22'!K276</f>
        <v>0</v>
      </c>
      <c r="C1506" s="2" t="s">
        <v>573</v>
      </c>
      <c r="D1506" s="2" t="str">
        <f t="shared" ca="1" si="22"/>
        <v>Error?</v>
      </c>
    </row>
    <row r="1507" spans="1:4" x14ac:dyDescent="0.2">
      <c r="A1507" s="10">
        <v>1446</v>
      </c>
      <c r="D1507" s="2" t="str">
        <f t="shared" si="22"/>
        <v>OK</v>
      </c>
    </row>
    <row r="1508" spans="1:4" x14ac:dyDescent="0.2">
      <c r="A1508" s="5">
        <v>1447</v>
      </c>
      <c r="B1508" s="138">
        <f ca="1">'Expenditures 15-22'!K277</f>
        <v>0</v>
      </c>
      <c r="C1508" s="2" t="s">
        <v>573</v>
      </c>
      <c r="D1508" s="2" t="str">
        <f t="shared" ca="1" si="22"/>
        <v>Error?</v>
      </c>
    </row>
    <row r="1509" spans="1:4" x14ac:dyDescent="0.2">
      <c r="A1509" s="5">
        <v>1448</v>
      </c>
      <c r="B1509" s="138">
        <f ca="1">'Expenditures 15-22'!K278</f>
        <v>0</v>
      </c>
      <c r="C1509" s="2" t="s">
        <v>573</v>
      </c>
      <c r="D1509" s="2" t="str">
        <f t="shared" ca="1" si="22"/>
        <v>Error?</v>
      </c>
    </row>
    <row r="1510" spans="1:4" x14ac:dyDescent="0.2">
      <c r="A1510" s="5">
        <v>1449</v>
      </c>
      <c r="B1510" s="138">
        <f ca="1">'Expenditures 15-22'!K279</f>
        <v>28101</v>
      </c>
      <c r="C1510" s="2" t="s">
        <v>573</v>
      </c>
      <c r="D1510" s="2" t="str">
        <f t="shared" ca="1" si="22"/>
        <v>Error?</v>
      </c>
    </row>
    <row r="1511" spans="1:4" x14ac:dyDescent="0.2">
      <c r="A1511" s="5">
        <v>1450</v>
      </c>
      <c r="B1511" s="138">
        <f ca="1">'Expenditures 15-22'!K280</f>
        <v>1599</v>
      </c>
      <c r="C1511" s="2" t="s">
        <v>573</v>
      </c>
      <c r="D1511" s="2" t="str">
        <f t="shared" ca="1" si="22"/>
        <v>Error?</v>
      </c>
    </row>
    <row r="1512" spans="1:4" x14ac:dyDescent="0.2">
      <c r="A1512" s="5">
        <v>1451</v>
      </c>
      <c r="B1512" s="138">
        <f ca="1">'Expenditures 15-22'!K288</f>
        <v>0</v>
      </c>
      <c r="C1512" s="2" t="s">
        <v>573</v>
      </c>
      <c r="D1512" s="2" t="str">
        <f t="shared" ca="1" si="22"/>
        <v>Error?</v>
      </c>
    </row>
    <row r="1513" spans="1:4" x14ac:dyDescent="0.2">
      <c r="A1513" s="5">
        <v>1452</v>
      </c>
      <c r="B1513" s="138">
        <f ca="1">'Expenditures 15-22'!K289</f>
        <v>0</v>
      </c>
      <c r="C1513" s="2" t="s">
        <v>573</v>
      </c>
      <c r="D1513" s="2" t="str">
        <f t="shared" ca="1" si="22"/>
        <v>Error?</v>
      </c>
    </row>
    <row r="1514" spans="1:4" x14ac:dyDescent="0.2">
      <c r="A1514" s="5">
        <v>1453</v>
      </c>
      <c r="B1514" s="138">
        <f ca="1">'Expenditures 15-22'!K292</f>
        <v>0</v>
      </c>
      <c r="C1514" s="2" t="s">
        <v>573</v>
      </c>
      <c r="D1514" s="2" t="str">
        <f t="shared" ca="1" si="22"/>
        <v>Error?</v>
      </c>
    </row>
    <row r="1515" spans="1:4" x14ac:dyDescent="0.2">
      <c r="A1515" s="5">
        <v>1454</v>
      </c>
      <c r="B1515" s="138">
        <f ca="1">'Expenditures 15-22'!K293</f>
        <v>0</v>
      </c>
      <c r="C1515" s="2" t="s">
        <v>573</v>
      </c>
      <c r="D1515" s="2" t="str">
        <f t="shared" ca="1" si="22"/>
        <v>Error?</v>
      </c>
    </row>
    <row r="1516" spans="1:4" x14ac:dyDescent="0.2">
      <c r="A1516" s="10">
        <v>1455</v>
      </c>
      <c r="D1516" s="2" t="str">
        <f t="shared" si="22"/>
        <v>OK</v>
      </c>
    </row>
    <row r="1517" spans="1:4" x14ac:dyDescent="0.2">
      <c r="A1517" s="5">
        <v>1456</v>
      </c>
      <c r="B1517" s="138">
        <f ca="1">'Expenditures 15-22'!K295</f>
        <v>55355</v>
      </c>
      <c r="C1517" s="2" t="s">
        <v>573</v>
      </c>
      <c r="D1517" s="2" t="str">
        <f t="shared" ca="1" si="22"/>
        <v>Error?</v>
      </c>
    </row>
    <row r="1518" spans="1:4" x14ac:dyDescent="0.2">
      <c r="A1518" s="5">
        <v>1457</v>
      </c>
      <c r="B1518" s="138">
        <f ca="1">'Expenditures 15-22'!K296</f>
        <v>-37571</v>
      </c>
      <c r="C1518" s="2" t="s">
        <v>573</v>
      </c>
      <c r="D1518" s="2" t="str">
        <f t="shared" ca="1" si="22"/>
        <v>Error?</v>
      </c>
    </row>
    <row r="1519" spans="1:4" x14ac:dyDescent="0.2">
      <c r="A1519" s="5">
        <v>1458</v>
      </c>
      <c r="B1519" s="138">
        <f ca="1">'Expenditures 15-22'!C301</f>
        <v>0</v>
      </c>
      <c r="D1519" s="2" t="str">
        <f t="shared" ca="1"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 ca="1">'Expenditures 15-22'!C302</f>
        <v>0</v>
      </c>
      <c r="D1522" s="2" t="str">
        <f t="shared" ca="1" si="22"/>
        <v>Error?</v>
      </c>
    </row>
    <row r="1523" spans="1:4" x14ac:dyDescent="0.2">
      <c r="A1523" s="5">
        <v>1462</v>
      </c>
      <c r="B1523" s="138">
        <f ca="1">'Expenditures 15-22'!C303</f>
        <v>0</v>
      </c>
      <c r="C1523" s="2" t="s">
        <v>573</v>
      </c>
      <c r="D1523" s="2" t="str">
        <f t="shared" ca="1" si="22"/>
        <v>Error?</v>
      </c>
    </row>
    <row r="1524" spans="1:4" x14ac:dyDescent="0.2">
      <c r="A1524" s="5">
        <v>1463</v>
      </c>
      <c r="B1524" s="138">
        <f ca="1">'Expenditures 15-22'!C312</f>
        <v>0</v>
      </c>
      <c r="C1524" s="2" t="s">
        <v>573</v>
      </c>
      <c r="D1524" s="2" t="str">
        <f t="shared" ca="1" si="22"/>
        <v>Error?</v>
      </c>
    </row>
    <row r="1525" spans="1:4" x14ac:dyDescent="0.2">
      <c r="A1525" s="5">
        <v>1464</v>
      </c>
      <c r="B1525" s="138">
        <f ca="1">'Expenditures 15-22'!D301</f>
        <v>0</v>
      </c>
      <c r="D1525" s="2" t="str">
        <f t="shared" ca="1"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 ca="1">'Expenditures 15-22'!D302</f>
        <v>0</v>
      </c>
      <c r="D1528" s="2" t="str">
        <f t="shared" ca="1" si="22"/>
        <v>Error?</v>
      </c>
    </row>
    <row r="1529" spans="1:4" x14ac:dyDescent="0.2">
      <c r="A1529" s="5">
        <v>1468</v>
      </c>
      <c r="B1529" s="138">
        <f ca="1">'Expenditures 15-22'!D303</f>
        <v>0</v>
      </c>
      <c r="C1529" s="2" t="s">
        <v>573</v>
      </c>
      <c r="D1529" s="2" t="str">
        <f t="shared" ca="1" si="22"/>
        <v>Error?</v>
      </c>
    </row>
    <row r="1530" spans="1:4" x14ac:dyDescent="0.2">
      <c r="A1530" s="5">
        <v>1469</v>
      </c>
      <c r="B1530" s="138">
        <f ca="1">'Expenditures 15-22'!D312</f>
        <v>0</v>
      </c>
      <c r="C1530" s="2" t="s">
        <v>573</v>
      </c>
      <c r="D1530" s="2" t="str">
        <f t="shared" ca="1" si="22"/>
        <v>Error?</v>
      </c>
    </row>
    <row r="1531" spans="1:4" x14ac:dyDescent="0.2">
      <c r="A1531" s="5">
        <v>1470</v>
      </c>
      <c r="B1531" s="138">
        <f ca="1">'Expenditures 15-22'!E301</f>
        <v>3753</v>
      </c>
      <c r="D1531" s="2" t="str">
        <f t="shared" ca="1"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 ca="1">'Expenditures 15-22'!E302</f>
        <v>0</v>
      </c>
      <c r="D1534" s="2" t="str">
        <f t="shared" ca="1" si="22"/>
        <v>Error?</v>
      </c>
    </row>
    <row r="1535" spans="1:4" x14ac:dyDescent="0.2">
      <c r="A1535" s="5">
        <v>1474</v>
      </c>
      <c r="B1535" s="138">
        <f ca="1">'Expenditures 15-22'!E303</f>
        <v>3753</v>
      </c>
      <c r="C1535" s="2" t="s">
        <v>573</v>
      </c>
      <c r="D1535" s="2" t="str">
        <f t="shared" ref="D1535:D1598" ca="1" si="23">IF(ISBLANK(B1535),"OK",IF(A1535-B1535=0,"OK","Error?"))</f>
        <v>Error?</v>
      </c>
    </row>
    <row r="1536" spans="1:4" x14ac:dyDescent="0.2">
      <c r="A1536" s="5">
        <v>1475</v>
      </c>
      <c r="B1536" s="138">
        <f ca="1">'Expenditures 15-22'!E312</f>
        <v>3753</v>
      </c>
      <c r="C1536" s="2" t="s">
        <v>573</v>
      </c>
      <c r="D1536" s="2" t="str">
        <f t="shared" ca="1" si="23"/>
        <v>Error?</v>
      </c>
    </row>
    <row r="1537" spans="1:4" x14ac:dyDescent="0.2">
      <c r="A1537" s="5">
        <v>1476</v>
      </c>
      <c r="B1537" s="138">
        <f ca="1">'Expenditures 15-22'!F301</f>
        <v>0</v>
      </c>
      <c r="D1537" s="2" t="str">
        <f t="shared" ca="1"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 ca="1">'Expenditures 15-22'!F302</f>
        <v>0</v>
      </c>
      <c r="D1540" s="2" t="str">
        <f t="shared" ca="1" si="23"/>
        <v>Error?</v>
      </c>
    </row>
    <row r="1541" spans="1:4" x14ac:dyDescent="0.2">
      <c r="A1541" s="5">
        <v>1480</v>
      </c>
      <c r="B1541" s="138">
        <f ca="1">'Expenditures 15-22'!F303</f>
        <v>0</v>
      </c>
      <c r="C1541" s="2" t="s">
        <v>573</v>
      </c>
      <c r="D1541" s="2" t="str">
        <f t="shared" ca="1" si="23"/>
        <v>Error?</v>
      </c>
    </row>
    <row r="1542" spans="1:4" x14ac:dyDescent="0.2">
      <c r="A1542" s="5">
        <v>1481</v>
      </c>
      <c r="B1542" s="138">
        <f ca="1">'Expenditures 15-22'!F312</f>
        <v>0</v>
      </c>
      <c r="C1542" s="2" t="s">
        <v>573</v>
      </c>
      <c r="D1542" s="2" t="str">
        <f t="shared" ca="1" si="23"/>
        <v>Error?</v>
      </c>
    </row>
    <row r="1543" spans="1:4" x14ac:dyDescent="0.2">
      <c r="A1543" s="5">
        <v>1482</v>
      </c>
      <c r="B1543" s="138">
        <f ca="1">'Expenditures 15-22'!G301</f>
        <v>42396</v>
      </c>
      <c r="D1543" s="2" t="str">
        <f t="shared" ca="1"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 ca="1">'Expenditures 15-22'!G302</f>
        <v>0</v>
      </c>
      <c r="D1546" s="2" t="str">
        <f t="shared" ca="1" si="23"/>
        <v>Error?</v>
      </c>
    </row>
    <row r="1547" spans="1:4" x14ac:dyDescent="0.2">
      <c r="A1547" s="5">
        <v>1486</v>
      </c>
      <c r="B1547" s="138">
        <f ca="1">'Expenditures 15-22'!G303</f>
        <v>42396</v>
      </c>
      <c r="C1547" s="2" t="s">
        <v>573</v>
      </c>
      <c r="D1547" s="2" t="str">
        <f t="shared" ca="1" si="23"/>
        <v>Error?</v>
      </c>
    </row>
    <row r="1548" spans="1:4" x14ac:dyDescent="0.2">
      <c r="A1548" s="5">
        <v>1487</v>
      </c>
      <c r="B1548" s="138">
        <f ca="1">'Expenditures 15-22'!G312</f>
        <v>42396</v>
      </c>
      <c r="C1548" s="2" t="s">
        <v>573</v>
      </c>
      <c r="D1548" s="2" t="str">
        <f t="shared" ca="1" si="23"/>
        <v>Error?</v>
      </c>
    </row>
    <row r="1549" spans="1:4" x14ac:dyDescent="0.2">
      <c r="A1549" s="5">
        <v>1488</v>
      </c>
      <c r="B1549" s="138">
        <f ca="1">'Expenditures 15-22'!H301</f>
        <v>0</v>
      </c>
      <c r="D1549" s="2" t="str">
        <f t="shared" ca="1"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 ca="1">'Expenditures 15-22'!H302</f>
        <v>0</v>
      </c>
      <c r="D1552" s="2" t="str">
        <f t="shared" ca="1" si="23"/>
        <v>Error?</v>
      </c>
    </row>
    <row r="1553" spans="1:4" x14ac:dyDescent="0.2">
      <c r="A1553" s="5">
        <v>1492</v>
      </c>
      <c r="B1553" s="138">
        <f ca="1">'Expenditures 15-22'!H303</f>
        <v>0</v>
      </c>
      <c r="C1553" s="2" t="s">
        <v>573</v>
      </c>
      <c r="D1553" s="2" t="str">
        <f t="shared" ca="1" si="23"/>
        <v>Error?</v>
      </c>
    </row>
    <row r="1554" spans="1:4" x14ac:dyDescent="0.2">
      <c r="A1554" s="5">
        <v>1493</v>
      </c>
      <c r="B1554" s="138">
        <f ca="1">'Expenditures 15-22'!H312</f>
        <v>0</v>
      </c>
      <c r="C1554" s="2" t="s">
        <v>573</v>
      </c>
      <c r="D1554" s="2" t="str">
        <f t="shared" ca="1" si="23"/>
        <v>Error?</v>
      </c>
    </row>
    <row r="1555" spans="1:4" x14ac:dyDescent="0.2">
      <c r="A1555" s="5">
        <v>1494</v>
      </c>
      <c r="B1555" s="138">
        <f ca="1">'Expenditures 15-22'!K301</f>
        <v>46149</v>
      </c>
      <c r="C1555" s="2" t="s">
        <v>573</v>
      </c>
      <c r="D1555" s="2" t="str">
        <f t="shared" ca="1"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 ca="1">'Expenditures 15-22'!K302</f>
        <v>0</v>
      </c>
      <c r="C1558" s="2" t="s">
        <v>573</v>
      </c>
      <c r="D1558" s="2" t="str">
        <f t="shared" ca="1" si="23"/>
        <v>Error?</v>
      </c>
    </row>
    <row r="1559" spans="1:4" x14ac:dyDescent="0.2">
      <c r="A1559" s="5">
        <v>1498</v>
      </c>
      <c r="B1559" s="138">
        <f ca="1">'Expenditures 15-22'!K303</f>
        <v>46149</v>
      </c>
      <c r="C1559" s="2" t="s">
        <v>573</v>
      </c>
      <c r="D1559" s="2" t="str">
        <f t="shared" ca="1" si="23"/>
        <v>Error?</v>
      </c>
    </row>
    <row r="1560" spans="1:4" x14ac:dyDescent="0.2">
      <c r="A1560" s="5">
        <v>1499</v>
      </c>
      <c r="B1560" s="138">
        <f ca="1">'Expenditures 15-22'!K312</f>
        <v>46149</v>
      </c>
      <c r="C1560" s="2" t="s">
        <v>573</v>
      </c>
      <c r="D1560" s="2" t="str">
        <f t="shared" ca="1" si="23"/>
        <v>Error?</v>
      </c>
    </row>
    <row r="1561" spans="1:4" x14ac:dyDescent="0.2">
      <c r="A1561" s="5">
        <v>1500</v>
      </c>
      <c r="B1561" s="138">
        <f ca="1">'Expenditures 15-22'!K313</f>
        <v>7815</v>
      </c>
      <c r="C1561" s="2" t="s">
        <v>573</v>
      </c>
      <c r="D1561" s="2" t="str">
        <f t="shared" ca="1"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2319982</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 ca="1">'Acct Summary 7-8'!C81</f>
        <v>2232240</v>
      </c>
      <c r="C1630" s="2" t="s">
        <v>573</v>
      </c>
      <c r="D1630" s="2" t="str">
        <f t="shared" ca="1" si="24"/>
        <v>Error?</v>
      </c>
    </row>
    <row r="1631" spans="1:4" x14ac:dyDescent="0.2">
      <c r="A1631" s="5">
        <v>1570</v>
      </c>
      <c r="B1631" s="138">
        <f>'Acct Summary 7-8'!D79</f>
        <v>604247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 ca="1">'Acct Summary 7-8'!D81</f>
        <v>611534</v>
      </c>
      <c r="C1644" s="2" t="s">
        <v>573</v>
      </c>
      <c r="D1644" s="2" t="str">
        <f t="shared" ca="1"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 ca="1">'Acct Summary 7-8'!E81</f>
        <v>0</v>
      </c>
      <c r="C1658" s="2" t="s">
        <v>573</v>
      </c>
      <c r="D1658" s="2" t="str">
        <f t="shared" ca="1" si="24"/>
        <v>Error?</v>
      </c>
    </row>
    <row r="1659" spans="1:4" x14ac:dyDescent="0.2">
      <c r="A1659" s="5">
        <v>1598</v>
      </c>
      <c r="B1659" s="138">
        <f>'Acct Summary 7-8'!F79</f>
        <v>506934</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 ca="1">'Acct Summary 7-8'!F81</f>
        <v>586911</v>
      </c>
      <c r="C1672" s="2" t="s">
        <v>573</v>
      </c>
      <c r="D1672" s="2" t="str">
        <f t="shared" ca="1" si="25"/>
        <v>Error?</v>
      </c>
    </row>
    <row r="1673" spans="1:4" x14ac:dyDescent="0.2">
      <c r="A1673" s="5">
        <v>1612</v>
      </c>
      <c r="B1673" s="138">
        <f>'Acct Summary 7-8'!G79</f>
        <v>102548</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 ca="1">'Acct Summary 7-8'!G81</f>
        <v>64977</v>
      </c>
      <c r="C1686" s="2" t="s">
        <v>573</v>
      </c>
      <c r="D1686" s="2" t="str">
        <f t="shared" ca="1" si="25"/>
        <v>Error?</v>
      </c>
    </row>
    <row r="1687" spans="1:4" x14ac:dyDescent="0.2">
      <c r="A1687" s="5">
        <v>1626</v>
      </c>
      <c r="B1687" s="138">
        <f>'Acct Summary 7-8'!H79</f>
        <v>140640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 ca="1">'Acct Summary 7-8'!H81</f>
        <v>148455</v>
      </c>
      <c r="C1700" s="2" t="s">
        <v>573</v>
      </c>
      <c r="D1700" s="2" t="str">
        <f t="shared" ca="1"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 ca="1">'Tax Sched 23'!B4</f>
        <v>792409</v>
      </c>
      <c r="C1744" s="2" t="s">
        <v>573</v>
      </c>
      <c r="D1744" s="2" t="str">
        <f t="shared" ca="1" si="26"/>
        <v>Error?</v>
      </c>
    </row>
    <row r="1745" spans="1:5" x14ac:dyDescent="0.2">
      <c r="A1745" s="5">
        <v>1684</v>
      </c>
      <c r="B1745" s="138">
        <f ca="1">'Tax Sched 23'!B5</f>
        <v>101034</v>
      </c>
      <c r="C1745" s="2" t="s">
        <v>573</v>
      </c>
      <c r="D1745" s="2" t="str">
        <f t="shared" ca="1" si="26"/>
        <v>Error?</v>
      </c>
    </row>
    <row r="1746" spans="1:5" x14ac:dyDescent="0.2">
      <c r="A1746" s="5">
        <v>1685</v>
      </c>
      <c r="B1746" s="138">
        <f ca="1">'Tax Sched 23'!B6</f>
        <v>0</v>
      </c>
      <c r="C1746" s="2" t="s">
        <v>573</v>
      </c>
      <c r="D1746" s="2" t="str">
        <f t="shared" ca="1" si="26"/>
        <v>Error?</v>
      </c>
    </row>
    <row r="1747" spans="1:5" x14ac:dyDescent="0.2">
      <c r="A1747" s="5">
        <v>1686</v>
      </c>
      <c r="B1747" s="138">
        <f ca="1">'Tax Sched 23'!B7</f>
        <v>14364</v>
      </c>
      <c r="C1747" s="2" t="s">
        <v>573</v>
      </c>
      <c r="D1747" s="2" t="str">
        <f t="shared" ca="1" si="26"/>
        <v>Error?</v>
      </c>
    </row>
    <row r="1748" spans="1:5" x14ac:dyDescent="0.2">
      <c r="A1748" s="5">
        <v>1687</v>
      </c>
      <c r="B1748" s="138">
        <f ca="1">'Tax Sched 23'!B8</f>
        <v>4457</v>
      </c>
      <c r="C1748" s="2" t="s">
        <v>573</v>
      </c>
      <c r="D1748" s="2" t="str">
        <f t="shared" ca="1" si="26"/>
        <v>Error?</v>
      </c>
    </row>
    <row r="1749" spans="1:5" x14ac:dyDescent="0.2">
      <c r="A1749" s="5">
        <v>1688</v>
      </c>
      <c r="B1749" s="138">
        <f ca="1">'Tax Sched 23'!B10</f>
        <v>11244</v>
      </c>
      <c r="C1749" s="2" t="s">
        <v>573</v>
      </c>
      <c r="D1749" s="2" t="str">
        <f t="shared" ca="1" si="26"/>
        <v>Error?</v>
      </c>
    </row>
    <row r="1750" spans="1:5" x14ac:dyDescent="0.2">
      <c r="A1750" s="10">
        <v>1689</v>
      </c>
      <c r="D1750" s="2" t="str">
        <f t="shared" si="26"/>
        <v>OK</v>
      </c>
      <c r="E1750" s="2" t="s">
        <v>187</v>
      </c>
    </row>
    <row r="1751" spans="1:5" x14ac:dyDescent="0.2">
      <c r="A1751" s="5">
        <v>1690</v>
      </c>
      <c r="B1751" s="138">
        <f ca="1">'Tax Sched 23'!B9</f>
        <v>0</v>
      </c>
      <c r="C1751" s="2" t="s">
        <v>573</v>
      </c>
      <c r="D1751" s="2" t="str">
        <f t="shared" ca="1" si="26"/>
        <v>Error?</v>
      </c>
    </row>
    <row r="1752" spans="1:5" x14ac:dyDescent="0.2">
      <c r="A1752" s="5">
        <v>1691</v>
      </c>
      <c r="B1752" s="138">
        <f ca="1">'Tax Sched 23'!B11</f>
        <v>10896</v>
      </c>
      <c r="C1752" s="2" t="s">
        <v>573</v>
      </c>
      <c r="D1752" s="2" t="str">
        <f t="shared" ca="1" si="26"/>
        <v>Error?</v>
      </c>
    </row>
    <row r="1753" spans="1:5" x14ac:dyDescent="0.2">
      <c r="A1753" s="5">
        <v>1692</v>
      </c>
      <c r="B1753" s="138">
        <f ca="1">'Tax Sched 23'!B12</f>
        <v>0</v>
      </c>
      <c r="C1753" s="2" t="s">
        <v>573</v>
      </c>
      <c r="D1753" s="2" t="str">
        <f t="shared" ca="1" si="26"/>
        <v>Error?</v>
      </c>
    </row>
    <row r="1754" spans="1:5" x14ac:dyDescent="0.2">
      <c r="A1754" s="5">
        <v>1693</v>
      </c>
      <c r="B1754" s="138">
        <f ca="1">'Tax Sched 23'!B14</f>
        <v>29720</v>
      </c>
      <c r="C1754" s="2" t="s">
        <v>573</v>
      </c>
      <c r="D1754" s="2" t="str">
        <f t="shared" ca="1" si="26"/>
        <v>Error?</v>
      </c>
    </row>
    <row r="1755" spans="1:5" x14ac:dyDescent="0.2">
      <c r="A1755" s="10">
        <v>1694</v>
      </c>
      <c r="D1755" s="2" t="str">
        <f t="shared" si="26"/>
        <v>OK</v>
      </c>
    </row>
    <row r="1756" spans="1:5" x14ac:dyDescent="0.2">
      <c r="A1756" s="5">
        <v>1695</v>
      </c>
      <c r="B1756" s="138">
        <f ca="1">'Tax Sched 23'!B15</f>
        <v>0</v>
      </c>
      <c r="C1756" s="2" t="s">
        <v>573</v>
      </c>
      <c r="D1756" s="2" t="str">
        <f t="shared" ca="1"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 ca="1">'Tax Sched 23'!B19</f>
        <v>969080</v>
      </c>
      <c r="C1759" s="2" t="s">
        <v>573</v>
      </c>
      <c r="D1759" s="2" t="str">
        <f t="shared" ca="1" si="26"/>
        <v>Error?</v>
      </c>
    </row>
    <row r="1760" spans="1:5" x14ac:dyDescent="0.2">
      <c r="A1760" s="5">
        <v>1699</v>
      </c>
      <c r="B1760" s="138">
        <f ca="1">'Tax Sched 23'!D4</f>
        <v>792409</v>
      </c>
      <c r="C1760" s="2" t="s">
        <v>573</v>
      </c>
      <c r="D1760" s="2" t="str">
        <f t="shared" ca="1" si="26"/>
        <v>Error?</v>
      </c>
    </row>
    <row r="1761" spans="1:5" x14ac:dyDescent="0.2">
      <c r="A1761" s="5">
        <v>1700</v>
      </c>
      <c r="B1761" s="138">
        <f ca="1">'Tax Sched 23'!D5</f>
        <v>101034</v>
      </c>
      <c r="C1761" s="2" t="s">
        <v>573</v>
      </c>
      <c r="D1761" s="2" t="str">
        <f t="shared" ca="1" si="26"/>
        <v>Error?</v>
      </c>
    </row>
    <row r="1762" spans="1:5" s="8" customFormat="1" x14ac:dyDescent="0.2">
      <c r="A1762" s="5">
        <v>1701</v>
      </c>
      <c r="B1762" s="138">
        <f ca="1">'Tax Sched 23'!D6</f>
        <v>0</v>
      </c>
      <c r="C1762" s="2" t="s">
        <v>573</v>
      </c>
      <c r="D1762" s="2" t="str">
        <f t="shared" ca="1" si="26"/>
        <v>Error?</v>
      </c>
      <c r="E1762" s="9"/>
    </row>
    <row r="1763" spans="1:5" x14ac:dyDescent="0.2">
      <c r="A1763" s="5">
        <v>1702</v>
      </c>
      <c r="B1763" s="138">
        <f ca="1">'Tax Sched 23'!D7</f>
        <v>14364</v>
      </c>
      <c r="C1763" s="2" t="s">
        <v>573</v>
      </c>
      <c r="D1763" s="2" t="str">
        <f t="shared" ca="1" si="26"/>
        <v>Error?</v>
      </c>
    </row>
    <row r="1764" spans="1:5" x14ac:dyDescent="0.2">
      <c r="A1764" s="5">
        <v>1703</v>
      </c>
      <c r="B1764" s="138">
        <f ca="1">'Tax Sched 23'!D8</f>
        <v>4457</v>
      </c>
      <c r="C1764" s="2" t="s">
        <v>573</v>
      </c>
      <c r="D1764" s="2" t="str">
        <f t="shared" ca="1" si="26"/>
        <v>Error?</v>
      </c>
    </row>
    <row r="1765" spans="1:5" x14ac:dyDescent="0.2">
      <c r="A1765" s="5">
        <v>1704</v>
      </c>
      <c r="B1765" s="138">
        <f ca="1">'Tax Sched 23'!D10</f>
        <v>11244</v>
      </c>
      <c r="C1765" s="2" t="s">
        <v>573</v>
      </c>
      <c r="D1765" s="2" t="str">
        <f t="shared" ca="1" si="26"/>
        <v>Error?</v>
      </c>
    </row>
    <row r="1766" spans="1:5" x14ac:dyDescent="0.2">
      <c r="A1766" s="10">
        <v>1705</v>
      </c>
      <c r="C1766" s="2" t="s">
        <v>573</v>
      </c>
      <c r="D1766" s="2" t="str">
        <f t="shared" si="26"/>
        <v>OK</v>
      </c>
    </row>
    <row r="1767" spans="1:5" x14ac:dyDescent="0.2">
      <c r="A1767" s="5">
        <v>1706</v>
      </c>
      <c r="B1767" s="138">
        <f ca="1">'Tax Sched 23'!D9</f>
        <v>0</v>
      </c>
      <c r="C1767" s="2" t="s">
        <v>573</v>
      </c>
      <c r="D1767" s="2" t="str">
        <f t="shared" ca="1" si="26"/>
        <v>Error?</v>
      </c>
    </row>
    <row r="1768" spans="1:5" x14ac:dyDescent="0.2">
      <c r="A1768" s="5">
        <v>1707</v>
      </c>
      <c r="B1768" s="138">
        <f ca="1">'Tax Sched 23'!D11</f>
        <v>10896</v>
      </c>
      <c r="C1768" s="2" t="s">
        <v>573</v>
      </c>
      <c r="D1768" s="2" t="str">
        <f t="shared" ca="1" si="26"/>
        <v>Error?</v>
      </c>
    </row>
    <row r="1769" spans="1:5" x14ac:dyDescent="0.2">
      <c r="A1769" s="5">
        <v>1708</v>
      </c>
      <c r="B1769" s="138">
        <f ca="1">'Tax Sched 23'!D12</f>
        <v>0</v>
      </c>
      <c r="C1769" s="2" t="s">
        <v>573</v>
      </c>
      <c r="D1769" s="2" t="str">
        <f t="shared" ca="1" si="26"/>
        <v>Error?</v>
      </c>
    </row>
    <row r="1770" spans="1:5" x14ac:dyDescent="0.2">
      <c r="A1770" s="5">
        <v>1709</v>
      </c>
      <c r="B1770" s="138">
        <f ca="1">'Tax Sched 23'!D14</f>
        <v>29720</v>
      </c>
      <c r="C1770" s="2" t="s">
        <v>573</v>
      </c>
      <c r="D1770" s="2" t="str">
        <f t="shared" ca="1" si="26"/>
        <v>Error?</v>
      </c>
    </row>
    <row r="1771" spans="1:5" x14ac:dyDescent="0.2">
      <c r="A1771" s="10">
        <v>1710</v>
      </c>
      <c r="D1771" s="2" t="str">
        <f t="shared" si="26"/>
        <v>OK</v>
      </c>
    </row>
    <row r="1772" spans="1:5" x14ac:dyDescent="0.2">
      <c r="A1772" s="5">
        <v>1711</v>
      </c>
      <c r="B1772" s="138">
        <f ca="1">'Tax Sched 23'!D15</f>
        <v>0</v>
      </c>
      <c r="C1772" s="2" t="s">
        <v>573</v>
      </c>
      <c r="D1772" s="2" t="str">
        <f t="shared" ca="1"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 ca="1">'Tax Sched 23'!D19</f>
        <v>969080</v>
      </c>
      <c r="C1775" s="2" t="s">
        <v>573</v>
      </c>
      <c r="D1775" s="2" t="str">
        <f t="shared" ca="1"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819851</v>
      </c>
      <c r="C1792" s="2" t="s">
        <v>573</v>
      </c>
      <c r="D1792" s="2" t="str">
        <f t="shared" si="27"/>
        <v>Error?</v>
      </c>
    </row>
    <row r="1793" spans="1:4" x14ac:dyDescent="0.2">
      <c r="A1793" s="5">
        <v>1732</v>
      </c>
      <c r="B1793" s="138">
        <f>'Tax Sched 23'!F5</f>
        <v>104953</v>
      </c>
      <c r="C1793" s="2" t="s">
        <v>573</v>
      </c>
      <c r="D1793" s="2" t="str">
        <f t="shared" si="27"/>
        <v>Error?</v>
      </c>
    </row>
    <row r="1794" spans="1:4" x14ac:dyDescent="0.2">
      <c r="A1794" s="5">
        <v>1733</v>
      </c>
      <c r="B1794" s="138">
        <f>'Tax Sched 23'!F6</f>
        <v>0</v>
      </c>
      <c r="C1794" s="2" t="s">
        <v>573</v>
      </c>
      <c r="D1794" s="2" t="str">
        <f t="shared" si="27"/>
        <v>Error?</v>
      </c>
    </row>
    <row r="1795" spans="1:4" x14ac:dyDescent="0.2">
      <c r="A1795" s="5">
        <v>1734</v>
      </c>
      <c r="B1795" s="138">
        <f>'Tax Sched 23'!F7</f>
        <v>19993</v>
      </c>
      <c r="C1795" s="2" t="s">
        <v>573</v>
      </c>
      <c r="D1795" s="2" t="str">
        <f t="shared" si="27"/>
        <v>Error?</v>
      </c>
    </row>
    <row r="1796" spans="1:4" x14ac:dyDescent="0.2">
      <c r="A1796" s="5">
        <v>1735</v>
      </c>
      <c r="B1796" s="138">
        <f>'Tax Sched 23'!F8</f>
        <v>6998</v>
      </c>
      <c r="C1796" s="2" t="s">
        <v>573</v>
      </c>
      <c r="D1796" s="2" t="str">
        <f t="shared" si="27"/>
        <v>Error?</v>
      </c>
    </row>
    <row r="1797" spans="1:4" x14ac:dyDescent="0.2">
      <c r="A1797" s="5">
        <v>1736</v>
      </c>
      <c r="B1797" s="138">
        <f>'Tax Sched 23'!F10</f>
        <v>13134</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13996</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31987</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1017910</v>
      </c>
      <c r="C1807" s="2" t="s">
        <v>573</v>
      </c>
      <c r="D1807" s="2" t="str">
        <f t="shared" si="27"/>
        <v>Error?</v>
      </c>
    </row>
    <row r="1808" spans="1:4" x14ac:dyDescent="0.2">
      <c r="A1808" s="5">
        <v>1747</v>
      </c>
      <c r="B1808" s="138">
        <f>'Tax Sched 23'!E4</f>
        <v>819851</v>
      </c>
      <c r="D1808" s="2" t="str">
        <f t="shared" si="27"/>
        <v>Error?</v>
      </c>
    </row>
    <row r="1809" spans="1:4" x14ac:dyDescent="0.2">
      <c r="A1809" s="5">
        <v>1748</v>
      </c>
      <c r="B1809" s="138">
        <f>'Tax Sched 23'!E5</f>
        <v>104953</v>
      </c>
      <c r="D1809" s="2" t="str">
        <f t="shared" si="27"/>
        <v>Error?</v>
      </c>
    </row>
    <row r="1810" spans="1:4" x14ac:dyDescent="0.2">
      <c r="A1810" s="5">
        <v>1749</v>
      </c>
      <c r="B1810" s="138">
        <f>'Tax Sched 23'!E6</f>
        <v>0</v>
      </c>
      <c r="D1810" s="2" t="str">
        <f t="shared" si="27"/>
        <v>Error?</v>
      </c>
    </row>
    <row r="1811" spans="1:4" x14ac:dyDescent="0.2">
      <c r="A1811" s="5">
        <v>1750</v>
      </c>
      <c r="B1811" s="138">
        <f>'Tax Sched 23'!E7</f>
        <v>19993</v>
      </c>
      <c r="D1811" s="2" t="str">
        <f t="shared" si="27"/>
        <v>Error?</v>
      </c>
    </row>
    <row r="1812" spans="1:4" x14ac:dyDescent="0.2">
      <c r="A1812" s="5">
        <v>1751</v>
      </c>
      <c r="B1812" s="138">
        <f>'Tax Sched 23'!E8</f>
        <v>6998</v>
      </c>
      <c r="D1812" s="2" t="str">
        <f t="shared" si="27"/>
        <v>Error?</v>
      </c>
    </row>
    <row r="1813" spans="1:4" x14ac:dyDescent="0.2">
      <c r="A1813" s="5">
        <v>1752</v>
      </c>
      <c r="B1813" s="138">
        <f>'Tax Sched 23'!E10</f>
        <v>13134</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13996</v>
      </c>
      <c r="D1816" s="2" t="str">
        <f t="shared" si="27"/>
        <v>Error?</v>
      </c>
    </row>
    <row r="1817" spans="1:4" x14ac:dyDescent="0.2">
      <c r="A1817" s="5">
        <v>1756</v>
      </c>
      <c r="B1817" s="138">
        <f>'Tax Sched 23'!E12</f>
        <v>0</v>
      </c>
      <c r="D1817" s="2" t="str">
        <f t="shared" si="27"/>
        <v>Error?</v>
      </c>
    </row>
    <row r="1818" spans="1:4" x14ac:dyDescent="0.2">
      <c r="A1818" s="5">
        <v>1757</v>
      </c>
      <c r="B1818" s="138">
        <f>'Tax Sched 23'!E14</f>
        <v>31987</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1017910</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 ca="1">'Rest Tax Levies-Tort Im 25'!H5</f>
        <v>29720</v>
      </c>
      <c r="D1972" s="2" t="str">
        <f t="shared" ca="1"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 ca="1">'Rest Tax Levies-Tort Im 25'!H12</f>
        <v>29720</v>
      </c>
      <c r="C1977" s="2" t="s">
        <v>573</v>
      </c>
      <c r="D1977" s="2" t="str">
        <f t="shared" ca="1"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 ca="1">'Rest Tax Levies-Tort Im 25'!H23</f>
        <v>29720</v>
      </c>
      <c r="C1982" s="2" t="s">
        <v>573</v>
      </c>
      <c r="D1982" s="2" t="str">
        <f t="shared" ca="1" si="29"/>
        <v>Error?</v>
      </c>
    </row>
    <row r="1983" spans="1:5" x14ac:dyDescent="0.2">
      <c r="A1983" s="5">
        <v>1922</v>
      </c>
      <c r="B1983" s="138">
        <f ca="1">'Rest Tax Levies-Tort Im 25'!H24</f>
        <v>0</v>
      </c>
      <c r="C1983" s="2" t="s">
        <v>573</v>
      </c>
      <c r="D1983" s="2" t="str">
        <f t="shared" ref="D1983:D2046" ca="1"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166496</v>
      </c>
      <c r="D2008" s="2" t="str">
        <f t="shared" si="30"/>
        <v>Error?</v>
      </c>
    </row>
    <row r="2009" spans="1:4" x14ac:dyDescent="0.2">
      <c r="A2009" s="5">
        <v>1948</v>
      </c>
      <c r="B2009" s="138">
        <f>'Cap Outlay Deprec 26'!C8</f>
        <v>3127323</v>
      </c>
      <c r="D2009" s="2" t="str">
        <f t="shared" si="30"/>
        <v>Error?</v>
      </c>
    </row>
    <row r="2010" spans="1:4" x14ac:dyDescent="0.2">
      <c r="A2010" s="5">
        <v>1949</v>
      </c>
      <c r="B2010" s="138">
        <f>'Cap Outlay Deprec 26'!C10</f>
        <v>74490</v>
      </c>
      <c r="D2010" s="2" t="str">
        <f t="shared" si="30"/>
        <v>Error?</v>
      </c>
    </row>
    <row r="2011" spans="1:4" x14ac:dyDescent="0.2">
      <c r="A2011" s="5">
        <v>1950</v>
      </c>
      <c r="B2011" s="138">
        <f>'Cap Outlay Deprec 26'!C12</f>
        <v>264610</v>
      </c>
      <c r="D2011" s="2" t="str">
        <f t="shared" si="30"/>
        <v>Error?</v>
      </c>
    </row>
    <row r="2012" spans="1:4" x14ac:dyDescent="0.2">
      <c r="A2012" s="5">
        <v>1951</v>
      </c>
      <c r="B2012" s="138">
        <f>'Cap Outlay Deprec 26'!C13</f>
        <v>19630</v>
      </c>
      <c r="D2012" s="2" t="str">
        <f t="shared" si="30"/>
        <v>Error?</v>
      </c>
    </row>
    <row r="2013" spans="1:4" x14ac:dyDescent="0.2">
      <c r="A2013" s="5">
        <v>1952</v>
      </c>
      <c r="B2013" s="138">
        <f>'Cap Outlay Deprec 26'!C16</f>
        <v>3652549</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18147</v>
      </c>
      <c r="D2015" s="2" t="str">
        <f t="shared" si="30"/>
        <v>Error?</v>
      </c>
    </row>
    <row r="2016" spans="1:4" x14ac:dyDescent="0.2">
      <c r="A2016" s="5">
        <v>1955</v>
      </c>
      <c r="B2016" s="138">
        <f>'Cap Outlay Deprec 26'!D10</f>
        <v>24250</v>
      </c>
      <c r="D2016" s="2" t="str">
        <f t="shared" si="30"/>
        <v>Error?</v>
      </c>
    </row>
    <row r="2017" spans="1:4" x14ac:dyDescent="0.2">
      <c r="A2017" s="5">
        <v>1956</v>
      </c>
      <c r="B2017" s="138">
        <f>'Cap Outlay Deprec 26'!D12</f>
        <v>32415</v>
      </c>
      <c r="D2017" s="2" t="str">
        <f t="shared" si="30"/>
        <v>Error?</v>
      </c>
    </row>
    <row r="2018" spans="1:4" x14ac:dyDescent="0.2">
      <c r="A2018" s="5">
        <v>1957</v>
      </c>
      <c r="B2018" s="138">
        <f>'Cap Outlay Deprec 26'!D13</f>
        <v>51555</v>
      </c>
      <c r="D2018" s="2" t="str">
        <f t="shared" si="30"/>
        <v>Error?</v>
      </c>
    </row>
    <row r="2019" spans="1:4" x14ac:dyDescent="0.2">
      <c r="A2019" s="5">
        <v>1958</v>
      </c>
      <c r="B2019" s="138">
        <f>'Cap Outlay Deprec 26'!D16</f>
        <v>126367</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17076</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17076</v>
      </c>
      <c r="C2025" s="2" t="s">
        <v>573</v>
      </c>
      <c r="D2025" s="2" t="str">
        <f t="shared" si="30"/>
        <v>Error?</v>
      </c>
    </row>
    <row r="2026" spans="1:4" x14ac:dyDescent="0.2">
      <c r="A2026" s="5">
        <v>1965</v>
      </c>
      <c r="B2026" s="138">
        <f>'Cap Outlay Deprec 26'!F5</f>
        <v>166496</v>
      </c>
      <c r="C2026" s="2" t="s">
        <v>573</v>
      </c>
      <c r="D2026" s="2" t="str">
        <f t="shared" si="30"/>
        <v>Error?</v>
      </c>
    </row>
    <row r="2027" spans="1:4" x14ac:dyDescent="0.2">
      <c r="A2027" s="5">
        <v>1966</v>
      </c>
      <c r="B2027" s="138">
        <f>'Cap Outlay Deprec 26'!F8</f>
        <v>3145470</v>
      </c>
      <c r="C2027" s="2" t="s">
        <v>573</v>
      </c>
      <c r="D2027" s="2" t="str">
        <f t="shared" si="30"/>
        <v>Error?</v>
      </c>
    </row>
    <row r="2028" spans="1:4" x14ac:dyDescent="0.2">
      <c r="A2028" s="5">
        <v>1967</v>
      </c>
      <c r="B2028" s="138">
        <f>'Cap Outlay Deprec 26'!F10</f>
        <v>98740</v>
      </c>
      <c r="C2028" s="2" t="s">
        <v>573</v>
      </c>
      <c r="D2028" s="2" t="str">
        <f t="shared" si="30"/>
        <v>Error?</v>
      </c>
    </row>
    <row r="2029" spans="1:4" x14ac:dyDescent="0.2">
      <c r="A2029" s="5">
        <v>1968</v>
      </c>
      <c r="B2029" s="138">
        <f>'Cap Outlay Deprec 26'!F12</f>
        <v>279949</v>
      </c>
      <c r="C2029" s="2" t="s">
        <v>573</v>
      </c>
      <c r="D2029" s="2" t="str">
        <f t="shared" si="30"/>
        <v>Error?</v>
      </c>
    </row>
    <row r="2030" spans="1:4" x14ac:dyDescent="0.2">
      <c r="A2030" s="5">
        <v>1969</v>
      </c>
      <c r="B2030" s="138">
        <f>'Cap Outlay Deprec 26'!F13</f>
        <v>71185</v>
      </c>
      <c r="C2030" s="2" t="s">
        <v>573</v>
      </c>
      <c r="D2030" s="2" t="str">
        <f t="shared" si="30"/>
        <v>Error?</v>
      </c>
    </row>
    <row r="2031" spans="1:4" x14ac:dyDescent="0.2">
      <c r="A2031" s="5">
        <v>1970</v>
      </c>
      <c r="B2031" s="138">
        <f>'Cap Outlay Deprec 26'!F16</f>
        <v>3761840</v>
      </c>
      <c r="C2031" s="2" t="s">
        <v>573</v>
      </c>
      <c r="D2031" s="2" t="str">
        <f t="shared" si="30"/>
        <v>Error?</v>
      </c>
    </row>
    <row r="2032" spans="1:4" x14ac:dyDescent="0.2">
      <c r="A2032" s="10">
        <v>1971</v>
      </c>
      <c r="D2032" s="2" t="str">
        <f t="shared" si="30"/>
        <v>OK</v>
      </c>
    </row>
    <row r="2033" spans="1:4" x14ac:dyDescent="0.2">
      <c r="A2033" s="5">
        <v>1972</v>
      </c>
      <c r="B2033" s="138">
        <f>'Cap Outlay Deprec 26'!H8</f>
        <v>1077038</v>
      </c>
      <c r="D2033" s="2" t="str">
        <f t="shared" si="30"/>
        <v>Error?</v>
      </c>
    </row>
    <row r="2034" spans="1:4" x14ac:dyDescent="0.2">
      <c r="A2034" s="5">
        <v>1973</v>
      </c>
      <c r="B2034" s="138">
        <f>'Cap Outlay Deprec 26'!H10</f>
        <v>53791</v>
      </c>
      <c r="D2034" s="2" t="str">
        <f t="shared" si="30"/>
        <v>Error?</v>
      </c>
    </row>
    <row r="2035" spans="1:4" x14ac:dyDescent="0.2">
      <c r="A2035" s="5">
        <v>1974</v>
      </c>
      <c r="B2035" s="138">
        <f>'Cap Outlay Deprec 26'!H12</f>
        <v>113525</v>
      </c>
      <c r="D2035" s="2" t="str">
        <f t="shared" si="30"/>
        <v>Error?</v>
      </c>
    </row>
    <row r="2036" spans="1:4" x14ac:dyDescent="0.2">
      <c r="A2036" s="5">
        <v>1975</v>
      </c>
      <c r="B2036" s="138">
        <f>'Cap Outlay Deprec 26'!H13</f>
        <v>11778</v>
      </c>
      <c r="D2036" s="2" t="str">
        <f t="shared" si="30"/>
        <v>Error?</v>
      </c>
    </row>
    <row r="2037" spans="1:4" x14ac:dyDescent="0.2">
      <c r="A2037" s="5">
        <v>1976</v>
      </c>
      <c r="B2037" s="138">
        <f>'Cap Outlay Deprec 26'!H16</f>
        <v>1256132</v>
      </c>
      <c r="C2037" s="2" t="s">
        <v>573</v>
      </c>
      <c r="D2037" s="2" t="str">
        <f t="shared" si="30"/>
        <v>Error?</v>
      </c>
    </row>
    <row r="2038" spans="1:4" x14ac:dyDescent="0.2">
      <c r="A2038" s="10">
        <v>1977</v>
      </c>
      <c r="D2038" s="2" t="str">
        <f t="shared" si="30"/>
        <v>OK</v>
      </c>
    </row>
    <row r="2039" spans="1:4" x14ac:dyDescent="0.2">
      <c r="A2039" s="5">
        <v>1978</v>
      </c>
      <c r="B2039" s="138">
        <f>'Cap Outlay Deprec 26'!I8</f>
        <v>54346</v>
      </c>
      <c r="D2039" s="2" t="str">
        <f t="shared" si="30"/>
        <v>Error?</v>
      </c>
    </row>
    <row r="2040" spans="1:4" x14ac:dyDescent="0.2">
      <c r="A2040" s="5">
        <v>1979</v>
      </c>
      <c r="B2040" s="138">
        <f>'Cap Outlay Deprec 26'!I10</f>
        <v>4012</v>
      </c>
      <c r="D2040" s="2" t="str">
        <f t="shared" si="30"/>
        <v>Error?</v>
      </c>
    </row>
    <row r="2041" spans="1:4" x14ac:dyDescent="0.2">
      <c r="A2041" s="5">
        <v>1980</v>
      </c>
      <c r="B2041" s="138">
        <f>'Cap Outlay Deprec 26'!I12</f>
        <v>27995</v>
      </c>
      <c r="D2041" s="2" t="str">
        <f t="shared" si="30"/>
        <v>Error?</v>
      </c>
    </row>
    <row r="2042" spans="1:4" x14ac:dyDescent="0.2">
      <c r="A2042" s="5">
        <v>1981</v>
      </c>
      <c r="B2042" s="138">
        <f>'Cap Outlay Deprec 26'!I13</f>
        <v>14237</v>
      </c>
      <c r="D2042" s="2" t="str">
        <f t="shared" si="30"/>
        <v>Error?</v>
      </c>
    </row>
    <row r="2043" spans="1:4" x14ac:dyDescent="0.2">
      <c r="A2043" s="5">
        <v>1982</v>
      </c>
      <c r="B2043" s="138">
        <f>'Cap Outlay Deprec 26'!I16</f>
        <v>100590</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17076</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17076</v>
      </c>
      <c r="C2049" s="2" t="s">
        <v>573</v>
      </c>
      <c r="D2049" s="2" t="str">
        <f t="shared" si="31"/>
        <v>Error?</v>
      </c>
    </row>
    <row r="2050" spans="1:4" x14ac:dyDescent="0.2">
      <c r="A2050" s="10">
        <v>1989</v>
      </c>
      <c r="D2050" s="2" t="str">
        <f t="shared" si="31"/>
        <v>OK</v>
      </c>
    </row>
    <row r="2051" spans="1:4" x14ac:dyDescent="0.2">
      <c r="A2051" s="5">
        <v>1990</v>
      </c>
      <c r="B2051" s="138">
        <f>'Cap Outlay Deprec 26'!K8</f>
        <v>1131384</v>
      </c>
      <c r="C2051" s="2" t="s">
        <v>573</v>
      </c>
      <c r="D2051" s="2" t="str">
        <f t="shared" si="31"/>
        <v>Error?</v>
      </c>
    </row>
    <row r="2052" spans="1:4" x14ac:dyDescent="0.2">
      <c r="A2052" s="5">
        <v>1991</v>
      </c>
      <c r="B2052" s="138">
        <f>'Cap Outlay Deprec 26'!K10</f>
        <v>57803</v>
      </c>
      <c r="C2052" s="2" t="s">
        <v>573</v>
      </c>
      <c r="D2052" s="2" t="str">
        <f t="shared" si="31"/>
        <v>Error?</v>
      </c>
    </row>
    <row r="2053" spans="1:4" x14ac:dyDescent="0.2">
      <c r="A2053" s="5">
        <v>1992</v>
      </c>
      <c r="B2053" s="138">
        <f>'Cap Outlay Deprec 26'!K12</f>
        <v>124444</v>
      </c>
      <c r="C2053" s="2" t="s">
        <v>573</v>
      </c>
      <c r="D2053" s="2" t="str">
        <f t="shared" si="31"/>
        <v>Error?</v>
      </c>
    </row>
    <row r="2054" spans="1:4" x14ac:dyDescent="0.2">
      <c r="A2054" s="5">
        <v>1993</v>
      </c>
      <c r="B2054" s="138">
        <f>'Cap Outlay Deprec 26'!K13</f>
        <v>26015</v>
      </c>
      <c r="C2054" s="2" t="s">
        <v>573</v>
      </c>
      <c r="D2054" s="2" t="str">
        <f t="shared" si="31"/>
        <v>Error?</v>
      </c>
    </row>
    <row r="2055" spans="1:4" x14ac:dyDescent="0.2">
      <c r="A2055" s="5">
        <v>1994</v>
      </c>
      <c r="B2055" s="138">
        <f>'Cap Outlay Deprec 26'!K16</f>
        <v>1339646</v>
      </c>
      <c r="C2055" s="2" t="s">
        <v>573</v>
      </c>
      <c r="D2055" s="2" t="str">
        <f t="shared" si="31"/>
        <v>Error?</v>
      </c>
    </row>
    <row r="2056" spans="1:4" x14ac:dyDescent="0.2">
      <c r="A2056" s="5">
        <v>1995</v>
      </c>
      <c r="B2056" s="138">
        <f>'Cap Outlay Deprec 26'!L5</f>
        <v>166496</v>
      </c>
      <c r="C2056" s="2" t="s">
        <v>573</v>
      </c>
      <c r="D2056" s="2" t="str">
        <f t="shared" si="31"/>
        <v>Error?</v>
      </c>
    </row>
    <row r="2057" spans="1:4" x14ac:dyDescent="0.2">
      <c r="A2057" s="5">
        <v>1996</v>
      </c>
      <c r="B2057" s="138">
        <f>'Cap Outlay Deprec 26'!L8</f>
        <v>2014086</v>
      </c>
      <c r="C2057" s="2" t="s">
        <v>573</v>
      </c>
      <c r="D2057" s="2" t="str">
        <f t="shared" si="31"/>
        <v>Error?</v>
      </c>
    </row>
    <row r="2058" spans="1:4" x14ac:dyDescent="0.2">
      <c r="A2058" s="5">
        <v>1997</v>
      </c>
      <c r="B2058" s="138">
        <f>'Cap Outlay Deprec 26'!L10</f>
        <v>40937</v>
      </c>
      <c r="C2058" s="2" t="s">
        <v>573</v>
      </c>
      <c r="D2058" s="2" t="str">
        <f t="shared" si="31"/>
        <v>Error?</v>
      </c>
    </row>
    <row r="2059" spans="1:4" x14ac:dyDescent="0.2">
      <c r="A2059" s="5">
        <v>1998</v>
      </c>
      <c r="B2059" s="138">
        <f>'Cap Outlay Deprec 26'!L12</f>
        <v>155505</v>
      </c>
      <c r="C2059" s="2" t="s">
        <v>573</v>
      </c>
      <c r="D2059" s="2" t="str">
        <f t="shared" si="31"/>
        <v>Error?</v>
      </c>
    </row>
    <row r="2060" spans="1:4" x14ac:dyDescent="0.2">
      <c r="A2060" s="5">
        <v>1999</v>
      </c>
      <c r="B2060" s="138">
        <f>'Cap Outlay Deprec 26'!L13</f>
        <v>45170</v>
      </c>
      <c r="C2060" s="2" t="s">
        <v>573</v>
      </c>
      <c r="D2060" s="2" t="str">
        <f t="shared" si="31"/>
        <v>Error?</v>
      </c>
    </row>
    <row r="2061" spans="1:4" x14ac:dyDescent="0.2">
      <c r="A2061" s="5">
        <v>2000</v>
      </c>
      <c r="B2061" s="138">
        <f>'Cap Outlay Deprec 26'!L16</f>
        <v>2422194</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 ca="1">'Expenditures 15-22'!H84</f>
        <v>0</v>
      </c>
      <c r="C2081" s="2" t="s">
        <v>573</v>
      </c>
      <c r="D2081" s="2" t="str">
        <f t="shared" ca="1"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 ca="1">'Expenditures 15-22'!K84</f>
        <v>34422</v>
      </c>
      <c r="C2088" s="2" t="s">
        <v>573</v>
      </c>
      <c r="D2088" s="2" t="str">
        <f t="shared" ca="1" si="31"/>
        <v>Error?</v>
      </c>
    </row>
    <row r="2089" spans="1:4" x14ac:dyDescent="0.2">
      <c r="A2089" s="5">
        <v>2028</v>
      </c>
      <c r="B2089" s="138">
        <f ca="1">'Expenditures 15-22'!K92</f>
        <v>0</v>
      </c>
      <c r="C2089" s="2" t="s">
        <v>573</v>
      </c>
      <c r="D2089" s="2" t="str">
        <f t="shared" ca="1" si="31"/>
        <v>Error?</v>
      </c>
    </row>
    <row r="2090" spans="1:4" x14ac:dyDescent="0.2">
      <c r="A2090" s="10">
        <v>2029</v>
      </c>
      <c r="D2090" s="2" t="str">
        <f t="shared" si="31"/>
        <v>OK</v>
      </c>
    </row>
    <row r="2091" spans="1:4" x14ac:dyDescent="0.2">
      <c r="A2091" s="5">
        <v>2030</v>
      </c>
      <c r="B2091" s="138">
        <f ca="1">'Expenditures 15-22'!H137</f>
        <v>0</v>
      </c>
      <c r="C2091" s="2" t="s">
        <v>573</v>
      </c>
      <c r="D2091" s="2" t="str">
        <f t="shared" ca="1" si="31"/>
        <v>Error?</v>
      </c>
    </row>
    <row r="2092" spans="1:4" x14ac:dyDescent="0.2">
      <c r="A2092" s="5">
        <v>2031</v>
      </c>
      <c r="B2092" s="138">
        <f ca="1">'Expenditures 15-22'!H138</f>
        <v>0</v>
      </c>
      <c r="D2092" s="2" t="str">
        <f t="shared" ca="1" si="31"/>
        <v>Error?</v>
      </c>
    </row>
    <row r="2093" spans="1:4" x14ac:dyDescent="0.2">
      <c r="A2093" s="5">
        <v>2032</v>
      </c>
      <c r="B2093" s="138">
        <f ca="1">'Expenditures 15-22'!K137</f>
        <v>0</v>
      </c>
      <c r="C2093" s="2" t="s">
        <v>573</v>
      </c>
      <c r="D2093" s="2" t="str">
        <f t="shared" ca="1" si="31"/>
        <v>Error?</v>
      </c>
    </row>
    <row r="2094" spans="1:4" x14ac:dyDescent="0.2">
      <c r="A2094" s="5">
        <v>2033</v>
      </c>
      <c r="B2094" s="138">
        <f ca="1">'Expenditures 15-22'!K138</f>
        <v>0</v>
      </c>
      <c r="C2094" s="2" t="s">
        <v>573</v>
      </c>
      <c r="D2094" s="2" t="str">
        <f t="shared" ca="1"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 ca="1">'Expenditures 15-22'!K310</f>
        <v>0</v>
      </c>
      <c r="C2102" s="2" t="s">
        <v>573</v>
      </c>
      <c r="D2102" s="2" t="str">
        <f t="shared" ca="1"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 ca="1">'Acct Summary 7-8'!I47</f>
        <v>0</v>
      </c>
      <c r="C2105" s="2" t="s">
        <v>573</v>
      </c>
      <c r="D2105" s="2" t="str">
        <f t="shared" ca="1" si="31"/>
        <v>Error?</v>
      </c>
    </row>
    <row r="2106" spans="1:4" x14ac:dyDescent="0.2">
      <c r="A2106" s="5">
        <v>2045</v>
      </c>
      <c r="B2106" s="138">
        <f ca="1">'Acct Summary 7-8'!I48</f>
        <v>0</v>
      </c>
      <c r="D2106" s="2" t="str">
        <f t="shared" ca="1"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23855</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 ca="1">'Acct Summary 7-8'!C4</f>
        <v>1115652</v>
      </c>
      <c r="C2551" s="2" t="s">
        <v>573</v>
      </c>
      <c r="D2551" s="2" t="str">
        <f t="shared" ca="1" si="38"/>
        <v>Error?</v>
      </c>
    </row>
    <row r="2552" spans="1:4" x14ac:dyDescent="0.2">
      <c r="A2552" s="10">
        <v>2491</v>
      </c>
      <c r="D2552" s="2" t="str">
        <f t="shared" si="38"/>
        <v>OK</v>
      </c>
    </row>
    <row r="2553" spans="1:4" x14ac:dyDescent="0.2">
      <c r="A2553" s="5">
        <v>2492</v>
      </c>
      <c r="B2553" s="138">
        <f ca="1">'Acct Summary 7-8'!C6</f>
        <v>432605</v>
      </c>
      <c r="C2553" s="2" t="s">
        <v>573</v>
      </c>
      <c r="D2553" s="2" t="str">
        <f t="shared" ca="1" si="38"/>
        <v>Error?</v>
      </c>
    </row>
    <row r="2554" spans="1:4" x14ac:dyDescent="0.2">
      <c r="A2554" s="5">
        <v>2493</v>
      </c>
      <c r="B2554" s="138">
        <f ca="1">'Acct Summary 7-8'!C7</f>
        <v>120811</v>
      </c>
      <c r="C2554" s="2" t="s">
        <v>573</v>
      </c>
      <c r="D2554" s="2" t="str">
        <f t="shared" ca="1" si="38"/>
        <v>Error?</v>
      </c>
    </row>
    <row r="2555" spans="1:4" x14ac:dyDescent="0.2">
      <c r="A2555" s="5">
        <v>2494</v>
      </c>
      <c r="B2555" s="138">
        <f ca="1">'Acct Summary 7-8'!C8</f>
        <v>1669155</v>
      </c>
      <c r="C2555" s="2" t="s">
        <v>573</v>
      </c>
      <c r="D2555" s="2" t="str">
        <f t="shared" ca="1" si="38"/>
        <v>Error?</v>
      </c>
    </row>
    <row r="2556" spans="1:4" x14ac:dyDescent="0.2">
      <c r="A2556" s="5">
        <v>2495</v>
      </c>
      <c r="B2556" s="138">
        <f ca="1">'Acct Summary 7-8'!C12</f>
        <v>1170722</v>
      </c>
      <c r="C2556" s="2" t="s">
        <v>573</v>
      </c>
      <c r="D2556" s="2" t="str">
        <f t="shared" ca="1" si="38"/>
        <v>Error?</v>
      </c>
    </row>
    <row r="2557" spans="1:4" x14ac:dyDescent="0.2">
      <c r="A2557" s="5">
        <v>2496</v>
      </c>
      <c r="B2557" s="138">
        <f ca="1">'Acct Summary 7-8'!C13</f>
        <v>551753</v>
      </c>
      <c r="C2557" s="2" t="s">
        <v>573</v>
      </c>
      <c r="D2557" s="2" t="str">
        <f t="shared" ca="1" si="38"/>
        <v>Error?</v>
      </c>
    </row>
    <row r="2558" spans="1:4" x14ac:dyDescent="0.2">
      <c r="A2558" s="5">
        <v>2497</v>
      </c>
      <c r="B2558" s="138">
        <f ca="1">'Acct Summary 7-8'!C14</f>
        <v>0</v>
      </c>
      <c r="C2558" s="2" t="s">
        <v>573</v>
      </c>
      <c r="D2558" s="2" t="str">
        <f t="shared" ca="1" si="38"/>
        <v>Error?</v>
      </c>
    </row>
    <row r="2559" spans="1:4" x14ac:dyDescent="0.2">
      <c r="A2559" s="5">
        <v>2498</v>
      </c>
      <c r="B2559" s="138">
        <f ca="1">'Acct Summary 7-8'!C15</f>
        <v>34422</v>
      </c>
      <c r="C2559" s="2" t="s">
        <v>573</v>
      </c>
      <c r="D2559" s="2" t="str">
        <f t="shared" ref="D2559:D2622" ca="1" si="39">IF(ISBLANK(B2559),"OK",IF(A2559-B2559=0,"OK","Error?"))</f>
        <v>Error?</v>
      </c>
    </row>
    <row r="2560" spans="1:4" x14ac:dyDescent="0.2">
      <c r="A2560" s="5">
        <v>2499</v>
      </c>
      <c r="B2560" s="138">
        <f ca="1">'Acct Summary 7-8'!C16</f>
        <v>0</v>
      </c>
      <c r="C2560" s="2" t="s">
        <v>573</v>
      </c>
      <c r="D2560" s="2" t="str">
        <f t="shared" ca="1" si="39"/>
        <v>Error?</v>
      </c>
    </row>
    <row r="2561" spans="1:4" x14ac:dyDescent="0.2">
      <c r="A2561" s="5">
        <v>2500</v>
      </c>
      <c r="B2561" s="138">
        <f ca="1">'Acct Summary 7-8'!C17</f>
        <v>1756897</v>
      </c>
      <c r="C2561" s="2" t="s">
        <v>573</v>
      </c>
      <c r="D2561" s="2" t="str">
        <f t="shared" ca="1" si="39"/>
        <v>Error?</v>
      </c>
    </row>
    <row r="2562" spans="1:4" x14ac:dyDescent="0.2">
      <c r="A2562" s="5">
        <v>2501</v>
      </c>
      <c r="B2562" s="138">
        <f ca="1">'Acct Summary 7-8'!C20</f>
        <v>-87742</v>
      </c>
      <c r="C2562" s="2" t="s">
        <v>573</v>
      </c>
      <c r="D2562" s="2" t="str">
        <f t="shared" ca="1" si="39"/>
        <v>Error?</v>
      </c>
    </row>
    <row r="2563" spans="1:4" x14ac:dyDescent="0.2">
      <c r="A2563" s="5">
        <v>2502</v>
      </c>
      <c r="B2563" s="138">
        <f>'Acct Summary 7-8'!C80</f>
        <v>0</v>
      </c>
      <c r="D2563" s="2" t="str">
        <f t="shared" si="39"/>
        <v>Error?</v>
      </c>
    </row>
    <row r="2564" spans="1:4" x14ac:dyDescent="0.2">
      <c r="A2564" s="5">
        <v>2503</v>
      </c>
      <c r="B2564" s="138">
        <f ca="1">'Acct Summary 7-8'!D4</f>
        <v>166541</v>
      </c>
      <c r="C2564" s="2" t="s">
        <v>573</v>
      </c>
      <c r="D2564" s="2" t="str">
        <f t="shared" ca="1" si="39"/>
        <v>Error?</v>
      </c>
    </row>
    <row r="2565" spans="1:4" x14ac:dyDescent="0.2">
      <c r="A2565" s="10">
        <v>2504</v>
      </c>
      <c r="D2565" s="2" t="str">
        <f t="shared" si="39"/>
        <v>OK</v>
      </c>
    </row>
    <row r="2566" spans="1:4" x14ac:dyDescent="0.2">
      <c r="A2566" s="5">
        <v>2505</v>
      </c>
      <c r="B2566" s="138">
        <f ca="1">'Acct Summary 7-8'!D6</f>
        <v>81801</v>
      </c>
      <c r="C2566" s="2" t="s">
        <v>573</v>
      </c>
      <c r="D2566" s="2" t="str">
        <f t="shared" ca="1" si="39"/>
        <v>Error?</v>
      </c>
    </row>
    <row r="2567" spans="1:4" x14ac:dyDescent="0.2">
      <c r="A2567" s="5">
        <v>2506</v>
      </c>
      <c r="B2567" s="138">
        <f ca="1">'Acct Summary 7-8'!D7</f>
        <v>0</v>
      </c>
      <c r="C2567" s="2" t="s">
        <v>573</v>
      </c>
      <c r="D2567" s="2" t="str">
        <f t="shared" ca="1" si="39"/>
        <v>Error?</v>
      </c>
    </row>
    <row r="2568" spans="1:4" x14ac:dyDescent="0.2">
      <c r="A2568" s="5">
        <v>2507</v>
      </c>
      <c r="B2568" s="138">
        <f ca="1">'Acct Summary 7-8'!D8</f>
        <v>248342</v>
      </c>
      <c r="C2568" s="2" t="s">
        <v>573</v>
      </c>
      <c r="D2568" s="2" t="str">
        <f t="shared" ca="1" si="39"/>
        <v>Error?</v>
      </c>
    </row>
    <row r="2569" spans="1:4" x14ac:dyDescent="0.2">
      <c r="A2569" s="5">
        <v>2508</v>
      </c>
      <c r="B2569" s="138">
        <f ca="1">'Acct Summary 7-8'!D13</f>
        <v>221857</v>
      </c>
      <c r="C2569" s="2" t="s">
        <v>573</v>
      </c>
      <c r="D2569" s="2" t="str">
        <f t="shared" ca="1" si="39"/>
        <v>Error?</v>
      </c>
    </row>
    <row r="2570" spans="1:4" x14ac:dyDescent="0.2">
      <c r="A2570" s="5">
        <v>2509</v>
      </c>
      <c r="B2570" s="138">
        <f ca="1">'Acct Summary 7-8'!D14</f>
        <v>19198</v>
      </c>
      <c r="C2570" s="2" t="s">
        <v>573</v>
      </c>
      <c r="D2570" s="2" t="str">
        <f t="shared" ca="1" si="39"/>
        <v>Error?</v>
      </c>
    </row>
    <row r="2571" spans="1:4" x14ac:dyDescent="0.2">
      <c r="A2571" s="5">
        <v>2510</v>
      </c>
      <c r="B2571" s="138">
        <f ca="1">'Acct Summary 7-8'!D15</f>
        <v>0</v>
      </c>
      <c r="C2571" s="2" t="s">
        <v>573</v>
      </c>
      <c r="D2571" s="2" t="str">
        <f t="shared" ca="1" si="39"/>
        <v>Error?</v>
      </c>
    </row>
    <row r="2572" spans="1:4" x14ac:dyDescent="0.2">
      <c r="A2572" s="5">
        <v>2511</v>
      </c>
      <c r="B2572" s="138">
        <f ca="1">'Acct Summary 7-8'!D16</f>
        <v>0</v>
      </c>
      <c r="C2572" s="2" t="s">
        <v>573</v>
      </c>
      <c r="D2572" s="2" t="str">
        <f t="shared" ca="1" si="39"/>
        <v>Error?</v>
      </c>
    </row>
    <row r="2573" spans="1:4" x14ac:dyDescent="0.2">
      <c r="A2573" s="5">
        <v>2512</v>
      </c>
      <c r="B2573" s="138">
        <f ca="1">'Acct Summary 7-8'!D17</f>
        <v>241055</v>
      </c>
      <c r="C2573" s="2" t="s">
        <v>573</v>
      </c>
      <c r="D2573" s="2" t="str">
        <f t="shared" ca="1" si="39"/>
        <v>Error?</v>
      </c>
    </row>
    <row r="2574" spans="1:4" x14ac:dyDescent="0.2">
      <c r="A2574" s="5">
        <v>2513</v>
      </c>
      <c r="B2574" s="138">
        <f ca="1">'Acct Summary 7-8'!D20</f>
        <v>7287</v>
      </c>
      <c r="C2574" s="2" t="s">
        <v>573</v>
      </c>
      <c r="D2574" s="2" t="str">
        <f t="shared" ca="1"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 ca="1">'Acct Summary 7-8'!F4</f>
        <v>38426</v>
      </c>
      <c r="C2591" s="2" t="s">
        <v>573</v>
      </c>
      <c r="D2591" s="2" t="str">
        <f t="shared" ca="1" si="39"/>
        <v>Error?</v>
      </c>
    </row>
    <row r="2592" spans="1:4" x14ac:dyDescent="0.2">
      <c r="A2592" s="10">
        <v>2531</v>
      </c>
      <c r="D2592" s="2" t="str">
        <f t="shared" si="39"/>
        <v>OK</v>
      </c>
    </row>
    <row r="2593" spans="1:4" x14ac:dyDescent="0.2">
      <c r="A2593" s="5">
        <v>2532</v>
      </c>
      <c r="B2593" s="138">
        <f ca="1">'Acct Summary 7-8'!F6</f>
        <v>163385</v>
      </c>
      <c r="C2593" s="2" t="s">
        <v>573</v>
      </c>
      <c r="D2593" s="2" t="str">
        <f t="shared" ca="1" si="39"/>
        <v>Error?</v>
      </c>
    </row>
    <row r="2594" spans="1:4" x14ac:dyDescent="0.2">
      <c r="A2594" s="5">
        <v>2533</v>
      </c>
      <c r="B2594" s="138">
        <f ca="1">'Acct Summary 7-8'!F7</f>
        <v>0</v>
      </c>
      <c r="C2594" s="2" t="s">
        <v>573</v>
      </c>
      <c r="D2594" s="2" t="str">
        <f t="shared" ca="1" si="39"/>
        <v>Error?</v>
      </c>
    </row>
    <row r="2595" spans="1:4" x14ac:dyDescent="0.2">
      <c r="A2595" s="5">
        <v>2534</v>
      </c>
      <c r="B2595" s="138">
        <f ca="1">'Acct Summary 7-8'!F8</f>
        <v>201811</v>
      </c>
      <c r="C2595" s="2" t="s">
        <v>573</v>
      </c>
      <c r="D2595" s="2" t="str">
        <f t="shared" ca="1" si="39"/>
        <v>Error?</v>
      </c>
    </row>
    <row r="2596" spans="1:4" x14ac:dyDescent="0.2">
      <c r="A2596" s="5">
        <v>2535</v>
      </c>
      <c r="B2596" s="138">
        <f ca="1">'Acct Summary 7-8'!F13</f>
        <v>114144</v>
      </c>
      <c r="C2596" s="2" t="s">
        <v>573</v>
      </c>
      <c r="D2596" s="2" t="str">
        <f t="shared" ca="1" si="39"/>
        <v>Error?</v>
      </c>
    </row>
    <row r="2597" spans="1:4" x14ac:dyDescent="0.2">
      <c r="A2597" s="5">
        <v>2536</v>
      </c>
      <c r="B2597" s="138">
        <f ca="1">'Acct Summary 7-8'!F14</f>
        <v>0</v>
      </c>
      <c r="C2597" s="2" t="s">
        <v>573</v>
      </c>
      <c r="D2597" s="2" t="str">
        <f t="shared" ca="1" si="39"/>
        <v>Error?</v>
      </c>
    </row>
    <row r="2598" spans="1:4" x14ac:dyDescent="0.2">
      <c r="A2598" s="5">
        <v>2537</v>
      </c>
      <c r="B2598" s="138">
        <f ca="1">'Acct Summary 7-8'!F15</f>
        <v>0</v>
      </c>
      <c r="C2598" s="2" t="s">
        <v>573</v>
      </c>
      <c r="D2598" s="2" t="str">
        <f t="shared" ca="1" si="39"/>
        <v>Error?</v>
      </c>
    </row>
    <row r="2599" spans="1:4" x14ac:dyDescent="0.2">
      <c r="A2599" s="5">
        <v>2538</v>
      </c>
      <c r="B2599" s="138">
        <f ca="1">'Acct Summary 7-8'!F16</f>
        <v>7690</v>
      </c>
      <c r="C2599" s="2" t="s">
        <v>573</v>
      </c>
      <c r="D2599" s="2" t="str">
        <f t="shared" ca="1" si="39"/>
        <v>Error?</v>
      </c>
    </row>
    <row r="2600" spans="1:4" x14ac:dyDescent="0.2">
      <c r="A2600" s="5">
        <v>2539</v>
      </c>
      <c r="B2600" s="138">
        <f ca="1">'Acct Summary 7-8'!F17</f>
        <v>121834</v>
      </c>
      <c r="C2600" s="2" t="s">
        <v>573</v>
      </c>
      <c r="D2600" s="2" t="str">
        <f t="shared" ca="1" si="39"/>
        <v>Error?</v>
      </c>
    </row>
    <row r="2601" spans="1:4" x14ac:dyDescent="0.2">
      <c r="A2601" s="5">
        <v>2540</v>
      </c>
      <c r="B2601" s="138">
        <f ca="1">'Acct Summary 7-8'!F20</f>
        <v>79977</v>
      </c>
      <c r="C2601" s="2" t="s">
        <v>573</v>
      </c>
      <c r="D2601" s="2" t="str">
        <f t="shared" ca="1" si="39"/>
        <v>Error?</v>
      </c>
    </row>
    <row r="2602" spans="1:4" x14ac:dyDescent="0.2">
      <c r="A2602" s="5">
        <v>2541</v>
      </c>
      <c r="B2602" s="138">
        <f>'Acct Summary 7-8'!F80</f>
        <v>0</v>
      </c>
      <c r="D2602" s="2" t="str">
        <f t="shared" si="39"/>
        <v>Error?</v>
      </c>
    </row>
    <row r="2603" spans="1:4" x14ac:dyDescent="0.2">
      <c r="A2603" s="5">
        <v>2542</v>
      </c>
      <c r="B2603" s="138">
        <f ca="1">'Acct Summary 7-8'!G4</f>
        <v>17784</v>
      </c>
      <c r="C2603" s="2" t="s">
        <v>573</v>
      </c>
      <c r="D2603" s="2" t="str">
        <f t="shared" ca="1" si="39"/>
        <v>Error?</v>
      </c>
    </row>
    <row r="2604" spans="1:4" x14ac:dyDescent="0.2">
      <c r="A2604" s="5">
        <v>2543</v>
      </c>
      <c r="B2604" s="138">
        <f ca="1">'Acct Summary 7-8'!G6</f>
        <v>0</v>
      </c>
      <c r="C2604" s="2" t="s">
        <v>573</v>
      </c>
      <c r="D2604" s="2" t="str">
        <f t="shared" ca="1" si="39"/>
        <v>Error?</v>
      </c>
    </row>
    <row r="2605" spans="1:4" x14ac:dyDescent="0.2">
      <c r="A2605" s="5">
        <v>2544</v>
      </c>
      <c r="B2605" s="138">
        <f ca="1">'Acct Summary 7-8'!G7</f>
        <v>0</v>
      </c>
      <c r="C2605" s="2" t="s">
        <v>573</v>
      </c>
      <c r="D2605" s="2" t="str">
        <f t="shared" ca="1" si="39"/>
        <v>Error?</v>
      </c>
    </row>
    <row r="2606" spans="1:4" x14ac:dyDescent="0.2">
      <c r="A2606" s="5">
        <v>2545</v>
      </c>
      <c r="B2606" s="138">
        <f ca="1">'Acct Summary 7-8'!G8</f>
        <v>17784</v>
      </c>
      <c r="C2606" s="2" t="s">
        <v>573</v>
      </c>
      <c r="D2606" s="2" t="str">
        <f t="shared" ca="1" si="39"/>
        <v>Error?</v>
      </c>
    </row>
    <row r="2607" spans="1:4" x14ac:dyDescent="0.2">
      <c r="A2607" s="5">
        <v>2546</v>
      </c>
      <c r="B2607" s="138">
        <f ca="1">'Acct Summary 7-8'!G12</f>
        <v>25655</v>
      </c>
      <c r="C2607" s="2" t="s">
        <v>573</v>
      </c>
      <c r="D2607" s="2" t="str">
        <f t="shared" ca="1" si="39"/>
        <v>Error?</v>
      </c>
    </row>
    <row r="2608" spans="1:4" x14ac:dyDescent="0.2">
      <c r="A2608" s="5">
        <v>2547</v>
      </c>
      <c r="B2608" s="138">
        <f ca="1">'Acct Summary 7-8'!G13</f>
        <v>28101</v>
      </c>
      <c r="C2608" s="2" t="s">
        <v>573</v>
      </c>
      <c r="D2608" s="2" t="str">
        <f t="shared" ca="1" si="39"/>
        <v>Error?</v>
      </c>
    </row>
    <row r="2609" spans="1:4" x14ac:dyDescent="0.2">
      <c r="A2609" s="5">
        <v>2548</v>
      </c>
      <c r="B2609" s="138">
        <f ca="1">'Acct Summary 7-8'!G14</f>
        <v>1599</v>
      </c>
      <c r="C2609" s="2" t="s">
        <v>573</v>
      </c>
      <c r="D2609" s="2" t="str">
        <f t="shared" ca="1" si="39"/>
        <v>Error?</v>
      </c>
    </row>
    <row r="2610" spans="1:4" x14ac:dyDescent="0.2">
      <c r="A2610" s="10">
        <v>2549</v>
      </c>
      <c r="D2610" s="2" t="str">
        <f t="shared" si="39"/>
        <v>OK</v>
      </c>
    </row>
    <row r="2611" spans="1:4" x14ac:dyDescent="0.2">
      <c r="A2611" s="5">
        <v>2550</v>
      </c>
      <c r="B2611" s="138">
        <f ca="1">'Acct Summary 7-8'!G16</f>
        <v>0</v>
      </c>
      <c r="C2611" s="2" t="s">
        <v>573</v>
      </c>
      <c r="D2611" s="2" t="str">
        <f t="shared" ca="1" si="39"/>
        <v>Error?</v>
      </c>
    </row>
    <row r="2612" spans="1:4" x14ac:dyDescent="0.2">
      <c r="A2612" s="5">
        <v>2551</v>
      </c>
      <c r="B2612" s="138">
        <f ca="1">'Acct Summary 7-8'!G17</f>
        <v>55355</v>
      </c>
      <c r="C2612" s="2" t="s">
        <v>573</v>
      </c>
      <c r="D2612" s="2" t="str">
        <f t="shared" ca="1" si="39"/>
        <v>Error?</v>
      </c>
    </row>
    <row r="2613" spans="1:4" x14ac:dyDescent="0.2">
      <c r="A2613" s="5">
        <v>2552</v>
      </c>
      <c r="B2613" s="138">
        <f ca="1">'Acct Summary 7-8'!G20</f>
        <v>-37571</v>
      </c>
      <c r="C2613" s="2" t="s">
        <v>573</v>
      </c>
      <c r="D2613" s="2" t="str">
        <f t="shared" ca="1"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 ca="1">'Acct Summary 7-8'!E4</f>
        <v>0</v>
      </c>
      <c r="C2630" s="2" t="s">
        <v>573</v>
      </c>
      <c r="D2630" s="2" t="str">
        <f t="shared" ca="1" si="40"/>
        <v>Error?</v>
      </c>
    </row>
    <row r="2631" spans="1:4" x14ac:dyDescent="0.2">
      <c r="A2631" s="5">
        <v>2570</v>
      </c>
      <c r="B2631" s="138">
        <f ca="1">'Acct Summary 7-8'!E6</f>
        <v>0</v>
      </c>
      <c r="C2631" s="2" t="s">
        <v>573</v>
      </c>
      <c r="D2631" s="2" t="str">
        <f t="shared" ca="1" si="40"/>
        <v>Error?</v>
      </c>
    </row>
    <row r="2632" spans="1:4" x14ac:dyDescent="0.2">
      <c r="A2632" s="5">
        <v>2571</v>
      </c>
      <c r="B2632" s="138">
        <f ca="1">'Acct Summary 7-8'!E8</f>
        <v>0</v>
      </c>
      <c r="C2632" s="2" t="s">
        <v>573</v>
      </c>
      <c r="D2632" s="2" t="str">
        <f t="shared" ca="1" si="40"/>
        <v>Error?</v>
      </c>
    </row>
    <row r="2633" spans="1:4" x14ac:dyDescent="0.2">
      <c r="A2633" s="5">
        <v>2572</v>
      </c>
      <c r="B2633" s="138">
        <f ca="1">'Acct Summary 7-8'!E15</f>
        <v>0</v>
      </c>
      <c r="C2633" s="2" t="s">
        <v>573</v>
      </c>
      <c r="D2633" s="2" t="str">
        <f t="shared" ca="1" si="40"/>
        <v>Error?</v>
      </c>
    </row>
    <row r="2634" spans="1:4" x14ac:dyDescent="0.2">
      <c r="A2634" s="5">
        <v>2573</v>
      </c>
      <c r="B2634" s="138">
        <f ca="1">'Acct Summary 7-8'!E16</f>
        <v>0</v>
      </c>
      <c r="C2634" s="2" t="s">
        <v>573</v>
      </c>
      <c r="D2634" s="2" t="str">
        <f t="shared" ca="1" si="40"/>
        <v>Error?</v>
      </c>
    </row>
    <row r="2635" spans="1:4" x14ac:dyDescent="0.2">
      <c r="A2635" s="5">
        <v>2574</v>
      </c>
      <c r="B2635" s="138">
        <f ca="1">'Acct Summary 7-8'!E17</f>
        <v>0</v>
      </c>
      <c r="C2635" s="2" t="s">
        <v>573</v>
      </c>
      <c r="D2635" s="2" t="str">
        <f t="shared" ca="1" si="40"/>
        <v>Error?</v>
      </c>
    </row>
    <row r="2636" spans="1:4" x14ac:dyDescent="0.2">
      <c r="A2636" s="5">
        <v>2575</v>
      </c>
      <c r="B2636" s="138">
        <f ca="1">'Acct Summary 7-8'!E20</f>
        <v>0</v>
      </c>
      <c r="C2636" s="2" t="s">
        <v>573</v>
      </c>
      <c r="D2636" s="2" t="str">
        <f t="shared" ca="1"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 ca="1">'Acct Summary 7-8'!H4</f>
        <v>0</v>
      </c>
      <c r="C2655" s="2" t="s">
        <v>573</v>
      </c>
      <c r="D2655" s="2" t="str">
        <f t="shared" ca="1" si="40"/>
        <v>Error?</v>
      </c>
    </row>
    <row r="2656" spans="1:4" x14ac:dyDescent="0.2">
      <c r="A2656" s="5">
        <v>2595</v>
      </c>
      <c r="B2656" s="138">
        <f ca="1">'Acct Summary 7-8'!H6</f>
        <v>53964</v>
      </c>
      <c r="C2656" s="2" t="s">
        <v>573</v>
      </c>
      <c r="D2656" s="2" t="str">
        <f t="shared" ca="1" si="40"/>
        <v>Error?</v>
      </c>
    </row>
    <row r="2657" spans="1:4" x14ac:dyDescent="0.2">
      <c r="A2657" s="5">
        <v>2596</v>
      </c>
      <c r="B2657" s="138">
        <f ca="1">'Acct Summary 7-8'!H7</f>
        <v>0</v>
      </c>
      <c r="C2657" s="2" t="s">
        <v>573</v>
      </c>
      <c r="D2657" s="2" t="str">
        <f t="shared" ca="1" si="40"/>
        <v>Error?</v>
      </c>
    </row>
    <row r="2658" spans="1:4" x14ac:dyDescent="0.2">
      <c r="A2658" s="5">
        <v>2597</v>
      </c>
      <c r="B2658" s="138">
        <f ca="1">'Acct Summary 7-8'!H8</f>
        <v>53964</v>
      </c>
      <c r="C2658" s="2" t="s">
        <v>573</v>
      </c>
      <c r="D2658" s="2" t="str">
        <f t="shared" ca="1" si="40"/>
        <v>Error?</v>
      </c>
    </row>
    <row r="2659" spans="1:4" x14ac:dyDescent="0.2">
      <c r="A2659" s="5">
        <v>2598</v>
      </c>
      <c r="B2659" s="138">
        <f ca="1">'Acct Summary 7-8'!H13</f>
        <v>46149</v>
      </c>
      <c r="C2659" s="2" t="s">
        <v>573</v>
      </c>
      <c r="D2659" s="2" t="str">
        <f t="shared" ca="1" si="40"/>
        <v>Error?</v>
      </c>
    </row>
    <row r="2660" spans="1:4" x14ac:dyDescent="0.2">
      <c r="A2660" s="5">
        <v>2599</v>
      </c>
      <c r="B2660" s="138">
        <f ca="1">'Acct Summary 7-8'!H15</f>
        <v>0</v>
      </c>
      <c r="C2660" s="2" t="s">
        <v>573</v>
      </c>
      <c r="D2660" s="2" t="str">
        <f t="shared" ca="1" si="40"/>
        <v>Error?</v>
      </c>
    </row>
    <row r="2661" spans="1:4" x14ac:dyDescent="0.2">
      <c r="A2661" s="5">
        <v>2600</v>
      </c>
      <c r="B2661" s="138">
        <f ca="1">'Acct Summary 7-8'!H17</f>
        <v>46149</v>
      </c>
      <c r="C2661" s="2" t="s">
        <v>573</v>
      </c>
      <c r="D2661" s="2" t="str">
        <f t="shared" ca="1" si="40"/>
        <v>Error?</v>
      </c>
    </row>
    <row r="2662" spans="1:4" x14ac:dyDescent="0.2">
      <c r="A2662" s="5">
        <v>2601</v>
      </c>
      <c r="B2662" s="138">
        <f ca="1">'Acct Summary 7-8'!H20</f>
        <v>7815</v>
      </c>
      <c r="C2662" s="2" t="s">
        <v>573</v>
      </c>
      <c r="D2662" s="2" t="str">
        <f t="shared" ca="1"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 ca="1">'Expenditures 15-22'!C51</f>
        <v>0</v>
      </c>
      <c r="D2718" s="2" t="str">
        <f t="shared" ca="1" si="41"/>
        <v>Error?</v>
      </c>
    </row>
    <row r="2719" spans="1:4" x14ac:dyDescent="0.2">
      <c r="A2719" s="5">
        <v>2658</v>
      </c>
      <c r="B2719" s="138">
        <f ca="1">'Expenditures 15-22'!D51</f>
        <v>0</v>
      </c>
      <c r="D2719" s="2" t="str">
        <f t="shared" ca="1" si="41"/>
        <v>Error?</v>
      </c>
    </row>
    <row r="2720" spans="1:4" x14ac:dyDescent="0.2">
      <c r="A2720" s="5">
        <v>2659</v>
      </c>
      <c r="B2720" s="138">
        <f ca="1">'Expenditures 15-22'!E51</f>
        <v>0</v>
      </c>
      <c r="D2720" s="2" t="str">
        <f t="shared" ca="1" si="41"/>
        <v>Error?</v>
      </c>
    </row>
    <row r="2721" spans="1:4" x14ac:dyDescent="0.2">
      <c r="A2721" s="5">
        <v>2660</v>
      </c>
      <c r="B2721" s="138">
        <f ca="1">'Expenditures 15-22'!F51</f>
        <v>0</v>
      </c>
      <c r="D2721" s="2" t="str">
        <f t="shared" ca="1" si="41"/>
        <v>Error?</v>
      </c>
    </row>
    <row r="2722" spans="1:4" x14ac:dyDescent="0.2">
      <c r="A2722" s="5">
        <v>2661</v>
      </c>
      <c r="B2722" s="138">
        <f ca="1">'Expenditures 15-22'!G51</f>
        <v>0</v>
      </c>
      <c r="D2722" s="2" t="str">
        <f t="shared" ca="1" si="41"/>
        <v>Error?</v>
      </c>
    </row>
    <row r="2723" spans="1:4" x14ac:dyDescent="0.2">
      <c r="A2723" s="5">
        <v>2662</v>
      </c>
      <c r="B2723" s="138">
        <f ca="1">'Expenditures 15-22'!H51</f>
        <v>0</v>
      </c>
      <c r="D2723" s="2" t="str">
        <f t="shared" ca="1" si="41"/>
        <v>Error?</v>
      </c>
    </row>
    <row r="2724" spans="1:4" x14ac:dyDescent="0.2">
      <c r="A2724" s="5">
        <v>2663</v>
      </c>
      <c r="B2724" s="138">
        <f ca="1">'Expenditures 15-22'!K51</f>
        <v>0</v>
      </c>
      <c r="C2724" s="2" t="s">
        <v>573</v>
      </c>
      <c r="D2724" s="2" t="str">
        <f t="shared" ca="1" si="41"/>
        <v>Error?</v>
      </c>
    </row>
    <row r="2725" spans="1:4" x14ac:dyDescent="0.2">
      <c r="A2725" s="5">
        <v>2664</v>
      </c>
      <c r="B2725" s="138">
        <f ca="1">'Expenditures 15-22'!D247</f>
        <v>0</v>
      </c>
      <c r="D2725" s="2" t="str">
        <f t="shared" ca="1" si="41"/>
        <v>Error?</v>
      </c>
    </row>
    <row r="2726" spans="1:4" x14ac:dyDescent="0.2">
      <c r="A2726" s="5">
        <v>2665</v>
      </c>
      <c r="B2726" s="138">
        <f ca="1">'Expenditures 15-22'!K247</f>
        <v>0</v>
      </c>
      <c r="C2726" s="2" t="s">
        <v>573</v>
      </c>
      <c r="D2726" s="2" t="str">
        <f t="shared" ca="1"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 ca="1">'Acct Summary 7-8'!C28</f>
        <v>0</v>
      </c>
      <c r="D2757" s="2" t="str">
        <f t="shared" ca="1" si="42"/>
        <v>Error?</v>
      </c>
    </row>
    <row r="2758" spans="1:4" x14ac:dyDescent="0.2">
      <c r="A2758" s="5">
        <v>2697</v>
      </c>
      <c r="B2758" s="138">
        <f ca="1">'Acct Summary 7-8'!D28</f>
        <v>0</v>
      </c>
      <c r="D2758" s="2" t="str">
        <f t="shared" ca="1" si="42"/>
        <v>Error?</v>
      </c>
    </row>
    <row r="2759" spans="1:4" x14ac:dyDescent="0.2">
      <c r="A2759" s="10">
        <v>2698</v>
      </c>
      <c r="D2759" s="2" t="str">
        <f t="shared" si="42"/>
        <v>OK</v>
      </c>
    </row>
    <row r="2760" spans="1:4" x14ac:dyDescent="0.2">
      <c r="A2760" s="5">
        <v>2699</v>
      </c>
      <c r="B2760" s="138">
        <f ca="1">'Acct Summary 7-8'!E28</f>
        <v>0</v>
      </c>
      <c r="D2760" s="2" t="str">
        <f t="shared" ca="1" si="42"/>
        <v>Error?</v>
      </c>
    </row>
    <row r="2761" spans="1:4" x14ac:dyDescent="0.2">
      <c r="A2761" s="10">
        <v>2700</v>
      </c>
      <c r="D2761" s="2" t="str">
        <f t="shared" si="42"/>
        <v>OK</v>
      </c>
    </row>
    <row r="2762" spans="1:4" x14ac:dyDescent="0.2">
      <c r="A2762" s="5">
        <v>2701</v>
      </c>
      <c r="B2762" s="138">
        <f ca="1">'Acct Summary 7-8'!F26</f>
        <v>0</v>
      </c>
      <c r="D2762" s="2" t="str">
        <f t="shared" ca="1" si="42"/>
        <v>Error?</v>
      </c>
    </row>
    <row r="2763" spans="1:4" x14ac:dyDescent="0.2">
      <c r="A2763" s="5">
        <v>2702</v>
      </c>
      <c r="B2763" s="138">
        <f ca="1">'Acct Summary 7-8'!F28</f>
        <v>0</v>
      </c>
      <c r="D2763" s="2" t="str">
        <f t="shared" ca="1"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 ca="1">'Acct Summary 7-8'!G28</f>
        <v>0</v>
      </c>
      <c r="D2766" s="2" t="str">
        <f t="shared" ca="1"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 ca="1">'Acct Summary 7-8'!H28</f>
        <v>0</v>
      </c>
      <c r="D2769" s="2" t="str">
        <f t="shared" ca="1"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 ca="1">'Acct Summary 7-8'!I28</f>
        <v>0</v>
      </c>
      <c r="D2772" s="2" t="str">
        <f t="shared" ca="1"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 ca="1">'Expenditures 15-22'!E84</f>
        <v>34422</v>
      </c>
      <c r="C2789" s="2" t="s">
        <v>573</v>
      </c>
      <c r="D2789" s="2" t="str">
        <f t="shared" ca="1" si="42"/>
        <v>Error?</v>
      </c>
    </row>
    <row r="2790" spans="1:4" x14ac:dyDescent="0.2">
      <c r="A2790" s="5">
        <v>2729</v>
      </c>
      <c r="B2790" s="138">
        <f ca="1">'Expenditures 15-22'!E102</f>
        <v>34422</v>
      </c>
      <c r="C2790" s="2" t="s">
        <v>573</v>
      </c>
      <c r="D2790" s="2" t="str">
        <f t="shared" ca="1" si="42"/>
        <v>Error?</v>
      </c>
    </row>
    <row r="2791" spans="1:4" x14ac:dyDescent="0.2">
      <c r="A2791" s="5">
        <v>2730</v>
      </c>
      <c r="B2791" s="138">
        <f ca="1">'Expenditures 15-22'!H107</f>
        <v>0</v>
      </c>
      <c r="D2791" s="2" t="str">
        <f t="shared" ca="1" si="42"/>
        <v>Error?</v>
      </c>
    </row>
    <row r="2792" spans="1:4" x14ac:dyDescent="0.2">
      <c r="A2792" s="5">
        <v>2731</v>
      </c>
      <c r="B2792" s="138">
        <f ca="1">'Expenditures 15-22'!H108</f>
        <v>0</v>
      </c>
      <c r="D2792" s="2" t="str">
        <f t="shared" ca="1" si="42"/>
        <v>Error?</v>
      </c>
    </row>
    <row r="2793" spans="1:4" x14ac:dyDescent="0.2">
      <c r="A2793" s="10">
        <v>2732</v>
      </c>
      <c r="D2793" s="2" t="str">
        <f t="shared" si="42"/>
        <v>OK</v>
      </c>
    </row>
    <row r="2794" spans="1:4" x14ac:dyDescent="0.2">
      <c r="A2794" s="5">
        <v>2733</v>
      </c>
      <c r="B2794" s="138">
        <f ca="1">'Acct Summary 7-8'!C50</f>
        <v>0</v>
      </c>
      <c r="D2794" s="2" t="str">
        <f t="shared" ca="1" si="42"/>
        <v>Error?</v>
      </c>
    </row>
    <row r="2795" spans="1:4" x14ac:dyDescent="0.2">
      <c r="A2795" s="5">
        <v>2734</v>
      </c>
      <c r="B2795" s="138">
        <f ca="1">'Expenditures 15-22'!K107</f>
        <v>0</v>
      </c>
      <c r="C2795" s="2" t="s">
        <v>573</v>
      </c>
      <c r="D2795" s="2" t="str">
        <f t="shared" ca="1" si="42"/>
        <v>Error?</v>
      </c>
    </row>
    <row r="2796" spans="1:4" x14ac:dyDescent="0.2">
      <c r="A2796" s="5">
        <v>2735</v>
      </c>
      <c r="B2796" s="138">
        <f ca="1">'Expenditures 15-22'!K108</f>
        <v>0</v>
      </c>
      <c r="C2796" s="2" t="s">
        <v>573</v>
      </c>
      <c r="D2796" s="2" t="str">
        <f t="shared" ca="1" si="42"/>
        <v>Error?</v>
      </c>
    </row>
    <row r="2797" spans="1:4" x14ac:dyDescent="0.2">
      <c r="A2797" s="5">
        <v>2736</v>
      </c>
      <c r="B2797" s="138">
        <f ca="1">'Expenditures 15-22'!C130</f>
        <v>19198</v>
      </c>
      <c r="D2797" s="2" t="str">
        <f t="shared" ca="1" si="42"/>
        <v>Error?</v>
      </c>
    </row>
    <row r="2798" spans="1:4" x14ac:dyDescent="0.2">
      <c r="A2798" s="5">
        <v>2737</v>
      </c>
      <c r="B2798" s="138">
        <f ca="1">'Expenditures 15-22'!D130</f>
        <v>0</v>
      </c>
      <c r="D2798" s="2" t="str">
        <f t="shared" ca="1" si="42"/>
        <v>Error?</v>
      </c>
    </row>
    <row r="2799" spans="1:4" x14ac:dyDescent="0.2">
      <c r="A2799" s="5">
        <v>2738</v>
      </c>
      <c r="B2799" s="138">
        <f ca="1">'Expenditures 15-22'!E130</f>
        <v>0</v>
      </c>
      <c r="D2799" s="2" t="str">
        <f t="shared" ca="1" si="42"/>
        <v>Error?</v>
      </c>
    </row>
    <row r="2800" spans="1:4" x14ac:dyDescent="0.2">
      <c r="A2800" s="5">
        <v>2739</v>
      </c>
      <c r="B2800" s="138">
        <f ca="1">'Expenditures 15-22'!F130</f>
        <v>0</v>
      </c>
      <c r="D2800" s="2" t="str">
        <f t="shared" ca="1" si="42"/>
        <v>Error?</v>
      </c>
    </row>
    <row r="2801" spans="1:4" x14ac:dyDescent="0.2">
      <c r="A2801" s="5">
        <v>2740</v>
      </c>
      <c r="B2801" s="138">
        <f ca="1">'Expenditures 15-22'!G130</f>
        <v>0</v>
      </c>
      <c r="D2801" s="2" t="str">
        <f t="shared" ca="1" si="42"/>
        <v>Error?</v>
      </c>
    </row>
    <row r="2802" spans="1:4" x14ac:dyDescent="0.2">
      <c r="A2802" s="5">
        <v>2741</v>
      </c>
      <c r="B2802" s="138">
        <f ca="1">'Expenditures 15-22'!H130</f>
        <v>0</v>
      </c>
      <c r="D2802" s="2" t="str">
        <f t="shared" ca="1"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 ca="1">'Expenditures 15-22'!K130</f>
        <v>19198</v>
      </c>
      <c r="C2805" s="2" t="s">
        <v>573</v>
      </c>
      <c r="D2805" s="2" t="str">
        <f t="shared" ca="1" si="42"/>
        <v>Error?</v>
      </c>
    </row>
    <row r="2806" spans="1:4" x14ac:dyDescent="0.2">
      <c r="A2806" s="5">
        <v>2745</v>
      </c>
      <c r="B2806" s="138">
        <f ca="1">'Acct Summary 7-8'!D50</f>
        <v>0</v>
      </c>
      <c r="D2806" s="2" t="str">
        <f t="shared" ca="1" si="42"/>
        <v>Error?</v>
      </c>
    </row>
    <row r="2807" spans="1:4" x14ac:dyDescent="0.2">
      <c r="A2807" s="5">
        <v>2746</v>
      </c>
      <c r="B2807" s="138">
        <f ca="1">'Expenditures 15-22'!H144</f>
        <v>0</v>
      </c>
      <c r="D2807" s="2" t="str">
        <f t="shared" ca="1" si="42"/>
        <v>Error?</v>
      </c>
    </row>
    <row r="2808" spans="1:4" x14ac:dyDescent="0.2">
      <c r="A2808" s="5">
        <v>2747</v>
      </c>
      <c r="B2808" s="138">
        <f ca="1">'Expenditures 15-22'!H145</f>
        <v>0</v>
      </c>
      <c r="D2808" s="2" t="str">
        <f t="shared" ca="1" si="42"/>
        <v>Error?</v>
      </c>
    </row>
    <row r="2809" spans="1:4" x14ac:dyDescent="0.2">
      <c r="A2809" s="10">
        <v>2748</v>
      </c>
      <c r="C2809" s="2" t="s">
        <v>573</v>
      </c>
      <c r="D2809" s="2" t="str">
        <f t="shared" si="42"/>
        <v>OK</v>
      </c>
    </row>
    <row r="2810" spans="1:4" x14ac:dyDescent="0.2">
      <c r="A2810" s="5">
        <v>2749</v>
      </c>
      <c r="B2810" s="138">
        <f ca="1">'Expenditures 15-22'!K144</f>
        <v>0</v>
      </c>
      <c r="C2810" s="2" t="s">
        <v>573</v>
      </c>
      <c r="D2810" s="2" t="str">
        <f t="shared" ca="1" si="42"/>
        <v>Error?</v>
      </c>
    </row>
    <row r="2811" spans="1:4" x14ac:dyDescent="0.2">
      <c r="A2811" s="5">
        <v>2750</v>
      </c>
      <c r="B2811" s="138">
        <f ca="1">'Expenditures 15-22'!K145</f>
        <v>0</v>
      </c>
      <c r="C2811" s="2" t="s">
        <v>573</v>
      </c>
      <c r="D2811" s="2" t="str">
        <f t="shared" ca="1" si="42"/>
        <v>Error?</v>
      </c>
    </row>
    <row r="2812" spans="1:4" x14ac:dyDescent="0.2">
      <c r="A2812" s="5">
        <v>2751</v>
      </c>
      <c r="B2812" s="138">
        <f ca="1">'Expenditures 15-22'!H165</f>
        <v>0</v>
      </c>
      <c r="D2812" s="2" t="str">
        <f t="shared" ca="1" si="42"/>
        <v>Error?</v>
      </c>
    </row>
    <row r="2813" spans="1:4" x14ac:dyDescent="0.2">
      <c r="A2813" s="5">
        <v>2752</v>
      </c>
      <c r="B2813" s="138">
        <f ca="1">'Expenditures 15-22'!H166</f>
        <v>0</v>
      </c>
      <c r="D2813" s="2" t="str">
        <f t="shared" ca="1"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 ca="1">'Acct Summary 7-8'!E50</f>
        <v>0</v>
      </c>
      <c r="D2817" s="2" t="str">
        <f t="shared" ca="1" si="43"/>
        <v>Error?</v>
      </c>
    </row>
    <row r="2818" spans="1:4" x14ac:dyDescent="0.2">
      <c r="A2818" s="5">
        <v>2757</v>
      </c>
      <c r="B2818" s="138">
        <f ca="1">'Expenditures 15-22'!K165</f>
        <v>0</v>
      </c>
      <c r="C2818" s="2" t="s">
        <v>573</v>
      </c>
      <c r="D2818" s="2" t="str">
        <f t="shared" ca="1" si="43"/>
        <v>Error?</v>
      </c>
    </row>
    <row r="2819" spans="1:4" x14ac:dyDescent="0.2">
      <c r="A2819" s="5">
        <v>2758</v>
      </c>
      <c r="B2819" s="138">
        <f ca="1">'Expenditures 15-22'!K166</f>
        <v>0</v>
      </c>
      <c r="C2819" s="2" t="s">
        <v>573</v>
      </c>
      <c r="D2819" s="2" t="str">
        <f t="shared" ca="1" si="43"/>
        <v>Error?</v>
      </c>
    </row>
    <row r="2820" spans="1:4" x14ac:dyDescent="0.2">
      <c r="A2820" s="5">
        <v>2759</v>
      </c>
      <c r="B2820" s="138">
        <f ca="1">'Expenditures 15-22'!C185</f>
        <v>0</v>
      </c>
      <c r="D2820" s="2" t="str">
        <f t="shared" ca="1" si="43"/>
        <v>Error?</v>
      </c>
    </row>
    <row r="2821" spans="1:4" x14ac:dyDescent="0.2">
      <c r="A2821" s="5">
        <v>2760</v>
      </c>
      <c r="B2821" s="138">
        <f ca="1">'Expenditures 15-22'!D185</f>
        <v>0</v>
      </c>
      <c r="D2821" s="2" t="str">
        <f t="shared" ca="1" si="43"/>
        <v>Error?</v>
      </c>
    </row>
    <row r="2822" spans="1:4" x14ac:dyDescent="0.2">
      <c r="A2822" s="5">
        <v>2761</v>
      </c>
      <c r="B2822" s="138">
        <f ca="1">'Expenditures 15-22'!E185</f>
        <v>0</v>
      </c>
      <c r="D2822" s="2" t="str">
        <f t="shared" ca="1" si="43"/>
        <v>Error?</v>
      </c>
    </row>
    <row r="2823" spans="1:4" x14ac:dyDescent="0.2">
      <c r="A2823" s="5">
        <v>2762</v>
      </c>
      <c r="B2823" s="138">
        <f ca="1">'Expenditures 15-22'!E194</f>
        <v>0</v>
      </c>
      <c r="C2823" s="2" t="s">
        <v>573</v>
      </c>
      <c r="D2823" s="2" t="str">
        <f t="shared" ca="1" si="43"/>
        <v>Error?</v>
      </c>
    </row>
    <row r="2824" spans="1:4" x14ac:dyDescent="0.2">
      <c r="A2824" s="5">
        <v>2763</v>
      </c>
      <c r="B2824" s="138">
        <f ca="1">'Expenditures 15-22'!E195</f>
        <v>0</v>
      </c>
      <c r="D2824" s="2" t="str">
        <f t="shared" ca="1" si="43"/>
        <v>Error?</v>
      </c>
    </row>
    <row r="2825" spans="1:4" x14ac:dyDescent="0.2">
      <c r="A2825" s="5">
        <v>2764</v>
      </c>
      <c r="B2825" s="138">
        <f ca="1">'Expenditures 15-22'!F185</f>
        <v>0</v>
      </c>
      <c r="D2825" s="2" t="str">
        <f t="shared" ca="1" si="43"/>
        <v>Error?</v>
      </c>
    </row>
    <row r="2826" spans="1:4" x14ac:dyDescent="0.2">
      <c r="A2826" s="5">
        <v>2765</v>
      </c>
      <c r="B2826" s="138">
        <f ca="1">'Expenditures 15-22'!G185</f>
        <v>0</v>
      </c>
      <c r="D2826" s="2" t="str">
        <f t="shared" ca="1" si="43"/>
        <v>Error?</v>
      </c>
    </row>
    <row r="2827" spans="1:4" x14ac:dyDescent="0.2">
      <c r="A2827" s="5">
        <v>2766</v>
      </c>
      <c r="B2827" s="138">
        <f ca="1">'Expenditures 15-22'!H185</f>
        <v>0</v>
      </c>
      <c r="D2827" s="2" t="str">
        <f t="shared" ca="1" si="43"/>
        <v>Error?</v>
      </c>
    </row>
    <row r="2828" spans="1:4" x14ac:dyDescent="0.2">
      <c r="A2828" s="5">
        <v>2767</v>
      </c>
      <c r="B2828" s="138">
        <f ca="1">'Expenditures 15-22'!H194</f>
        <v>0</v>
      </c>
      <c r="C2828" s="2" t="s">
        <v>573</v>
      </c>
      <c r="D2828" s="2" t="str">
        <f t="shared" ca="1" si="43"/>
        <v>Error?</v>
      </c>
    </row>
    <row r="2829" spans="1:4" x14ac:dyDescent="0.2">
      <c r="A2829" s="5">
        <v>2768</v>
      </c>
      <c r="B2829" s="138">
        <f ca="1">'Expenditures 15-22'!H195</f>
        <v>0</v>
      </c>
      <c r="D2829" s="2" t="str">
        <f t="shared" ca="1" si="43"/>
        <v>Error?</v>
      </c>
    </row>
    <row r="2830" spans="1:4" x14ac:dyDescent="0.2">
      <c r="A2830" s="5">
        <v>2769</v>
      </c>
      <c r="B2830" s="138">
        <f ca="1">'Expenditures 15-22'!H196</f>
        <v>0</v>
      </c>
      <c r="C2830" s="2" t="s">
        <v>573</v>
      </c>
      <c r="D2830" s="2" t="str">
        <f t="shared" ca="1" si="43"/>
        <v>Error?</v>
      </c>
    </row>
    <row r="2831" spans="1:4" x14ac:dyDescent="0.2">
      <c r="A2831" s="5">
        <v>2770</v>
      </c>
      <c r="B2831" s="138">
        <f ca="1">'Expenditures 15-22'!H201</f>
        <v>0</v>
      </c>
      <c r="D2831" s="2" t="str">
        <f t="shared" ca="1" si="43"/>
        <v>Error?</v>
      </c>
    </row>
    <row r="2832" spans="1:4" x14ac:dyDescent="0.2">
      <c r="A2832" s="5">
        <v>2771</v>
      </c>
      <c r="B2832" s="138">
        <f ca="1">'Expenditures 15-22'!H202</f>
        <v>0</v>
      </c>
      <c r="D2832" s="2" t="str">
        <f t="shared" ca="1"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 ca="1">'Expenditures 15-22'!K185</f>
        <v>0</v>
      </c>
      <c r="C2836" s="2" t="s">
        <v>573</v>
      </c>
      <c r="D2836" s="2" t="str">
        <f t="shared" ca="1" si="43"/>
        <v>Error?</v>
      </c>
    </row>
    <row r="2837" spans="1:5" x14ac:dyDescent="0.2">
      <c r="A2837" s="12">
        <v>2776</v>
      </c>
      <c r="B2837" s="138">
        <f ca="1">'Expenditures 15-22'!K194</f>
        <v>0</v>
      </c>
      <c r="D2837" s="2" t="str">
        <f t="shared" ca="1" si="43"/>
        <v>Error?</v>
      </c>
    </row>
    <row r="2838" spans="1:5" x14ac:dyDescent="0.2">
      <c r="A2838" s="10">
        <v>2777</v>
      </c>
      <c r="D2838" s="2" t="str">
        <f t="shared" si="43"/>
        <v>OK</v>
      </c>
    </row>
    <row r="2839" spans="1:5" x14ac:dyDescent="0.2">
      <c r="A2839" s="5">
        <v>2778</v>
      </c>
      <c r="B2839" s="138">
        <f ca="1">'Expenditures 15-22'!K195</f>
        <v>0</v>
      </c>
      <c r="C2839" s="2" t="s">
        <v>573</v>
      </c>
      <c r="D2839" s="2" t="str">
        <f t="shared" ca="1" si="43"/>
        <v>Error?</v>
      </c>
    </row>
    <row r="2840" spans="1:5" x14ac:dyDescent="0.2">
      <c r="A2840" s="5">
        <v>2779</v>
      </c>
      <c r="B2840" s="138">
        <f ca="1">'Acct Summary 7-8'!F50</f>
        <v>0</v>
      </c>
      <c r="D2840" s="2" t="str">
        <f t="shared" ca="1" si="43"/>
        <v>Error?</v>
      </c>
    </row>
    <row r="2841" spans="1:5" x14ac:dyDescent="0.2">
      <c r="A2841" s="5">
        <v>2780</v>
      </c>
      <c r="B2841" s="138">
        <f ca="1">'Expenditures 15-22'!K201</f>
        <v>0</v>
      </c>
      <c r="C2841" s="2" t="s">
        <v>573</v>
      </c>
      <c r="D2841" s="2" t="str">
        <f t="shared" ca="1" si="43"/>
        <v>Error?</v>
      </c>
    </row>
    <row r="2842" spans="1:5" x14ac:dyDescent="0.2">
      <c r="A2842" s="5">
        <v>2781</v>
      </c>
      <c r="B2842" s="138">
        <f ca="1">'Expenditures 15-22'!K202</f>
        <v>0</v>
      </c>
      <c r="C2842" s="2" t="s">
        <v>573</v>
      </c>
      <c r="D2842" s="2" t="str">
        <f t="shared" ca="1" si="43"/>
        <v>Error?</v>
      </c>
    </row>
    <row r="2843" spans="1:5" x14ac:dyDescent="0.2">
      <c r="A2843" s="5">
        <v>2782</v>
      </c>
      <c r="B2843" s="138">
        <f ca="1">'Expenditures 15-22'!H290</f>
        <v>0</v>
      </c>
      <c r="D2843" s="2" t="str">
        <f t="shared" ca="1" si="43"/>
        <v>Error?</v>
      </c>
    </row>
    <row r="2844" spans="1:5" x14ac:dyDescent="0.2">
      <c r="A2844" s="5">
        <v>2783</v>
      </c>
      <c r="B2844" s="138">
        <f ca="1">'Expenditures 15-22'!H291</f>
        <v>0</v>
      </c>
      <c r="D2844" s="2" t="str">
        <f t="shared" ca="1" si="43"/>
        <v>Error?</v>
      </c>
    </row>
    <row r="2845" spans="1:5" x14ac:dyDescent="0.2">
      <c r="A2845" s="5">
        <v>2784</v>
      </c>
      <c r="B2845" s="138">
        <f ca="1">'Expenditures 15-22'!K290</f>
        <v>0</v>
      </c>
      <c r="C2845" s="2" t="s">
        <v>573</v>
      </c>
      <c r="D2845" s="2" t="str">
        <f t="shared" ca="1" si="43"/>
        <v>Error?</v>
      </c>
    </row>
    <row r="2846" spans="1:5" x14ac:dyDescent="0.2">
      <c r="A2846" s="5">
        <v>2785</v>
      </c>
      <c r="B2846" s="138">
        <f ca="1">'Expenditures 15-22'!K291</f>
        <v>0</v>
      </c>
      <c r="C2846" s="2" t="s">
        <v>573</v>
      </c>
      <c r="D2846" s="2" t="str">
        <f t="shared" ca="1" si="43"/>
        <v>Error?</v>
      </c>
    </row>
    <row r="2847" spans="1:5" x14ac:dyDescent="0.2">
      <c r="A2847" s="10">
        <v>2786</v>
      </c>
      <c r="D2847" s="2" t="str">
        <f t="shared" si="43"/>
        <v>OK</v>
      </c>
    </row>
    <row r="2848" spans="1:5" x14ac:dyDescent="0.2">
      <c r="A2848" s="5">
        <v>2787</v>
      </c>
      <c r="B2848" s="138">
        <f ca="1">'Acct Summary 7-8'!H50</f>
        <v>0</v>
      </c>
      <c r="D2848" s="2" t="str">
        <f t="shared" ca="1"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 ca="1">'Assets-Liab 5-6'!I6</f>
        <v>0</v>
      </c>
      <c r="D2880" s="2" t="str">
        <f t="shared" ca="1"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 ca="1">'Assets-Liab 5-6'!I5</f>
        <v>41266</v>
      </c>
      <c r="D2885" s="2" t="str">
        <f t="shared" ca="1" si="44"/>
        <v>Error?</v>
      </c>
    </row>
    <row r="2886" spans="1:4" x14ac:dyDescent="0.2">
      <c r="A2886" s="10">
        <v>2825</v>
      </c>
      <c r="D2886" s="2" t="str">
        <f t="shared" si="44"/>
        <v>OK</v>
      </c>
    </row>
    <row r="2887" spans="1:4" x14ac:dyDescent="0.2">
      <c r="A2887" s="5">
        <v>2826</v>
      </c>
      <c r="B2887" s="138">
        <f ca="1">'Assets-Liab 5-6'!I12</f>
        <v>0</v>
      </c>
      <c r="D2887" s="2" t="str">
        <f t="shared" ca="1" si="44"/>
        <v>Error?</v>
      </c>
    </row>
    <row r="2888" spans="1:4" x14ac:dyDescent="0.2">
      <c r="A2888" s="5">
        <v>2827</v>
      </c>
      <c r="B2888" s="138">
        <f ca="1">'Assets-Liab 5-6'!I13</f>
        <v>141317</v>
      </c>
      <c r="C2888" s="2" t="s">
        <v>573</v>
      </c>
      <c r="D2888" s="2" t="str">
        <f t="shared" ca="1"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16283</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 ca="1">'Assets-Liab 5-6'!I32</f>
        <v>0</v>
      </c>
      <c r="D2908" s="2" t="str">
        <f t="shared" ca="1" si="44"/>
        <v>Error?</v>
      </c>
    </row>
    <row r="2909" spans="1:4" x14ac:dyDescent="0.2">
      <c r="A2909" s="10">
        <v>2848</v>
      </c>
      <c r="D2909" s="2" t="str">
        <f t="shared" si="44"/>
        <v>OK</v>
      </c>
    </row>
    <row r="2910" spans="1:4" x14ac:dyDescent="0.2">
      <c r="A2910" s="5">
        <v>2849</v>
      </c>
      <c r="B2910" s="138">
        <f ca="1">'Assets-Liab 5-6'!I34</f>
        <v>0</v>
      </c>
      <c r="C2910" s="2" t="s">
        <v>573</v>
      </c>
      <c r="D2910" s="2" t="str">
        <f t="shared" ca="1" si="44"/>
        <v>Error?</v>
      </c>
    </row>
    <row r="2911" spans="1:4" x14ac:dyDescent="0.2">
      <c r="A2911" s="5">
        <v>2850</v>
      </c>
      <c r="B2911" s="138">
        <f>'Assets-Liab 5-6'!I38</f>
        <v>0</v>
      </c>
      <c r="D2911" s="2" t="str">
        <f t="shared" si="44"/>
        <v>Error?</v>
      </c>
    </row>
    <row r="2912" spans="1:4" x14ac:dyDescent="0.2">
      <c r="A2912" s="5">
        <v>2851</v>
      </c>
      <c r="B2912" s="138">
        <f>'Assets-Liab 5-6'!I39</f>
        <v>141317</v>
      </c>
      <c r="D2912" s="2" t="str">
        <f t="shared" si="44"/>
        <v>Error?</v>
      </c>
    </row>
    <row r="2913" spans="1:4" x14ac:dyDescent="0.2">
      <c r="A2913" s="5">
        <v>2852</v>
      </c>
      <c r="B2913" s="138">
        <f ca="1">'Assets-Liab 5-6'!I41</f>
        <v>141317</v>
      </c>
      <c r="C2913" s="2" t="s">
        <v>573</v>
      </c>
      <c r="D2913" s="2" t="str">
        <f t="shared" ca="1" si="44"/>
        <v>Error?</v>
      </c>
    </row>
    <row r="2914" spans="1:4" x14ac:dyDescent="0.2">
      <c r="A2914" s="5">
        <v>2853</v>
      </c>
      <c r="B2914" s="138">
        <f>'Assets-Liab 5-6'!L33</f>
        <v>16283</v>
      </c>
      <c r="D2914" s="2" t="str">
        <f t="shared" si="44"/>
        <v>Error?</v>
      </c>
    </row>
    <row r="2915" spans="1:4" x14ac:dyDescent="0.2">
      <c r="A2915" s="10">
        <v>2854</v>
      </c>
      <c r="D2915" s="2" t="str">
        <f t="shared" si="44"/>
        <v>OK</v>
      </c>
    </row>
    <row r="2916" spans="1:4" x14ac:dyDescent="0.2">
      <c r="A2916" s="5">
        <v>2855</v>
      </c>
      <c r="B2916" s="138">
        <f>'Assets-Liab 5-6'!L34</f>
        <v>16283</v>
      </c>
      <c r="C2916" s="2" t="s">
        <v>573</v>
      </c>
      <c r="D2916" s="2" t="str">
        <f t="shared" si="44"/>
        <v>Error?</v>
      </c>
    </row>
    <row r="2917" spans="1:4" x14ac:dyDescent="0.2">
      <c r="A2917" s="5">
        <v>2856</v>
      </c>
      <c r="B2917" s="138">
        <f>'Assets-Liab 5-6'!L41</f>
        <v>16283</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 ca="1">'Expenditures 15-22'!E101</f>
        <v>0</v>
      </c>
      <c r="D2947" s="2" t="str">
        <f t="shared" ca="1" si="45"/>
        <v>Error?</v>
      </c>
    </row>
    <row r="2948" spans="1:4" x14ac:dyDescent="0.2">
      <c r="A2948" s="10">
        <v>2887</v>
      </c>
      <c r="D2948" s="2" t="str">
        <f t="shared" si="45"/>
        <v>OK</v>
      </c>
    </row>
    <row r="2949" spans="1:4" x14ac:dyDescent="0.2">
      <c r="A2949" s="5">
        <v>2888</v>
      </c>
      <c r="B2949" s="138">
        <f ca="1">'Expenditures 15-22'!E78</f>
        <v>0</v>
      </c>
      <c r="D2949" s="2" t="str">
        <f t="shared" ca="1" si="45"/>
        <v>Error?</v>
      </c>
    </row>
    <row r="2950" spans="1:4" x14ac:dyDescent="0.2">
      <c r="A2950" s="5">
        <v>2889</v>
      </c>
      <c r="B2950" s="138">
        <f ca="1">'Expenditures 15-22'!E79</f>
        <v>34422</v>
      </c>
      <c r="D2950" s="2" t="str">
        <f t="shared" ca="1" si="45"/>
        <v>Error?</v>
      </c>
    </row>
    <row r="2951" spans="1:4" x14ac:dyDescent="0.2">
      <c r="A2951" s="5">
        <v>2890</v>
      </c>
      <c r="B2951" s="138">
        <f ca="1">'Expenditures 15-22'!E80</f>
        <v>0</v>
      </c>
      <c r="D2951" s="2" t="str">
        <f t="shared" ca="1" si="45"/>
        <v>Error?</v>
      </c>
    </row>
    <row r="2952" spans="1:4" x14ac:dyDescent="0.2">
      <c r="A2952" s="5">
        <v>2891</v>
      </c>
      <c r="B2952" s="138">
        <f ca="1">'Expenditures 15-22'!E81</f>
        <v>0</v>
      </c>
      <c r="D2952" s="2" t="str">
        <f t="shared" ca="1" si="45"/>
        <v>Error?</v>
      </c>
    </row>
    <row r="2953" spans="1:4" x14ac:dyDescent="0.2">
      <c r="A2953" s="5">
        <v>2892</v>
      </c>
      <c r="B2953" s="138">
        <f ca="1">'Expenditures 15-22'!E82</f>
        <v>0</v>
      </c>
      <c r="D2953" s="2" t="str">
        <f t="shared" ca="1" si="45"/>
        <v>Error?</v>
      </c>
    </row>
    <row r="2954" spans="1:4" x14ac:dyDescent="0.2">
      <c r="A2954" s="5">
        <v>2893</v>
      </c>
      <c r="B2954" s="138">
        <f ca="1">'Expenditures 15-22'!E83</f>
        <v>0</v>
      </c>
      <c r="D2954" s="2" t="str">
        <f t="shared" ca="1" si="45"/>
        <v>Error?</v>
      </c>
    </row>
    <row r="2955" spans="1:4" x14ac:dyDescent="0.2">
      <c r="A2955" s="5">
        <v>2894</v>
      </c>
      <c r="B2955" s="138">
        <f ca="1">'Expenditures 15-22'!H78</f>
        <v>0</v>
      </c>
      <c r="D2955" s="2" t="str">
        <f t="shared" ca="1" si="45"/>
        <v>Error?</v>
      </c>
    </row>
    <row r="2956" spans="1:4" x14ac:dyDescent="0.2">
      <c r="A2956" s="5">
        <v>2895</v>
      </c>
      <c r="B2956" s="138">
        <f ca="1">'Expenditures 15-22'!H79</f>
        <v>0</v>
      </c>
      <c r="D2956" s="2" t="str">
        <f t="shared" ca="1" si="45"/>
        <v>Error?</v>
      </c>
    </row>
    <row r="2957" spans="1:4" x14ac:dyDescent="0.2">
      <c r="A2957" s="5">
        <v>2896</v>
      </c>
      <c r="B2957" s="138">
        <f ca="1">'Expenditures 15-22'!H80</f>
        <v>0</v>
      </c>
      <c r="D2957" s="2" t="str">
        <f t="shared" ca="1" si="45"/>
        <v>Error?</v>
      </c>
    </row>
    <row r="2958" spans="1:4" x14ac:dyDescent="0.2">
      <c r="A2958" s="5">
        <v>2897</v>
      </c>
      <c r="B2958" s="138">
        <f ca="1">'Expenditures 15-22'!H81</f>
        <v>0</v>
      </c>
      <c r="D2958" s="2" t="str">
        <f t="shared" ca="1" si="45"/>
        <v>Error?</v>
      </c>
    </row>
    <row r="2959" spans="1:4" x14ac:dyDescent="0.2">
      <c r="A2959" s="5">
        <v>2898</v>
      </c>
      <c r="B2959" s="138">
        <f ca="1">'Expenditures 15-22'!H82</f>
        <v>0</v>
      </c>
      <c r="D2959" s="2" t="str">
        <f t="shared" ca="1" si="45"/>
        <v>Error?</v>
      </c>
    </row>
    <row r="2960" spans="1:4" x14ac:dyDescent="0.2">
      <c r="A2960" s="5">
        <v>2899</v>
      </c>
      <c r="B2960" s="138">
        <f ca="1">'Expenditures 15-22'!H83</f>
        <v>0</v>
      </c>
      <c r="D2960" s="2" t="str">
        <f t="shared" ca="1"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 ca="1">'Expenditures 15-22'!K78</f>
        <v>0</v>
      </c>
      <c r="C2973" s="2" t="s">
        <v>573</v>
      </c>
      <c r="D2973" s="2" t="str">
        <f t="shared" ca="1" si="45"/>
        <v>Error?</v>
      </c>
    </row>
    <row r="2974" spans="1:4" x14ac:dyDescent="0.2">
      <c r="A2974" s="5">
        <v>2913</v>
      </c>
      <c r="B2974" s="138">
        <f ca="1">'Expenditures 15-22'!K79</f>
        <v>34422</v>
      </c>
      <c r="C2974" s="2" t="s">
        <v>573</v>
      </c>
      <c r="D2974" s="2" t="str">
        <f t="shared" ca="1" si="45"/>
        <v>Error?</v>
      </c>
    </row>
    <row r="2975" spans="1:4" x14ac:dyDescent="0.2">
      <c r="A2975" s="5">
        <v>2914</v>
      </c>
      <c r="B2975" s="138">
        <f ca="1">'Expenditures 15-22'!K80</f>
        <v>0</v>
      </c>
      <c r="C2975" s="2" t="s">
        <v>573</v>
      </c>
      <c r="D2975" s="2" t="str">
        <f t="shared" ca="1" si="45"/>
        <v>Error?</v>
      </c>
    </row>
    <row r="2976" spans="1:4" x14ac:dyDescent="0.2">
      <c r="A2976" s="5">
        <v>2915</v>
      </c>
      <c r="B2976" s="138">
        <f ca="1">'Expenditures 15-22'!K81</f>
        <v>0</v>
      </c>
      <c r="C2976" s="2" t="s">
        <v>573</v>
      </c>
      <c r="D2976" s="2" t="str">
        <f t="shared" ca="1" si="45"/>
        <v>Error?</v>
      </c>
    </row>
    <row r="2977" spans="1:4" x14ac:dyDescent="0.2">
      <c r="A2977" s="5">
        <v>2916</v>
      </c>
      <c r="B2977" s="138">
        <f ca="1">'Expenditures 15-22'!K82</f>
        <v>0</v>
      </c>
      <c r="C2977" s="2" t="s">
        <v>573</v>
      </c>
      <c r="D2977" s="2" t="str">
        <f t="shared" ca="1" si="45"/>
        <v>Error?</v>
      </c>
    </row>
    <row r="2978" spans="1:4" x14ac:dyDescent="0.2">
      <c r="A2978" s="5">
        <v>2917</v>
      </c>
      <c r="B2978" s="138">
        <f ca="1">'Expenditures 15-22'!K83</f>
        <v>0</v>
      </c>
      <c r="C2978" s="2" t="s">
        <v>573</v>
      </c>
      <c r="D2978" s="2" t="str">
        <f t="shared" ca="1" si="45"/>
        <v>Error?</v>
      </c>
    </row>
    <row r="2979" spans="1:4" x14ac:dyDescent="0.2">
      <c r="A2979" s="5">
        <v>2918</v>
      </c>
      <c r="B2979" s="138">
        <f ca="1">'Expenditures 15-22'!H134</f>
        <v>0</v>
      </c>
      <c r="D2979" s="2" t="str">
        <f t="shared" ca="1" si="45"/>
        <v>Error?</v>
      </c>
    </row>
    <row r="2980" spans="1:4" x14ac:dyDescent="0.2">
      <c r="A2980" s="5">
        <v>2919</v>
      </c>
      <c r="B2980" s="138">
        <f ca="1">'Expenditures 15-22'!H135</f>
        <v>0</v>
      </c>
      <c r="D2980" s="2" t="str">
        <f t="shared" ca="1" si="45"/>
        <v>Error?</v>
      </c>
    </row>
    <row r="2981" spans="1:4" x14ac:dyDescent="0.2">
      <c r="A2981" s="5">
        <v>2920</v>
      </c>
      <c r="B2981" s="138">
        <f ca="1">'Expenditures 15-22'!H136</f>
        <v>0</v>
      </c>
      <c r="D2981" s="2" t="str">
        <f t="shared" ca="1"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 ca="1">'Expenditures 15-22'!K134</f>
        <v>0</v>
      </c>
      <c r="C2986" s="2" t="s">
        <v>573</v>
      </c>
      <c r="D2986" s="2" t="str">
        <f t="shared" ca="1" si="45"/>
        <v>Error?</v>
      </c>
    </row>
    <row r="2987" spans="1:4" x14ac:dyDescent="0.2">
      <c r="A2987" s="5">
        <v>2926</v>
      </c>
      <c r="B2987" s="138">
        <f ca="1">'Expenditures 15-22'!K135</f>
        <v>0</v>
      </c>
      <c r="C2987" s="2" t="s">
        <v>573</v>
      </c>
      <c r="D2987" s="2" t="str">
        <f t="shared" ca="1" si="45"/>
        <v>Error?</v>
      </c>
    </row>
    <row r="2988" spans="1:4" x14ac:dyDescent="0.2">
      <c r="A2988" s="5">
        <v>2927</v>
      </c>
      <c r="B2988" s="138">
        <f ca="1">'Expenditures 15-22'!K136</f>
        <v>0</v>
      </c>
      <c r="C2988" s="2" t="s">
        <v>573</v>
      </c>
      <c r="D2988" s="2" t="str">
        <f t="shared" ca="1" si="45"/>
        <v>Error?</v>
      </c>
    </row>
    <row r="2989" spans="1:4" x14ac:dyDescent="0.2">
      <c r="A2989" s="5">
        <v>2928</v>
      </c>
      <c r="B2989" s="138">
        <f ca="1">'Expenditures 15-22'!E188</f>
        <v>0</v>
      </c>
      <c r="D2989" s="2" t="str">
        <f t="shared" ca="1" si="45"/>
        <v>Error?</v>
      </c>
    </row>
    <row r="2990" spans="1:4" x14ac:dyDescent="0.2">
      <c r="A2990" s="5">
        <v>2929</v>
      </c>
      <c r="B2990" s="138">
        <f ca="1">'Expenditures 15-22'!E189</f>
        <v>0</v>
      </c>
      <c r="D2990" s="2" t="str">
        <f t="shared" ca="1" si="45"/>
        <v>Error?</v>
      </c>
    </row>
    <row r="2991" spans="1:4" x14ac:dyDescent="0.2">
      <c r="A2991" s="5">
        <v>2930</v>
      </c>
      <c r="B2991" s="138">
        <f ca="1">'Expenditures 15-22'!E190</f>
        <v>0</v>
      </c>
      <c r="D2991" s="2" t="str">
        <f t="shared" ca="1" si="45"/>
        <v>Error?</v>
      </c>
    </row>
    <row r="2992" spans="1:4" x14ac:dyDescent="0.2">
      <c r="A2992" s="5">
        <v>2931</v>
      </c>
      <c r="B2992" s="138">
        <f ca="1">'Expenditures 15-22'!E191</f>
        <v>0</v>
      </c>
      <c r="D2992" s="2" t="str">
        <f t="shared" ca="1" si="45"/>
        <v>Error?</v>
      </c>
    </row>
    <row r="2993" spans="1:4" x14ac:dyDescent="0.2">
      <c r="A2993" s="5">
        <v>2932</v>
      </c>
      <c r="B2993" s="138">
        <f ca="1">'Expenditures 15-22'!E192</f>
        <v>0</v>
      </c>
      <c r="D2993" s="2" t="str">
        <f t="shared" ca="1" si="45"/>
        <v>Error?</v>
      </c>
    </row>
    <row r="2994" spans="1:4" x14ac:dyDescent="0.2">
      <c r="A2994" s="5">
        <v>2933</v>
      </c>
      <c r="B2994" s="138">
        <f ca="1">'Expenditures 15-22'!E193</f>
        <v>0</v>
      </c>
      <c r="D2994" s="2" t="str">
        <f t="shared" ca="1" si="45"/>
        <v>Error?</v>
      </c>
    </row>
    <row r="2995" spans="1:4" x14ac:dyDescent="0.2">
      <c r="A2995" s="5">
        <v>2934</v>
      </c>
      <c r="B2995" s="138">
        <f ca="1">'Expenditures 15-22'!H188</f>
        <v>0</v>
      </c>
      <c r="D2995" s="2" t="str">
        <f t="shared" ca="1" si="45"/>
        <v>Error?</v>
      </c>
    </row>
    <row r="2996" spans="1:4" x14ac:dyDescent="0.2">
      <c r="A2996" s="5">
        <v>2935</v>
      </c>
      <c r="B2996" s="138">
        <f ca="1">'Expenditures 15-22'!H189</f>
        <v>0</v>
      </c>
      <c r="D2996" s="2" t="str">
        <f t="shared" ca="1" si="45"/>
        <v>Error?</v>
      </c>
    </row>
    <row r="2997" spans="1:4" x14ac:dyDescent="0.2">
      <c r="A2997" s="5">
        <v>2936</v>
      </c>
      <c r="B2997" s="138">
        <f ca="1">'Expenditures 15-22'!H190</f>
        <v>0</v>
      </c>
      <c r="D2997" s="2" t="str">
        <f t="shared" ca="1" si="45"/>
        <v>Error?</v>
      </c>
    </row>
    <row r="2998" spans="1:4" x14ac:dyDescent="0.2">
      <c r="A2998" s="5">
        <v>2937</v>
      </c>
      <c r="B2998" s="138">
        <f ca="1">'Expenditures 15-22'!H191</f>
        <v>0</v>
      </c>
      <c r="D2998" s="2" t="str">
        <f t="shared" ca="1" si="45"/>
        <v>Error?</v>
      </c>
    </row>
    <row r="2999" spans="1:4" x14ac:dyDescent="0.2">
      <c r="A2999" s="5">
        <v>2938</v>
      </c>
      <c r="B2999" s="138">
        <f ca="1">'Expenditures 15-22'!H192</f>
        <v>0</v>
      </c>
      <c r="D2999" s="2" t="str">
        <f t="shared" ca="1" si="45"/>
        <v>Error?</v>
      </c>
    </row>
    <row r="3000" spans="1:4" x14ac:dyDescent="0.2">
      <c r="A3000" s="5">
        <v>2939</v>
      </c>
      <c r="B3000" s="138">
        <f ca="1">'Expenditures 15-22'!H193</f>
        <v>0</v>
      </c>
      <c r="D3000" s="2" t="str">
        <f t="shared" ca="1"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 ca="1">'Expenditures 15-22'!K188</f>
        <v>0</v>
      </c>
      <c r="C3007" s="2" t="s">
        <v>573</v>
      </c>
      <c r="D3007" s="2" t="str">
        <f t="shared" ref="D3007:D3070" ca="1" si="46">IF(ISBLANK(B3007),"OK",IF(A3007-B3007=0,"OK","Error?"))</f>
        <v>Error?</v>
      </c>
    </row>
    <row r="3008" spans="1:4" x14ac:dyDescent="0.2">
      <c r="A3008" s="5">
        <v>2947</v>
      </c>
      <c r="B3008" s="138">
        <f ca="1">'Expenditures 15-22'!K189</f>
        <v>0</v>
      </c>
      <c r="C3008" s="2" t="s">
        <v>573</v>
      </c>
      <c r="D3008" s="2" t="str">
        <f t="shared" ca="1" si="46"/>
        <v>Error?</v>
      </c>
    </row>
    <row r="3009" spans="1:4" x14ac:dyDescent="0.2">
      <c r="A3009" s="5">
        <v>2948</v>
      </c>
      <c r="B3009" s="138">
        <f ca="1">'Expenditures 15-22'!K190</f>
        <v>0</v>
      </c>
      <c r="C3009" s="2" t="s">
        <v>573</v>
      </c>
      <c r="D3009" s="2" t="str">
        <f t="shared" ca="1" si="46"/>
        <v>Error?</v>
      </c>
    </row>
    <row r="3010" spans="1:4" x14ac:dyDescent="0.2">
      <c r="A3010" s="5">
        <v>2949</v>
      </c>
      <c r="B3010" s="138">
        <f ca="1">'Expenditures 15-22'!K191</f>
        <v>0</v>
      </c>
      <c r="C3010" s="2" t="s">
        <v>573</v>
      </c>
      <c r="D3010" s="2" t="str">
        <f t="shared" ca="1" si="46"/>
        <v>Error?</v>
      </c>
    </row>
    <row r="3011" spans="1:4" x14ac:dyDescent="0.2">
      <c r="A3011" s="5">
        <v>2950</v>
      </c>
      <c r="B3011" s="138">
        <f ca="1">'Expenditures 15-22'!K192</f>
        <v>0</v>
      </c>
      <c r="C3011" s="2" t="s">
        <v>573</v>
      </c>
      <c r="D3011" s="2" t="str">
        <f t="shared" ca="1" si="46"/>
        <v>Error?</v>
      </c>
    </row>
    <row r="3012" spans="1:4" x14ac:dyDescent="0.2">
      <c r="A3012" s="5">
        <v>2951</v>
      </c>
      <c r="B3012" s="138">
        <f ca="1">'Expenditures 15-22'!K193</f>
        <v>0</v>
      </c>
      <c r="C3012" s="2" t="s">
        <v>573</v>
      </c>
      <c r="D3012" s="2" t="str">
        <f t="shared" ca="1"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 ca="1">'Expenditures 15-22'!C10</f>
        <v>24586</v>
      </c>
      <c r="D3055" s="2" t="str">
        <f t="shared" ca="1" si="46"/>
        <v>Error?</v>
      </c>
    </row>
    <row r="3056" spans="1:4" x14ac:dyDescent="0.2">
      <c r="A3056" s="5">
        <v>2995</v>
      </c>
      <c r="B3056" s="138">
        <f ca="1">'Expenditures 15-22'!D10</f>
        <v>575</v>
      </c>
      <c r="D3056" s="2" t="str">
        <f t="shared" ca="1" si="46"/>
        <v>Error?</v>
      </c>
    </row>
    <row r="3057" spans="1:4" x14ac:dyDescent="0.2">
      <c r="A3057" s="5">
        <v>2996</v>
      </c>
      <c r="B3057" s="138">
        <f ca="1">'Expenditures 15-22'!E10</f>
        <v>0</v>
      </c>
      <c r="D3057" s="2" t="str">
        <f t="shared" ca="1" si="46"/>
        <v>Error?</v>
      </c>
    </row>
    <row r="3058" spans="1:4" x14ac:dyDescent="0.2">
      <c r="A3058" s="5">
        <v>2997</v>
      </c>
      <c r="B3058" s="138">
        <f ca="1">'Expenditures 15-22'!F10</f>
        <v>14105</v>
      </c>
      <c r="D3058" s="2" t="str">
        <f t="shared" ca="1" si="46"/>
        <v>Error?</v>
      </c>
    </row>
    <row r="3059" spans="1:4" x14ac:dyDescent="0.2">
      <c r="A3059" s="5">
        <v>2998</v>
      </c>
      <c r="B3059" s="138">
        <f ca="1">'Expenditures 15-22'!G10</f>
        <v>1800</v>
      </c>
      <c r="D3059" s="2" t="str">
        <f t="shared" ca="1" si="46"/>
        <v>Error?</v>
      </c>
    </row>
    <row r="3060" spans="1:4" x14ac:dyDescent="0.2">
      <c r="A3060" s="5">
        <v>2999</v>
      </c>
      <c r="B3060" s="138">
        <f ca="1">'Expenditures 15-22'!H10</f>
        <v>0</v>
      </c>
      <c r="D3060" s="2" t="str">
        <f t="shared" ca="1" si="46"/>
        <v>Error?</v>
      </c>
    </row>
    <row r="3061" spans="1:4" x14ac:dyDescent="0.2">
      <c r="A3061" s="10">
        <v>3000</v>
      </c>
      <c r="D3061" s="2" t="str">
        <f t="shared" si="46"/>
        <v>OK</v>
      </c>
    </row>
    <row r="3062" spans="1:4" x14ac:dyDescent="0.2">
      <c r="A3062" s="5">
        <v>3001</v>
      </c>
      <c r="B3062" s="138">
        <f ca="1">'Expenditures 15-22'!K10</f>
        <v>41066</v>
      </c>
      <c r="C3062" s="2" t="s">
        <v>573</v>
      </c>
      <c r="D3062" s="2" t="str">
        <f t="shared" ca="1" si="46"/>
        <v>Error?</v>
      </c>
    </row>
    <row r="3063" spans="1:4" x14ac:dyDescent="0.2">
      <c r="A3063" s="10">
        <v>3002</v>
      </c>
      <c r="D3063" s="2" t="str">
        <f t="shared" si="46"/>
        <v>OK</v>
      </c>
    </row>
    <row r="3064" spans="1:4" x14ac:dyDescent="0.2">
      <c r="A3064" s="5">
        <v>3003</v>
      </c>
      <c r="B3064" s="138">
        <f ca="1">'Expenditures 15-22'!D219</f>
        <v>4485</v>
      </c>
      <c r="D3064" s="2" t="str">
        <f t="shared" ca="1" si="46"/>
        <v>Error?</v>
      </c>
    </row>
    <row r="3065" spans="1:4" x14ac:dyDescent="0.2">
      <c r="A3065" s="5">
        <v>3004</v>
      </c>
      <c r="B3065" s="138">
        <f ca="1">'Expenditures 15-22'!K219</f>
        <v>4485</v>
      </c>
      <c r="C3065" s="2" t="s">
        <v>573</v>
      </c>
      <c r="D3065" s="2" t="str">
        <f t="shared" ca="1"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 ca="1">'Acct Summary 7-8'!D33</f>
        <v>0</v>
      </c>
      <c r="D3078" s="2" t="str">
        <f t="shared" ca="1" si="47"/>
        <v>Error?</v>
      </c>
    </row>
    <row r="3079" spans="1:4" x14ac:dyDescent="0.2">
      <c r="A3079" s="5">
        <v>3018</v>
      </c>
      <c r="B3079" s="138">
        <f ca="1">'Acct Summary 7-8'!D34</f>
        <v>0</v>
      </c>
      <c r="D3079" s="2" t="str">
        <f t="shared" ca="1" si="47"/>
        <v>Error?</v>
      </c>
    </row>
    <row r="3080" spans="1:4" x14ac:dyDescent="0.2">
      <c r="A3080" s="5">
        <v>3019</v>
      </c>
      <c r="B3080" s="138">
        <f ca="1">'Acct Summary 7-8'!D35</f>
        <v>0</v>
      </c>
      <c r="D3080" s="2" t="str">
        <f t="shared" ca="1" si="47"/>
        <v>Error?</v>
      </c>
    </row>
    <row r="3081" spans="1:4" x14ac:dyDescent="0.2">
      <c r="A3081" s="10">
        <v>3020</v>
      </c>
      <c r="D3081" s="2" t="str">
        <f t="shared" si="47"/>
        <v>OK</v>
      </c>
    </row>
    <row r="3082" spans="1:4" x14ac:dyDescent="0.2">
      <c r="A3082" s="5">
        <v>3021</v>
      </c>
      <c r="B3082" s="138">
        <f ca="1">'Acct Summary 7-8'!E33</f>
        <v>0</v>
      </c>
      <c r="D3082" s="2" t="str">
        <f t="shared" ca="1" si="47"/>
        <v>Error?</v>
      </c>
    </row>
    <row r="3083" spans="1:4" x14ac:dyDescent="0.2">
      <c r="A3083" s="5">
        <v>3022</v>
      </c>
      <c r="B3083" s="138">
        <f ca="1">'Acct Summary 7-8'!F33</f>
        <v>0</v>
      </c>
      <c r="D3083" s="2" t="str">
        <f t="shared" ca="1" si="47"/>
        <v>Error?</v>
      </c>
    </row>
    <row r="3084" spans="1:4" x14ac:dyDescent="0.2">
      <c r="A3084" s="5">
        <v>3023</v>
      </c>
      <c r="B3084" s="138">
        <f ca="1">'Acct Summary 7-8'!F34</f>
        <v>0</v>
      </c>
      <c r="D3084" s="2" t="str">
        <f t="shared" ca="1" si="47"/>
        <v>Error?</v>
      </c>
    </row>
    <row r="3085" spans="1:4" x14ac:dyDescent="0.2">
      <c r="A3085" s="5">
        <v>3024</v>
      </c>
      <c r="B3085" s="138">
        <f ca="1">'Acct Summary 7-8'!F35</f>
        <v>0</v>
      </c>
      <c r="D3085" s="2" t="str">
        <f t="shared" ca="1"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 ca="1">'Acct Summary 7-8'!D29</f>
        <v>0</v>
      </c>
      <c r="D3161" s="2" t="str">
        <f t="shared" ca="1"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 ca="1">'Acct Summary 7-8'!H51</f>
        <v>0</v>
      </c>
      <c r="C3170" s="2" t="s">
        <v>573</v>
      </c>
      <c r="D3170" s="2" t="str">
        <f t="shared" ca="1"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 ca="1">'Acct Summary 7-8'!I4</f>
        <v>11495</v>
      </c>
      <c r="C3225" s="2" t="s">
        <v>573</v>
      </c>
      <c r="D3225" s="2" t="str">
        <f t="shared" ca="1" si="49"/>
        <v>Error?</v>
      </c>
    </row>
    <row r="3226" spans="1:4" x14ac:dyDescent="0.2">
      <c r="A3226" s="5">
        <v>3165</v>
      </c>
      <c r="B3226" s="138">
        <f ca="1">'Acct Summary 7-8'!I8</f>
        <v>11495</v>
      </c>
      <c r="C3226" s="2" t="s">
        <v>573</v>
      </c>
      <c r="D3226" s="2" t="str">
        <f t="shared" ca="1" si="49"/>
        <v>Error?</v>
      </c>
    </row>
    <row r="3227" spans="1:4" x14ac:dyDescent="0.2">
      <c r="A3227" s="5">
        <v>3166</v>
      </c>
      <c r="B3227" s="138">
        <f ca="1">'Acct Summary 7-8'!I20</f>
        <v>11495</v>
      </c>
      <c r="C3227" s="2" t="s">
        <v>573</v>
      </c>
      <c r="D3227" s="2" t="str">
        <f t="shared" ca="1" si="49"/>
        <v>Error?</v>
      </c>
    </row>
    <row r="3228" spans="1:4" x14ac:dyDescent="0.2">
      <c r="A3228" s="5">
        <v>3167</v>
      </c>
      <c r="B3228" s="138">
        <f ca="1">'Acct Summary 7-8'!C43</f>
        <v>0</v>
      </c>
      <c r="D3228" s="2" t="str">
        <f t="shared" ca="1" si="49"/>
        <v>Error?</v>
      </c>
    </row>
    <row r="3229" spans="1:4" x14ac:dyDescent="0.2">
      <c r="A3229" s="5">
        <v>3168</v>
      </c>
      <c r="B3229" s="138">
        <f ca="1">'Acct Summary 7-8'!C44</f>
        <v>0</v>
      </c>
      <c r="C3229" s="2" t="s">
        <v>573</v>
      </c>
      <c r="D3229" s="2" t="str">
        <f t="shared" ca="1" si="49"/>
        <v>Error?</v>
      </c>
    </row>
    <row r="3230" spans="1:4" x14ac:dyDescent="0.2">
      <c r="A3230" s="5">
        <v>3169</v>
      </c>
      <c r="B3230" s="138">
        <f ca="1">'Acct Summary 7-8'!C75</f>
        <v>0</v>
      </c>
      <c r="D3230" s="2" t="str">
        <f t="shared" ca="1" si="49"/>
        <v>Error?</v>
      </c>
    </row>
    <row r="3231" spans="1:4" x14ac:dyDescent="0.2">
      <c r="A3231" s="5">
        <v>3170</v>
      </c>
      <c r="B3231" s="138">
        <f ca="1">'Acct Summary 7-8'!C76</f>
        <v>0</v>
      </c>
      <c r="C3231" s="2" t="s">
        <v>573</v>
      </c>
      <c r="D3231" s="2" t="str">
        <f t="shared" ca="1" si="49"/>
        <v>Error?</v>
      </c>
    </row>
    <row r="3232" spans="1:4" x14ac:dyDescent="0.2">
      <c r="A3232" s="5">
        <v>3171</v>
      </c>
      <c r="B3232" s="138">
        <f ca="1">'Acct Summary 7-8'!C77</f>
        <v>0</v>
      </c>
      <c r="C3232" s="2" t="s">
        <v>573</v>
      </c>
      <c r="D3232" s="2" t="str">
        <f t="shared" ca="1" si="49"/>
        <v>Error?</v>
      </c>
    </row>
    <row r="3233" spans="1:4" x14ac:dyDescent="0.2">
      <c r="A3233" s="5">
        <v>3172</v>
      </c>
      <c r="B3233" s="138">
        <f ca="1">'Acct Summary 7-8'!C78</f>
        <v>-87742</v>
      </c>
      <c r="C3233" s="2" t="s">
        <v>573</v>
      </c>
      <c r="D3233" s="2" t="str">
        <f t="shared" ca="1" si="49"/>
        <v>Error?</v>
      </c>
    </row>
    <row r="3234" spans="1:4" x14ac:dyDescent="0.2">
      <c r="A3234" s="5">
        <v>3173</v>
      </c>
      <c r="B3234" s="138">
        <f ca="1">'Acct Summary 7-8'!D43</f>
        <v>0</v>
      </c>
      <c r="D3234" s="2" t="str">
        <f t="shared" ca="1" si="49"/>
        <v>Error?</v>
      </c>
    </row>
    <row r="3235" spans="1:4" x14ac:dyDescent="0.2">
      <c r="A3235" s="5">
        <v>3174</v>
      </c>
      <c r="B3235" s="138">
        <f ca="1">'Acct Summary 7-8'!D44</f>
        <v>0</v>
      </c>
      <c r="C3235" s="2" t="s">
        <v>573</v>
      </c>
      <c r="D3235" s="2" t="str">
        <f t="shared" ca="1" si="49"/>
        <v>Error?</v>
      </c>
    </row>
    <row r="3236" spans="1:4" x14ac:dyDescent="0.2">
      <c r="A3236" s="5">
        <v>3175</v>
      </c>
      <c r="B3236" s="138">
        <f ca="1">'Acct Summary 7-8'!D75</f>
        <v>0</v>
      </c>
      <c r="D3236" s="2" t="str">
        <f t="shared" ca="1" si="49"/>
        <v>Error?</v>
      </c>
    </row>
    <row r="3237" spans="1:4" x14ac:dyDescent="0.2">
      <c r="A3237" s="5">
        <v>3176</v>
      </c>
      <c r="B3237" s="138">
        <f ca="1">'Acct Summary 7-8'!D76</f>
        <v>0</v>
      </c>
      <c r="C3237" s="2" t="s">
        <v>573</v>
      </c>
      <c r="D3237" s="2" t="str">
        <f t="shared" ca="1" si="49"/>
        <v>Error?</v>
      </c>
    </row>
    <row r="3238" spans="1:4" x14ac:dyDescent="0.2">
      <c r="A3238" s="5">
        <v>3177</v>
      </c>
      <c r="B3238" s="138">
        <f ca="1">'Acct Summary 7-8'!D77</f>
        <v>0</v>
      </c>
      <c r="C3238" s="2" t="s">
        <v>573</v>
      </c>
      <c r="D3238" s="2" t="str">
        <f t="shared" ca="1" si="49"/>
        <v>Error?</v>
      </c>
    </row>
    <row r="3239" spans="1:4" x14ac:dyDescent="0.2">
      <c r="A3239" s="5">
        <v>3178</v>
      </c>
      <c r="B3239" s="138">
        <f ca="1">'Acct Summary 7-8'!D78</f>
        <v>7287</v>
      </c>
      <c r="C3239" s="2" t="s">
        <v>573</v>
      </c>
      <c r="D3239" s="2" t="str">
        <f t="shared" ca="1"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 ca="1">'Acct Summary 7-8'!F43</f>
        <v>0</v>
      </c>
      <c r="D3251" s="2" t="str">
        <f t="shared" ca="1" si="49"/>
        <v>Error?</v>
      </c>
    </row>
    <row r="3252" spans="1:4" x14ac:dyDescent="0.2">
      <c r="A3252" s="5">
        <v>3191</v>
      </c>
      <c r="B3252" s="138">
        <f ca="1">'Acct Summary 7-8'!F44</f>
        <v>0</v>
      </c>
      <c r="C3252" s="2" t="s">
        <v>573</v>
      </c>
      <c r="D3252" s="2" t="str">
        <f t="shared" ca="1" si="49"/>
        <v>Error?</v>
      </c>
    </row>
    <row r="3253" spans="1:4" x14ac:dyDescent="0.2">
      <c r="A3253" s="5">
        <v>3192</v>
      </c>
      <c r="B3253" s="138">
        <f ca="1">'Acct Summary 7-8'!F75</f>
        <v>0</v>
      </c>
      <c r="D3253" s="2" t="str">
        <f t="shared" ca="1" si="49"/>
        <v>Error?</v>
      </c>
    </row>
    <row r="3254" spans="1:4" x14ac:dyDescent="0.2">
      <c r="A3254" s="5">
        <v>3193</v>
      </c>
      <c r="B3254" s="138">
        <f ca="1">'Acct Summary 7-8'!F76</f>
        <v>0</v>
      </c>
      <c r="C3254" s="2" t="s">
        <v>573</v>
      </c>
      <c r="D3254" s="2" t="str">
        <f t="shared" ca="1" si="49"/>
        <v>Error?</v>
      </c>
    </row>
    <row r="3255" spans="1:4" x14ac:dyDescent="0.2">
      <c r="A3255" s="5">
        <v>3194</v>
      </c>
      <c r="B3255" s="138">
        <f ca="1">'Acct Summary 7-8'!F77</f>
        <v>0</v>
      </c>
      <c r="C3255" s="2" t="s">
        <v>573</v>
      </c>
      <c r="D3255" s="2" t="str">
        <f t="shared" ca="1" si="49"/>
        <v>Error?</v>
      </c>
    </row>
    <row r="3256" spans="1:4" x14ac:dyDescent="0.2">
      <c r="A3256" s="5">
        <v>3195</v>
      </c>
      <c r="B3256" s="138">
        <f ca="1">'Acct Summary 7-8'!F78</f>
        <v>79977</v>
      </c>
      <c r="C3256" s="2" t="s">
        <v>573</v>
      </c>
      <c r="D3256" s="2" t="str">
        <f t="shared" ca="1" si="49"/>
        <v>Error?</v>
      </c>
    </row>
    <row r="3257" spans="1:4" x14ac:dyDescent="0.2">
      <c r="A3257" s="5">
        <v>3196</v>
      </c>
      <c r="B3257" s="138">
        <f ca="1">'Acct Summary 7-8'!G43</f>
        <v>0</v>
      </c>
      <c r="D3257" s="2" t="str">
        <f t="shared" ca="1" si="49"/>
        <v>Error?</v>
      </c>
    </row>
    <row r="3258" spans="1:4" x14ac:dyDescent="0.2">
      <c r="A3258" s="5">
        <v>3197</v>
      </c>
      <c r="B3258" s="138">
        <f ca="1">'Acct Summary 7-8'!G44</f>
        <v>0</v>
      </c>
      <c r="C3258" s="2" t="s">
        <v>573</v>
      </c>
      <c r="D3258" s="2" t="str">
        <f t="shared" ca="1" si="49"/>
        <v>Error?</v>
      </c>
    </row>
    <row r="3259" spans="1:4" x14ac:dyDescent="0.2">
      <c r="A3259" s="5">
        <v>3198</v>
      </c>
      <c r="B3259" s="138">
        <f ca="1">'Acct Summary 7-8'!G50</f>
        <v>0</v>
      </c>
      <c r="D3259" s="2" t="str">
        <f t="shared" ca="1" si="49"/>
        <v>Error?</v>
      </c>
    </row>
    <row r="3260" spans="1:4" x14ac:dyDescent="0.2">
      <c r="A3260" s="5">
        <v>3199</v>
      </c>
      <c r="B3260" s="138">
        <f ca="1">'Acct Summary 7-8'!G76</f>
        <v>0</v>
      </c>
      <c r="C3260" s="2" t="s">
        <v>573</v>
      </c>
      <c r="D3260" s="2" t="str">
        <f t="shared" ca="1" si="49"/>
        <v>Error?</v>
      </c>
    </row>
    <row r="3261" spans="1:4" x14ac:dyDescent="0.2">
      <c r="A3261" s="5">
        <v>3200</v>
      </c>
      <c r="B3261" s="138">
        <f ca="1">'Acct Summary 7-8'!G77</f>
        <v>0</v>
      </c>
      <c r="C3261" s="2" t="s">
        <v>573</v>
      </c>
      <c r="D3261" s="2" t="str">
        <f t="shared" ca="1" si="49"/>
        <v>Error?</v>
      </c>
    </row>
    <row r="3262" spans="1:4" x14ac:dyDescent="0.2">
      <c r="A3262" s="5">
        <v>3201</v>
      </c>
      <c r="B3262" s="138">
        <f ca="1">'Acct Summary 7-8'!G78</f>
        <v>-37571</v>
      </c>
      <c r="C3262" s="2" t="s">
        <v>573</v>
      </c>
      <c r="D3262" s="2" t="str">
        <f t="shared" ca="1"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 ca="1">'Acct Summary 7-8'!E43</f>
        <v>0</v>
      </c>
      <c r="D3273" s="2" t="str">
        <f t="shared" ca="1" si="50"/>
        <v>Error?</v>
      </c>
    </row>
    <row r="3274" spans="1:4" x14ac:dyDescent="0.2">
      <c r="A3274" s="5">
        <v>3213</v>
      </c>
      <c r="B3274" s="138">
        <f ca="1">'Acct Summary 7-8'!E44</f>
        <v>0</v>
      </c>
      <c r="C3274" s="2" t="s">
        <v>573</v>
      </c>
      <c r="D3274" s="2" t="str">
        <f t="shared" ca="1" si="50"/>
        <v>Error?</v>
      </c>
    </row>
    <row r="3275" spans="1:4" x14ac:dyDescent="0.2">
      <c r="A3275" s="5">
        <v>3214</v>
      </c>
      <c r="B3275" s="138">
        <f ca="1">'Acct Summary 7-8'!E75</f>
        <v>0</v>
      </c>
      <c r="D3275" s="2" t="str">
        <f t="shared" ca="1" si="50"/>
        <v>Error?</v>
      </c>
    </row>
    <row r="3276" spans="1:4" x14ac:dyDescent="0.2">
      <c r="A3276" s="5">
        <v>3215</v>
      </c>
      <c r="B3276" s="138">
        <f ca="1">'Acct Summary 7-8'!E76</f>
        <v>0</v>
      </c>
      <c r="C3276" s="2" t="s">
        <v>573</v>
      </c>
      <c r="D3276" s="2" t="str">
        <f t="shared" ca="1" si="50"/>
        <v>Error?</v>
      </c>
    </row>
    <row r="3277" spans="1:4" x14ac:dyDescent="0.2">
      <c r="A3277" s="5">
        <v>3216</v>
      </c>
      <c r="B3277" s="138">
        <f ca="1">'Acct Summary 7-8'!E77</f>
        <v>0</v>
      </c>
      <c r="C3277" s="2" t="s">
        <v>573</v>
      </c>
      <c r="D3277" s="2" t="str">
        <f t="shared" ca="1" si="50"/>
        <v>Error?</v>
      </c>
    </row>
    <row r="3278" spans="1:4" x14ac:dyDescent="0.2">
      <c r="A3278" s="5">
        <v>3217</v>
      </c>
      <c r="B3278" s="138">
        <f ca="1">'Acct Summary 7-8'!E78</f>
        <v>0</v>
      </c>
      <c r="C3278" s="2" t="s">
        <v>573</v>
      </c>
      <c r="D3278" s="2" t="str">
        <f t="shared" ca="1"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 ca="1">'Acct Summary 7-8'!H43</f>
        <v>0</v>
      </c>
      <c r="D3295" s="2" t="str">
        <f t="shared" ca="1" si="50"/>
        <v>Error?</v>
      </c>
    </row>
    <row r="3296" spans="1:4" x14ac:dyDescent="0.2">
      <c r="A3296" s="5">
        <v>3235</v>
      </c>
      <c r="B3296" s="138">
        <f ca="1">'Acct Summary 7-8'!H44</f>
        <v>0</v>
      </c>
      <c r="C3296" s="2" t="s">
        <v>573</v>
      </c>
      <c r="D3296" s="2" t="str">
        <f t="shared" ca="1" si="50"/>
        <v>Error?</v>
      </c>
    </row>
    <row r="3297" spans="1:4" x14ac:dyDescent="0.2">
      <c r="A3297" s="5">
        <v>3236</v>
      </c>
      <c r="B3297" s="138">
        <f ca="1">'Acct Summary 7-8'!H75</f>
        <v>0</v>
      </c>
      <c r="D3297" s="2" t="str">
        <f t="shared" ca="1" si="50"/>
        <v>Error?</v>
      </c>
    </row>
    <row r="3298" spans="1:4" x14ac:dyDescent="0.2">
      <c r="A3298" s="5">
        <v>3237</v>
      </c>
      <c r="B3298" s="138">
        <f ca="1">'Acct Summary 7-8'!H76</f>
        <v>0</v>
      </c>
      <c r="C3298" s="2" t="s">
        <v>573</v>
      </c>
      <c r="D3298" s="2" t="str">
        <f t="shared" ca="1" si="50"/>
        <v>Error?</v>
      </c>
    </row>
    <row r="3299" spans="1:4" x14ac:dyDescent="0.2">
      <c r="A3299" s="5">
        <v>3238</v>
      </c>
      <c r="B3299" s="138">
        <f ca="1">'Acct Summary 7-8'!H77</f>
        <v>0</v>
      </c>
      <c r="C3299" s="2" t="s">
        <v>573</v>
      </c>
      <c r="D3299" s="2" t="str">
        <f t="shared" ca="1" si="50"/>
        <v>Error?</v>
      </c>
    </row>
    <row r="3300" spans="1:4" x14ac:dyDescent="0.2">
      <c r="A3300" s="5">
        <v>3239</v>
      </c>
      <c r="B3300" s="138">
        <f ca="1">'Acct Summary 7-8'!H78</f>
        <v>7815</v>
      </c>
      <c r="C3300" s="2" t="s">
        <v>573</v>
      </c>
      <c r="D3300" s="2" t="str">
        <f t="shared" ca="1"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 ca="1">'Acct Summary 7-8'!I43</f>
        <v>0</v>
      </c>
      <c r="D3316" s="2" t="str">
        <f t="shared" ca="1" si="50"/>
        <v>Error?</v>
      </c>
    </row>
    <row r="3317" spans="1:4" x14ac:dyDescent="0.2">
      <c r="A3317" s="5">
        <v>3256</v>
      </c>
      <c r="B3317" s="138">
        <f ca="1">'Acct Summary 7-8'!I44</f>
        <v>0</v>
      </c>
      <c r="C3317" s="2" t="s">
        <v>573</v>
      </c>
      <c r="D3317" s="2" t="str">
        <f t="shared" ca="1" si="50"/>
        <v>Error?</v>
      </c>
    </row>
    <row r="3318" spans="1:4" x14ac:dyDescent="0.2">
      <c r="A3318" s="5">
        <v>3257</v>
      </c>
      <c r="B3318" s="138">
        <f ca="1">'Acct Summary 7-8'!I76</f>
        <v>0</v>
      </c>
      <c r="C3318" s="2" t="s">
        <v>573</v>
      </c>
      <c r="D3318" s="2" t="str">
        <f t="shared" ca="1" si="50"/>
        <v>Error?</v>
      </c>
    </row>
    <row r="3319" spans="1:4" x14ac:dyDescent="0.2">
      <c r="A3319" s="5">
        <v>3258</v>
      </c>
      <c r="B3319" s="138">
        <f ca="1">'Acct Summary 7-8'!I77</f>
        <v>0</v>
      </c>
      <c r="C3319" s="2" t="s">
        <v>573</v>
      </c>
      <c r="D3319" s="2" t="str">
        <f t="shared" ca="1" si="50"/>
        <v>Error?</v>
      </c>
    </row>
    <row r="3320" spans="1:4" x14ac:dyDescent="0.2">
      <c r="A3320" s="5">
        <v>3259</v>
      </c>
      <c r="B3320" s="138">
        <f ca="1">'Acct Summary 7-8'!I78</f>
        <v>11495</v>
      </c>
      <c r="C3320" s="2" t="s">
        <v>573</v>
      </c>
      <c r="D3320" s="2" t="str">
        <f t="shared" ca="1" si="50"/>
        <v>Error?</v>
      </c>
    </row>
    <row r="3321" spans="1:4" x14ac:dyDescent="0.2">
      <c r="A3321" s="5">
        <v>3260</v>
      </c>
      <c r="B3321" s="138">
        <f>'Acct Summary 7-8'!I79</f>
        <v>129822</v>
      </c>
      <c r="D3321" s="2" t="str">
        <f t="shared" si="50"/>
        <v>Error?</v>
      </c>
    </row>
    <row r="3322" spans="1:4" x14ac:dyDescent="0.2">
      <c r="A3322" s="5">
        <v>3261</v>
      </c>
      <c r="B3322" s="138">
        <f>'Acct Summary 7-8'!I80</f>
        <v>0</v>
      </c>
      <c r="D3322" s="2" t="str">
        <f t="shared" si="50"/>
        <v>Error?</v>
      </c>
    </row>
    <row r="3323" spans="1:4" x14ac:dyDescent="0.2">
      <c r="A3323" s="5">
        <v>3262</v>
      </c>
      <c r="B3323" s="138">
        <f ca="1">'Acct Summary 7-8'!I81</f>
        <v>141317</v>
      </c>
      <c r="C3323" s="2" t="s">
        <v>573</v>
      </c>
      <c r="D3323" s="2" t="str">
        <f t="shared" ca="1"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 ca="1">'Expenditures 15-22'!C8</f>
        <v>85014</v>
      </c>
      <c r="D3366" s="2" t="str">
        <f t="shared" ca="1" si="51"/>
        <v>Error?</v>
      </c>
    </row>
    <row r="3367" spans="1:4" x14ac:dyDescent="0.2">
      <c r="A3367" s="5">
        <v>3306</v>
      </c>
      <c r="B3367" s="138">
        <f ca="1">'Expenditures 15-22'!C19</f>
        <v>0</v>
      </c>
      <c r="D3367" s="2" t="str">
        <f t="shared" ca="1" si="51"/>
        <v>Error?</v>
      </c>
    </row>
    <row r="3368" spans="1:4" x14ac:dyDescent="0.2">
      <c r="A3368" s="5">
        <v>3307</v>
      </c>
      <c r="B3368" s="138">
        <f ca="1">'Expenditures 15-22'!D8</f>
        <v>20143</v>
      </c>
      <c r="D3368" s="2" t="str">
        <f t="shared" ca="1" si="51"/>
        <v>Error?</v>
      </c>
    </row>
    <row r="3369" spans="1:4" x14ac:dyDescent="0.2">
      <c r="A3369" s="5">
        <v>3308</v>
      </c>
      <c r="B3369" s="138">
        <f ca="1">'Expenditures 15-22'!D19</f>
        <v>0</v>
      </c>
      <c r="D3369" s="2" t="str">
        <f t="shared" ca="1" si="51"/>
        <v>Error?</v>
      </c>
    </row>
    <row r="3370" spans="1:4" x14ac:dyDescent="0.2">
      <c r="A3370" s="5">
        <v>3309</v>
      </c>
      <c r="B3370" s="138">
        <f ca="1">'Expenditures 15-22'!E8</f>
        <v>20484</v>
      </c>
      <c r="D3370" s="2" t="str">
        <f t="shared" ca="1" si="51"/>
        <v>Error?</v>
      </c>
    </row>
    <row r="3371" spans="1:4" x14ac:dyDescent="0.2">
      <c r="A3371" s="5">
        <v>3310</v>
      </c>
      <c r="B3371" s="138">
        <f ca="1">'Expenditures 15-22'!E19</f>
        <v>0</v>
      </c>
      <c r="D3371" s="2" t="str">
        <f t="shared" ca="1" si="51"/>
        <v>Error?</v>
      </c>
    </row>
    <row r="3372" spans="1:4" x14ac:dyDescent="0.2">
      <c r="A3372" s="5">
        <v>3311</v>
      </c>
      <c r="B3372" s="138">
        <f ca="1">'Expenditures 15-22'!F8</f>
        <v>0</v>
      </c>
      <c r="D3372" s="2" t="str">
        <f t="shared" ca="1" si="51"/>
        <v>Error?</v>
      </c>
    </row>
    <row r="3373" spans="1:4" x14ac:dyDescent="0.2">
      <c r="A3373" s="5">
        <v>3312</v>
      </c>
      <c r="B3373" s="138">
        <f ca="1">'Expenditures 15-22'!F19</f>
        <v>0</v>
      </c>
      <c r="D3373" s="2" t="str">
        <f t="shared" ca="1" si="51"/>
        <v>Error?</v>
      </c>
    </row>
    <row r="3374" spans="1:4" x14ac:dyDescent="0.2">
      <c r="A3374" s="5">
        <v>3313</v>
      </c>
      <c r="B3374" s="138">
        <f ca="1">'Expenditures 15-22'!G8</f>
        <v>0</v>
      </c>
      <c r="D3374" s="2" t="str">
        <f t="shared" ca="1" si="51"/>
        <v>Error?</v>
      </c>
    </row>
    <row r="3375" spans="1:4" x14ac:dyDescent="0.2">
      <c r="A3375" s="5">
        <v>3314</v>
      </c>
      <c r="B3375" s="138">
        <f ca="1">'Expenditures 15-22'!G19</f>
        <v>0</v>
      </c>
      <c r="D3375" s="2" t="str">
        <f t="shared" ca="1" si="51"/>
        <v>Error?</v>
      </c>
    </row>
    <row r="3376" spans="1:4" x14ac:dyDescent="0.2">
      <c r="A3376" s="5">
        <v>3315</v>
      </c>
      <c r="B3376" s="138">
        <f ca="1">'Expenditures 15-22'!H8</f>
        <v>61937</v>
      </c>
      <c r="D3376" s="2" t="str">
        <f t="shared" ca="1" si="51"/>
        <v>Error?</v>
      </c>
    </row>
    <row r="3377" spans="1:4" x14ac:dyDescent="0.2">
      <c r="A3377" s="5">
        <v>3316</v>
      </c>
      <c r="B3377" s="138">
        <f ca="1">'Expenditures 15-22'!H19</f>
        <v>0</v>
      </c>
      <c r="D3377" s="2" t="str">
        <f t="shared" ca="1"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 ca="1">'Expenditures 15-22'!K8</f>
        <v>187578</v>
      </c>
      <c r="C3380" s="2" t="s">
        <v>573</v>
      </c>
      <c r="D3380" s="2" t="str">
        <f t="shared" ca="1" si="51"/>
        <v>Error?</v>
      </c>
    </row>
    <row r="3381" spans="1:4" x14ac:dyDescent="0.2">
      <c r="A3381" s="5">
        <v>3320</v>
      </c>
      <c r="B3381" s="138">
        <f ca="1">'Expenditures 15-22'!K19</f>
        <v>0</v>
      </c>
      <c r="C3381" s="2" t="s">
        <v>573</v>
      </c>
      <c r="D3381" s="2" t="str">
        <f t="shared" ca="1"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 ca="1">'Expenditures 15-22'!D215</f>
        <v>9149</v>
      </c>
      <c r="D3387" s="2" t="str">
        <f t="shared" ca="1" si="51"/>
        <v>Error?</v>
      </c>
    </row>
    <row r="3388" spans="1:4" x14ac:dyDescent="0.2">
      <c r="A3388" s="5">
        <v>3327</v>
      </c>
      <c r="B3388" s="138">
        <f ca="1">'Expenditures 15-22'!D217</f>
        <v>9000</v>
      </c>
      <c r="D3388" s="2" t="str">
        <f t="shared" ca="1" si="51"/>
        <v>Error?</v>
      </c>
    </row>
    <row r="3389" spans="1:4" x14ac:dyDescent="0.2">
      <c r="A3389" s="5">
        <v>3328</v>
      </c>
      <c r="B3389" s="138">
        <f ca="1">'Expenditures 15-22'!D228</f>
        <v>0</v>
      </c>
      <c r="D3389" s="2" t="str">
        <f t="shared" ca="1" si="51"/>
        <v>Error?</v>
      </c>
    </row>
    <row r="3390" spans="1:4" x14ac:dyDescent="0.2">
      <c r="A3390" s="5">
        <v>3329</v>
      </c>
      <c r="B3390" s="138">
        <f ca="1">'Expenditures 15-22'!K215</f>
        <v>9149</v>
      </c>
      <c r="C3390" s="2" t="s">
        <v>573</v>
      </c>
      <c r="D3390" s="2" t="str">
        <f t="shared" ca="1" si="51"/>
        <v>Error?</v>
      </c>
    </row>
    <row r="3391" spans="1:4" x14ac:dyDescent="0.2">
      <c r="A3391" s="5">
        <v>3330</v>
      </c>
      <c r="B3391" s="138">
        <f ca="1">'Expenditures 15-22'!K217</f>
        <v>9000</v>
      </c>
      <c r="C3391" s="2" t="s">
        <v>573</v>
      </c>
      <c r="D3391" s="2" t="str">
        <f t="shared" ref="D3391:D3454" ca="1" si="52">IF(ISBLANK(B3391),"OK",IF(A3391-B3391=0,"OK","Error?"))</f>
        <v>Error?</v>
      </c>
    </row>
    <row r="3392" spans="1:4" x14ac:dyDescent="0.2">
      <c r="A3392" s="5">
        <v>3331</v>
      </c>
      <c r="B3392" s="138">
        <f ca="1">'Expenditures 15-22'!K228</f>
        <v>0</v>
      </c>
      <c r="C3392" s="2" t="s">
        <v>573</v>
      </c>
      <c r="D3392" s="2" t="str">
        <f t="shared" ca="1"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 ca="1">'Acct Summary 7-8'!C5</f>
        <v>87</v>
      </c>
      <c r="C3405" s="2" t="s">
        <v>573</v>
      </c>
      <c r="D3405" s="2" t="str">
        <f t="shared" ca="1" si="52"/>
        <v>Error?</v>
      </c>
    </row>
    <row r="3406" spans="1:4" x14ac:dyDescent="0.2">
      <c r="A3406" s="5">
        <v>3345</v>
      </c>
      <c r="B3406" s="138">
        <f ca="1">'Acct Summary 7-8'!D5</f>
        <v>0</v>
      </c>
      <c r="C3406" s="2" t="s">
        <v>573</v>
      </c>
      <c r="D3406" s="2" t="str">
        <f t="shared" ca="1" si="52"/>
        <v>Error?</v>
      </c>
    </row>
    <row r="3407" spans="1:4" x14ac:dyDescent="0.2">
      <c r="A3407" s="10">
        <v>3346</v>
      </c>
      <c r="D3407" s="2" t="str">
        <f t="shared" si="52"/>
        <v>OK</v>
      </c>
    </row>
    <row r="3408" spans="1:4" x14ac:dyDescent="0.2">
      <c r="A3408" s="5">
        <v>3347</v>
      </c>
      <c r="B3408" s="138">
        <f ca="1">'Acct Summary 7-8'!F5</f>
        <v>0</v>
      </c>
      <c r="C3408" s="2" t="s">
        <v>573</v>
      </c>
      <c r="D3408" s="2" t="str">
        <f t="shared" ca="1" si="52"/>
        <v>Error?</v>
      </c>
    </row>
    <row r="3409" spans="1:4" x14ac:dyDescent="0.2">
      <c r="A3409" s="5">
        <v>3348</v>
      </c>
      <c r="B3409" s="138">
        <f ca="1">'Acct Summary 7-8'!G5</f>
        <v>0</v>
      </c>
      <c r="C3409" s="2" t="s">
        <v>573</v>
      </c>
      <c r="D3409" s="2" t="str">
        <f t="shared" ca="1" si="52"/>
        <v>Error?</v>
      </c>
    </row>
    <row r="3410" spans="1:4" x14ac:dyDescent="0.2">
      <c r="A3410" s="10">
        <v>3349</v>
      </c>
      <c r="D3410" s="2" t="str">
        <f t="shared" si="52"/>
        <v>OK</v>
      </c>
    </row>
    <row r="3411" spans="1:4" x14ac:dyDescent="0.2">
      <c r="A3411" s="5">
        <v>3350</v>
      </c>
      <c r="B3411" s="138">
        <f ca="1">'Assets-Liab 5-6'!C4</f>
        <v>1761762</v>
      </c>
      <c r="D3411" s="2" t="str">
        <f t="shared" ca="1"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 ca="1">'Assets-Liab 5-6'!D4</f>
        <v>611534</v>
      </c>
      <c r="D3414" s="2" t="str">
        <f t="shared" ca="1"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 ca="1">'Assets-Liab 5-6'!E4</f>
        <v>0</v>
      </c>
      <c r="D3417" s="2" t="str">
        <f t="shared" ca="1" si="52"/>
        <v>Error?</v>
      </c>
    </row>
    <row r="3418" spans="1:4" x14ac:dyDescent="0.2">
      <c r="A3418" s="10">
        <v>3357</v>
      </c>
      <c r="D3418" s="2" t="str">
        <f t="shared" si="52"/>
        <v>OK</v>
      </c>
    </row>
    <row r="3419" spans="1:4" x14ac:dyDescent="0.2">
      <c r="A3419" s="5">
        <v>3358</v>
      </c>
      <c r="B3419" s="138">
        <f ca="1">'Assets-Liab 5-6'!F4</f>
        <v>329172</v>
      </c>
      <c r="D3419" s="2" t="str">
        <f t="shared" ca="1"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 ca="1">'Assets-Liab 5-6'!H4</f>
        <v>148455</v>
      </c>
      <c r="D3425" s="2" t="str">
        <f t="shared" ca="1" si="52"/>
        <v>Error?</v>
      </c>
    </row>
    <row r="3426" spans="1:4" x14ac:dyDescent="0.2">
      <c r="A3426" s="10">
        <v>3365</v>
      </c>
      <c r="D3426" s="2" t="str">
        <f t="shared" si="52"/>
        <v>OK</v>
      </c>
    </row>
    <row r="3427" spans="1:4" x14ac:dyDescent="0.2">
      <c r="A3427" s="5">
        <v>3366</v>
      </c>
      <c r="B3427" s="138">
        <f ca="1">'Assets-Liab 5-6'!I4</f>
        <v>100051</v>
      </c>
      <c r="D3427" s="2" t="str">
        <f t="shared" ca="1"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16283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 ca="1">'Tax Sched 23'!B16</f>
        <v>4956</v>
      </c>
      <c r="C3446" s="2" t="s">
        <v>573</v>
      </c>
      <c r="D3446" s="2" t="str">
        <f t="shared" ca="1" si="52"/>
        <v>Error?</v>
      </c>
    </row>
    <row r="3447" spans="1:4" x14ac:dyDescent="0.2">
      <c r="A3447" s="5">
        <v>3386</v>
      </c>
      <c r="B3447" s="138">
        <f ca="1">'Tax Sched 23'!D16</f>
        <v>4956</v>
      </c>
      <c r="C3447" s="2" t="s">
        <v>573</v>
      </c>
      <c r="D3447" s="2" t="str">
        <f t="shared" ca="1" si="52"/>
        <v>Error?</v>
      </c>
    </row>
    <row r="3448" spans="1:4" x14ac:dyDescent="0.2">
      <c r="A3448" s="5">
        <v>3387</v>
      </c>
      <c r="B3448" s="138">
        <f>'Tax Sched 23'!C16</f>
        <v>0</v>
      </c>
      <c r="D3448" s="2" t="str">
        <f t="shared" si="52"/>
        <v>Error?</v>
      </c>
    </row>
    <row r="3449" spans="1:4" x14ac:dyDescent="0.2">
      <c r="A3449" s="5">
        <v>3388</v>
      </c>
      <c r="B3449" s="138">
        <f>'Tax Sched 23'!F16</f>
        <v>6998</v>
      </c>
      <c r="C3449" s="2" t="s">
        <v>573</v>
      </c>
      <c r="D3449" s="2" t="str">
        <f t="shared" si="52"/>
        <v>Error?</v>
      </c>
    </row>
    <row r="3450" spans="1:4" x14ac:dyDescent="0.2">
      <c r="A3450" s="5">
        <v>3389</v>
      </c>
      <c r="B3450" s="138">
        <f>'Tax Sched 23'!E16</f>
        <v>6998</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 ca="1">'Expenditures 15-22'!C125</f>
        <v>0</v>
      </c>
      <c r="D3482" s="2" t="str">
        <f t="shared" ca="1" si="53"/>
        <v>Error?</v>
      </c>
    </row>
    <row r="3483" spans="1:4" x14ac:dyDescent="0.2">
      <c r="A3483" s="5">
        <v>3422</v>
      </c>
      <c r="B3483" s="138">
        <f ca="1">'Expenditures 15-22'!D125</f>
        <v>0</v>
      </c>
      <c r="D3483" s="2" t="str">
        <f t="shared" ca="1" si="53"/>
        <v>Error?</v>
      </c>
    </row>
    <row r="3484" spans="1:4" x14ac:dyDescent="0.2">
      <c r="A3484" s="5">
        <v>3423</v>
      </c>
      <c r="B3484" s="138">
        <f ca="1">'Expenditures 15-22'!E125</f>
        <v>32</v>
      </c>
      <c r="D3484" s="2" t="str">
        <f t="shared" ca="1" si="53"/>
        <v>Error?</v>
      </c>
    </row>
    <row r="3485" spans="1:4" x14ac:dyDescent="0.2">
      <c r="A3485" s="5">
        <v>3424</v>
      </c>
      <c r="B3485" s="138">
        <f ca="1">'Expenditures 15-22'!F125</f>
        <v>0</v>
      </c>
      <c r="D3485" s="2" t="str">
        <f t="shared" ca="1" si="53"/>
        <v>Error?</v>
      </c>
    </row>
    <row r="3486" spans="1:4" x14ac:dyDescent="0.2">
      <c r="A3486" s="5">
        <v>3425</v>
      </c>
      <c r="B3486" s="138">
        <f ca="1">'Expenditures 15-22'!G125</f>
        <v>0</v>
      </c>
      <c r="D3486" s="2" t="str">
        <f t="shared" ca="1" si="53"/>
        <v>Error?</v>
      </c>
    </row>
    <row r="3487" spans="1:4" x14ac:dyDescent="0.2">
      <c r="A3487" s="5">
        <v>3426</v>
      </c>
      <c r="B3487" s="138">
        <f ca="1">'Expenditures 15-22'!H125</f>
        <v>0</v>
      </c>
      <c r="D3487" s="2" t="str">
        <f t="shared" ca="1" si="53"/>
        <v>Error?</v>
      </c>
    </row>
    <row r="3488" spans="1:4" x14ac:dyDescent="0.2">
      <c r="A3488" s="5">
        <v>3427</v>
      </c>
      <c r="B3488" s="138">
        <f ca="1">'Expenditures 15-22'!K125</f>
        <v>32</v>
      </c>
      <c r="C3488" s="2" t="s">
        <v>573</v>
      </c>
      <c r="D3488" s="2" t="str">
        <f t="shared" ca="1" si="53"/>
        <v>Error?</v>
      </c>
    </row>
    <row r="3489" spans="1:4" x14ac:dyDescent="0.2">
      <c r="A3489" s="10">
        <v>3428</v>
      </c>
      <c r="D3489" s="2" t="str">
        <f t="shared" si="53"/>
        <v>OK</v>
      </c>
    </row>
    <row r="3490" spans="1:4" x14ac:dyDescent="0.2">
      <c r="A3490" s="5">
        <v>3429</v>
      </c>
      <c r="B3490" s="138">
        <f ca="1">'Acct Summary 7-8'!E26</f>
        <v>0</v>
      </c>
      <c r="D3490" s="2" t="str">
        <f t="shared" ca="1" si="53"/>
        <v>Error?</v>
      </c>
    </row>
    <row r="3491" spans="1:4" x14ac:dyDescent="0.2">
      <c r="A3491" s="10">
        <v>3430</v>
      </c>
      <c r="D3491" s="2" t="str">
        <f t="shared" si="53"/>
        <v>OK</v>
      </c>
    </row>
    <row r="3492" spans="1:4" x14ac:dyDescent="0.2">
      <c r="A3492" s="5">
        <v>3431</v>
      </c>
      <c r="B3492" s="138">
        <f ca="1">'Acct Summary 7-8'!G26</f>
        <v>0</v>
      </c>
      <c r="D3492" s="2" t="str">
        <f t="shared" ca="1" si="53"/>
        <v>Error?</v>
      </c>
    </row>
    <row r="3493" spans="1:4" x14ac:dyDescent="0.2">
      <c r="A3493" s="5">
        <v>3432</v>
      </c>
      <c r="B3493" s="138">
        <f ca="1">'Acct Summary 7-8'!H26</f>
        <v>0</v>
      </c>
      <c r="D3493" s="2" t="str">
        <f t="shared" ca="1"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 ca="1">'Assets-Liab 5-6'!H6</f>
        <v>0</v>
      </c>
      <c r="D3519" s="2" t="str">
        <f t="shared" ref="D3519:D3582" ca="1"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 ca="1">'Acct Summary 7-8'!C36</f>
        <v>0</v>
      </c>
      <c r="D3530" s="2" t="str">
        <f t="shared" ca="1" si="54"/>
        <v>Error?</v>
      </c>
    </row>
    <row r="3531" spans="1:4" x14ac:dyDescent="0.2">
      <c r="A3531" s="5">
        <v>3470</v>
      </c>
      <c r="B3531" s="138">
        <f ca="1">'Acct Summary 7-8'!D36</f>
        <v>0</v>
      </c>
      <c r="D3531" s="2" t="str">
        <f t="shared" ca="1" si="54"/>
        <v>Error?</v>
      </c>
    </row>
    <row r="3532" spans="1:4" x14ac:dyDescent="0.2">
      <c r="A3532" s="5">
        <v>3471</v>
      </c>
      <c r="B3532" s="138">
        <f ca="1">'Acct Summary 7-8'!F36</f>
        <v>0</v>
      </c>
      <c r="D3532" s="2" t="str">
        <f t="shared" ca="1" si="54"/>
        <v>Error?</v>
      </c>
    </row>
    <row r="3533" spans="1:4" x14ac:dyDescent="0.2">
      <c r="A3533" s="5">
        <v>3472</v>
      </c>
      <c r="B3533" s="138">
        <f ca="1">'Acct Summary 7-8'!G36</f>
        <v>0</v>
      </c>
      <c r="D3533" s="2" t="str">
        <f t="shared" ca="1" si="54"/>
        <v>Error?</v>
      </c>
    </row>
    <row r="3534" spans="1:4" x14ac:dyDescent="0.2">
      <c r="A3534" s="5">
        <v>3473</v>
      </c>
      <c r="B3534" s="138">
        <f ca="1">'Acct Summary 7-8'!H36</f>
        <v>0</v>
      </c>
      <c r="D3534" s="2" t="str">
        <f t="shared" ca="1"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 ca="1">'Assets-Liab 5-6'!K4</f>
        <v>0</v>
      </c>
      <c r="D3546" s="2" t="str">
        <f t="shared" ca="1" si="54"/>
        <v>Error?</v>
      </c>
    </row>
    <row r="3547" spans="1:4" x14ac:dyDescent="0.2">
      <c r="A3547" s="10">
        <v>3486</v>
      </c>
      <c r="D3547" s="2" t="str">
        <f t="shared" si="54"/>
        <v>OK</v>
      </c>
    </row>
    <row r="3548" spans="1:4" x14ac:dyDescent="0.2">
      <c r="A3548" s="5">
        <v>3487</v>
      </c>
      <c r="B3548" s="138">
        <f ca="1">'Assets-Liab 5-6'!K6</f>
        <v>0</v>
      </c>
      <c r="D3548" s="2" t="str">
        <f t="shared" ca="1" si="54"/>
        <v>Error?</v>
      </c>
    </row>
    <row r="3549" spans="1:4" x14ac:dyDescent="0.2">
      <c r="A3549" s="5">
        <v>3488</v>
      </c>
      <c r="B3549" s="138">
        <f ca="1">'Assets-Liab 5-6'!K10</f>
        <v>0</v>
      </c>
      <c r="D3549" s="2" t="str">
        <f t="shared" ca="1" si="54"/>
        <v>Error?</v>
      </c>
    </row>
    <row r="3550" spans="1:4" x14ac:dyDescent="0.2">
      <c r="A3550" s="5">
        <v>3489</v>
      </c>
      <c r="B3550" s="138">
        <f ca="1">'Assets-Liab 5-6'!K5</f>
        <v>0</v>
      </c>
      <c r="D3550" s="2" t="str">
        <f t="shared" ca="1" si="54"/>
        <v>Error?</v>
      </c>
    </row>
    <row r="3551" spans="1:4" x14ac:dyDescent="0.2">
      <c r="A3551" s="5">
        <v>3490</v>
      </c>
      <c r="B3551" s="138">
        <f ca="1">'Assets-Liab 5-6'!K12</f>
        <v>0</v>
      </c>
      <c r="D3551" s="2" t="str">
        <f t="shared" ca="1" si="54"/>
        <v>Error?</v>
      </c>
    </row>
    <row r="3552" spans="1:4" x14ac:dyDescent="0.2">
      <c r="A3552" s="5">
        <v>3491</v>
      </c>
      <c r="B3552" s="138">
        <f ca="1">'Assets-Liab 5-6'!K13</f>
        <v>0</v>
      </c>
      <c r="C3552" s="2" t="s">
        <v>573</v>
      </c>
      <c r="D3552" s="2" t="str">
        <f t="shared" ca="1"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 ca="1">'Assets-Liab 5-6'!K31</f>
        <v>0</v>
      </c>
      <c r="D3561" s="2" t="str">
        <f t="shared" ca="1" si="54"/>
        <v>Error?</v>
      </c>
    </row>
    <row r="3562" spans="1:4" x14ac:dyDescent="0.2">
      <c r="A3562" s="5">
        <v>3501</v>
      </c>
      <c r="B3562" s="138">
        <f ca="1">'Assets-Liab 5-6'!K32</f>
        <v>0</v>
      </c>
      <c r="D3562" s="2" t="str">
        <f t="shared" ca="1"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 ca="1">'Assets-Liab 5-6'!K34</f>
        <v>0</v>
      </c>
      <c r="C3565" s="2" t="s">
        <v>573</v>
      </c>
      <c r="D3565" s="2" t="str">
        <f t="shared" ca="1"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 ca="1">'Assets-Liab 5-6'!K41</f>
        <v>0</v>
      </c>
      <c r="C3568" s="2" t="s">
        <v>573</v>
      </c>
      <c r="D3568" s="2" t="str">
        <f t="shared" ca="1" si="54"/>
        <v>Error?</v>
      </c>
    </row>
    <row r="3569" spans="1:4" x14ac:dyDescent="0.2">
      <c r="A3569" s="5">
        <v>3508</v>
      </c>
      <c r="B3569" s="138">
        <f ca="1">'Acct Summary 7-8'!K4</f>
        <v>0</v>
      </c>
      <c r="C3569" s="2" t="s">
        <v>573</v>
      </c>
      <c r="D3569" s="2" t="str">
        <f t="shared" ca="1" si="54"/>
        <v>Error?</v>
      </c>
    </row>
    <row r="3570" spans="1:4" x14ac:dyDescent="0.2">
      <c r="A3570" s="5">
        <v>3509</v>
      </c>
      <c r="B3570" s="138">
        <f ca="1">'Acct Summary 7-8'!K6</f>
        <v>0</v>
      </c>
      <c r="C3570" s="2" t="s">
        <v>573</v>
      </c>
      <c r="D3570" s="2" t="str">
        <f t="shared" ca="1" si="54"/>
        <v>Error?</v>
      </c>
    </row>
    <row r="3571" spans="1:4" x14ac:dyDescent="0.2">
      <c r="A3571" s="5">
        <v>3510</v>
      </c>
      <c r="B3571" s="138">
        <f ca="1">'Acct Summary 7-8'!K8</f>
        <v>0</v>
      </c>
      <c r="C3571" s="2" t="s">
        <v>573</v>
      </c>
      <c r="D3571" s="2" t="str">
        <f t="shared" ca="1" si="54"/>
        <v>Error?</v>
      </c>
    </row>
    <row r="3572" spans="1:4" x14ac:dyDescent="0.2">
      <c r="A3572" s="5">
        <v>3511</v>
      </c>
      <c r="B3572" s="138">
        <f ca="1">'Acct Summary 7-8'!K13</f>
        <v>0</v>
      </c>
      <c r="C3572" s="2" t="s">
        <v>573</v>
      </c>
      <c r="D3572" s="2" t="str">
        <f t="shared" ca="1" si="54"/>
        <v>Error?</v>
      </c>
    </row>
    <row r="3573" spans="1:4" x14ac:dyDescent="0.2">
      <c r="A3573" s="5">
        <v>3512</v>
      </c>
      <c r="B3573" s="138">
        <f ca="1">'Acct Summary 7-8'!K15</f>
        <v>0</v>
      </c>
      <c r="C3573" s="2" t="s">
        <v>573</v>
      </c>
      <c r="D3573" s="2" t="str">
        <f t="shared" ca="1" si="54"/>
        <v>Error?</v>
      </c>
    </row>
    <row r="3574" spans="1:4" x14ac:dyDescent="0.2">
      <c r="A3574" s="5">
        <v>3513</v>
      </c>
      <c r="B3574" s="138">
        <f ca="1">'Acct Summary 7-8'!K16</f>
        <v>0</v>
      </c>
      <c r="C3574" s="2" t="s">
        <v>573</v>
      </c>
      <c r="D3574" s="2" t="str">
        <f t="shared" ca="1" si="54"/>
        <v>Error?</v>
      </c>
    </row>
    <row r="3575" spans="1:4" x14ac:dyDescent="0.2">
      <c r="A3575" s="5">
        <v>3514</v>
      </c>
      <c r="B3575" s="138">
        <f ca="1">'Acct Summary 7-8'!K17</f>
        <v>0</v>
      </c>
      <c r="C3575" s="2" t="s">
        <v>573</v>
      </c>
      <c r="D3575" s="2" t="str">
        <f t="shared" ca="1" si="54"/>
        <v>Error?</v>
      </c>
    </row>
    <row r="3576" spans="1:4" x14ac:dyDescent="0.2">
      <c r="A3576" s="5">
        <v>3515</v>
      </c>
      <c r="B3576" s="138">
        <f ca="1">'Acct Summary 7-8'!K20</f>
        <v>0</v>
      </c>
      <c r="C3576" s="2" t="s">
        <v>573</v>
      </c>
      <c r="D3576" s="2" t="str">
        <f t="shared" ca="1" si="54"/>
        <v>Error?</v>
      </c>
    </row>
    <row r="3577" spans="1:4" x14ac:dyDescent="0.2">
      <c r="A3577" s="5">
        <v>3516</v>
      </c>
      <c r="B3577" s="138">
        <f ca="1">'Acct Summary 7-8'!K26</f>
        <v>0</v>
      </c>
      <c r="D3577" s="2" t="str">
        <f t="shared" ca="1" si="54"/>
        <v>Error?</v>
      </c>
    </row>
    <row r="3578" spans="1:4" x14ac:dyDescent="0.2">
      <c r="A3578" s="5">
        <v>3517</v>
      </c>
      <c r="B3578" s="138">
        <f ca="1">'Acct Summary 7-8'!K28</f>
        <v>0</v>
      </c>
      <c r="D3578" s="2" t="str">
        <f t="shared" ca="1" si="54"/>
        <v>Error?</v>
      </c>
    </row>
    <row r="3579" spans="1:4" x14ac:dyDescent="0.2">
      <c r="A3579" s="5">
        <v>3518</v>
      </c>
      <c r="B3579" s="138">
        <f ca="1">'Acct Summary 7-8'!K33</f>
        <v>0</v>
      </c>
      <c r="D3579" s="2" t="str">
        <f t="shared" ca="1" si="54"/>
        <v>Error?</v>
      </c>
    </row>
    <row r="3580" spans="1:4" x14ac:dyDescent="0.2">
      <c r="A3580" s="5">
        <v>3519</v>
      </c>
      <c r="B3580" s="138">
        <f ca="1">'Acct Summary 7-8'!K34</f>
        <v>0</v>
      </c>
      <c r="D3580" s="2" t="str">
        <f t="shared" ca="1" si="54"/>
        <v>Error?</v>
      </c>
    </row>
    <row r="3581" spans="1:4" x14ac:dyDescent="0.2">
      <c r="A3581" s="5">
        <v>3520</v>
      </c>
      <c r="B3581" s="138">
        <f ca="1">'Acct Summary 7-8'!K35</f>
        <v>0</v>
      </c>
      <c r="D3581" s="2" t="str">
        <f t="shared" ca="1" si="54"/>
        <v>Error?</v>
      </c>
    </row>
    <row r="3582" spans="1:4" x14ac:dyDescent="0.2">
      <c r="A3582" s="5">
        <v>3521</v>
      </c>
      <c r="B3582" s="138">
        <f ca="1">'Acct Summary 7-8'!K36</f>
        <v>0</v>
      </c>
      <c r="D3582" s="2" t="str">
        <f t="shared" ca="1" si="54"/>
        <v>Error?</v>
      </c>
    </row>
    <row r="3583" spans="1:4" x14ac:dyDescent="0.2">
      <c r="A3583" s="5">
        <v>3522</v>
      </c>
      <c r="B3583" s="138">
        <f ca="1">'Acct Summary 7-8'!K43</f>
        <v>0</v>
      </c>
      <c r="D3583" s="2" t="str">
        <f t="shared" ref="D3583:D3646" ca="1" si="55">IF(ISBLANK(B3583),"OK",IF(A3583-B3583=0,"OK","Error?"))</f>
        <v>Error?</v>
      </c>
    </row>
    <row r="3584" spans="1:4" x14ac:dyDescent="0.2">
      <c r="A3584" s="5">
        <v>3523</v>
      </c>
      <c r="B3584" s="138">
        <f ca="1">'Acct Summary 7-8'!K44</f>
        <v>0</v>
      </c>
      <c r="C3584" s="2" t="s">
        <v>573</v>
      </c>
      <c r="D3584" s="2" t="str">
        <f t="shared" ca="1" si="55"/>
        <v>Error?</v>
      </c>
    </row>
    <row r="3585" spans="1:4" x14ac:dyDescent="0.2">
      <c r="A3585" s="12">
        <v>3524</v>
      </c>
      <c r="B3585" s="138">
        <f ca="1">'Acct Summary 7-8'!K75</f>
        <v>0</v>
      </c>
      <c r="D3585" s="2" t="str">
        <f t="shared" ca="1" si="55"/>
        <v>Error?</v>
      </c>
    </row>
    <row r="3586" spans="1:4" x14ac:dyDescent="0.2">
      <c r="A3586" s="5">
        <v>3525</v>
      </c>
      <c r="B3586" s="138">
        <f ca="1">'Acct Summary 7-8'!K76</f>
        <v>0</v>
      </c>
      <c r="C3586" s="2" t="s">
        <v>573</v>
      </c>
      <c r="D3586" s="2" t="str">
        <f t="shared" ca="1" si="55"/>
        <v>Error?</v>
      </c>
    </row>
    <row r="3587" spans="1:4" x14ac:dyDescent="0.2">
      <c r="A3587" s="5">
        <v>3526</v>
      </c>
      <c r="B3587" s="138">
        <f ca="1">'Acct Summary 7-8'!K77</f>
        <v>0</v>
      </c>
      <c r="C3587" s="2" t="s">
        <v>573</v>
      </c>
      <c r="D3587" s="2" t="str">
        <f t="shared" ca="1" si="55"/>
        <v>Error?</v>
      </c>
    </row>
    <row r="3588" spans="1:4" x14ac:dyDescent="0.2">
      <c r="A3588" s="5">
        <v>3527</v>
      </c>
      <c r="B3588" s="138">
        <f ca="1">'Acct Summary 7-8'!K78</f>
        <v>0</v>
      </c>
      <c r="C3588" s="2" t="s">
        <v>573</v>
      </c>
      <c r="D3588" s="2" t="str">
        <f t="shared" ca="1"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 ca="1">'Acct Summary 7-8'!K81</f>
        <v>0</v>
      </c>
      <c r="C3591" s="2" t="s">
        <v>573</v>
      </c>
      <c r="D3591" s="2" t="str">
        <f t="shared" ca="1"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 ca="1">'Expenditures 15-22'!C348</f>
        <v>0</v>
      </c>
      <c r="D3617" s="2" t="str">
        <f t="shared" ca="1" si="55"/>
        <v>Error?</v>
      </c>
    </row>
    <row r="3618" spans="1:4" x14ac:dyDescent="0.2">
      <c r="A3618" s="5">
        <v>3557</v>
      </c>
      <c r="B3618" s="138">
        <f ca="1">'Expenditures 15-22'!C349</f>
        <v>0</v>
      </c>
      <c r="D3618" s="2" t="str">
        <f t="shared" ca="1" si="55"/>
        <v>Error?</v>
      </c>
    </row>
    <row r="3619" spans="1:4" x14ac:dyDescent="0.2">
      <c r="A3619" s="5">
        <v>3558</v>
      </c>
      <c r="B3619" s="138">
        <f ca="1">'Expenditures 15-22'!C350</f>
        <v>0</v>
      </c>
      <c r="C3619" s="2" t="s">
        <v>573</v>
      </c>
      <c r="D3619" s="2" t="str">
        <f t="shared" ca="1" si="55"/>
        <v>Error?</v>
      </c>
    </row>
    <row r="3620" spans="1:4" x14ac:dyDescent="0.2">
      <c r="A3620" s="5">
        <v>3559</v>
      </c>
      <c r="B3620" s="138">
        <f ca="1">'Expenditures 15-22'!C351</f>
        <v>0</v>
      </c>
      <c r="D3620" s="2" t="str">
        <f t="shared" ca="1" si="55"/>
        <v>Error?</v>
      </c>
    </row>
    <row r="3621" spans="1:4" x14ac:dyDescent="0.2">
      <c r="A3621" s="5">
        <v>3560</v>
      </c>
      <c r="B3621" s="138">
        <f ca="1">'Expenditures 15-22'!C352</f>
        <v>0</v>
      </c>
      <c r="C3621" s="2" t="s">
        <v>573</v>
      </c>
      <c r="D3621" s="2" t="str">
        <f t="shared" ca="1" si="55"/>
        <v>Error?</v>
      </c>
    </row>
    <row r="3622" spans="1:4" x14ac:dyDescent="0.2">
      <c r="A3622" s="5">
        <v>3561</v>
      </c>
      <c r="B3622" s="138">
        <f ca="1">'Expenditures 15-22'!C367</f>
        <v>0</v>
      </c>
      <c r="C3622" s="2" t="s">
        <v>573</v>
      </c>
      <c r="D3622" s="2" t="str">
        <f t="shared" ca="1" si="55"/>
        <v>Error?</v>
      </c>
    </row>
    <row r="3623" spans="1:4" x14ac:dyDescent="0.2">
      <c r="A3623" s="10">
        <v>3562</v>
      </c>
      <c r="D3623" s="2" t="str">
        <f t="shared" si="55"/>
        <v>OK</v>
      </c>
    </row>
    <row r="3624" spans="1:4" x14ac:dyDescent="0.2">
      <c r="A3624" s="5">
        <v>3563</v>
      </c>
      <c r="B3624" s="138">
        <f ca="1">'Expenditures 15-22'!D348</f>
        <v>0</v>
      </c>
      <c r="D3624" s="2" t="str">
        <f t="shared" ca="1" si="55"/>
        <v>Error?</v>
      </c>
    </row>
    <row r="3625" spans="1:4" x14ac:dyDescent="0.2">
      <c r="A3625" s="5">
        <v>3564</v>
      </c>
      <c r="B3625" s="138">
        <f ca="1">'Expenditures 15-22'!D349</f>
        <v>0</v>
      </c>
      <c r="D3625" s="2" t="str">
        <f t="shared" ca="1" si="55"/>
        <v>Error?</v>
      </c>
    </row>
    <row r="3626" spans="1:4" x14ac:dyDescent="0.2">
      <c r="A3626" s="5">
        <v>3565</v>
      </c>
      <c r="B3626" s="138">
        <f ca="1">'Expenditures 15-22'!D350</f>
        <v>0</v>
      </c>
      <c r="C3626" s="2" t="s">
        <v>573</v>
      </c>
      <c r="D3626" s="2" t="str">
        <f t="shared" ca="1" si="55"/>
        <v>Error?</v>
      </c>
    </row>
    <row r="3627" spans="1:4" x14ac:dyDescent="0.2">
      <c r="A3627" s="5">
        <v>3566</v>
      </c>
      <c r="B3627" s="138">
        <f ca="1">'Expenditures 15-22'!D351</f>
        <v>0</v>
      </c>
      <c r="D3627" s="2" t="str">
        <f t="shared" ca="1" si="55"/>
        <v>Error?</v>
      </c>
    </row>
    <row r="3628" spans="1:4" x14ac:dyDescent="0.2">
      <c r="A3628" s="5">
        <v>3567</v>
      </c>
      <c r="B3628" s="138">
        <f ca="1">'Expenditures 15-22'!D352</f>
        <v>0</v>
      </c>
      <c r="C3628" s="2" t="s">
        <v>573</v>
      </c>
      <c r="D3628" s="2" t="str">
        <f t="shared" ca="1" si="55"/>
        <v>Error?</v>
      </c>
    </row>
    <row r="3629" spans="1:4" x14ac:dyDescent="0.2">
      <c r="A3629" s="5">
        <v>3568</v>
      </c>
      <c r="B3629" s="138">
        <f ca="1">'Expenditures 15-22'!D367</f>
        <v>0</v>
      </c>
      <c r="C3629" s="2" t="s">
        <v>573</v>
      </c>
      <c r="D3629" s="2" t="str">
        <f t="shared" ca="1" si="55"/>
        <v>Error?</v>
      </c>
    </row>
    <row r="3630" spans="1:4" x14ac:dyDescent="0.2">
      <c r="A3630" s="10">
        <v>3569</v>
      </c>
      <c r="D3630" s="2" t="str">
        <f t="shared" si="55"/>
        <v>OK</v>
      </c>
    </row>
    <row r="3631" spans="1:4" x14ac:dyDescent="0.2">
      <c r="A3631" s="5">
        <v>3570</v>
      </c>
      <c r="B3631" s="138">
        <f ca="1">'Expenditures 15-22'!E348</f>
        <v>0</v>
      </c>
      <c r="D3631" s="2" t="str">
        <f t="shared" ca="1" si="55"/>
        <v>Error?</v>
      </c>
    </row>
    <row r="3632" spans="1:4" x14ac:dyDescent="0.2">
      <c r="A3632" s="5">
        <v>3571</v>
      </c>
      <c r="B3632" s="138">
        <f ca="1">'Expenditures 15-22'!E349</f>
        <v>0</v>
      </c>
      <c r="D3632" s="2" t="str">
        <f t="shared" ca="1" si="55"/>
        <v>Error?</v>
      </c>
    </row>
    <row r="3633" spans="1:4" x14ac:dyDescent="0.2">
      <c r="A3633" s="5">
        <v>3572</v>
      </c>
      <c r="B3633" s="138">
        <f ca="1">'Expenditures 15-22'!E350</f>
        <v>0</v>
      </c>
      <c r="C3633" s="2" t="s">
        <v>573</v>
      </c>
      <c r="D3633" s="2" t="str">
        <f t="shared" ca="1" si="55"/>
        <v>Error?</v>
      </c>
    </row>
    <row r="3634" spans="1:4" x14ac:dyDescent="0.2">
      <c r="A3634" s="5">
        <v>3573</v>
      </c>
      <c r="B3634" s="138">
        <f ca="1">'Expenditures 15-22'!E351</f>
        <v>0</v>
      </c>
      <c r="D3634" s="2" t="str">
        <f t="shared" ca="1" si="55"/>
        <v>Error?</v>
      </c>
    </row>
    <row r="3635" spans="1:4" x14ac:dyDescent="0.2">
      <c r="A3635" s="5">
        <v>3574</v>
      </c>
      <c r="B3635" s="138">
        <f ca="1">B3583</f>
        <v>0</v>
      </c>
      <c r="C3635" s="2" t="s">
        <v>573</v>
      </c>
      <c r="D3635" s="2" t="str">
        <f t="shared" ca="1" si="55"/>
        <v>Error?</v>
      </c>
    </row>
    <row r="3636" spans="1:4" x14ac:dyDescent="0.2">
      <c r="A3636" s="5">
        <v>3575</v>
      </c>
      <c r="B3636" s="138">
        <f ca="1">'Expenditures 15-22'!E367</f>
        <v>0</v>
      </c>
      <c r="C3636" s="2" t="s">
        <v>573</v>
      </c>
      <c r="D3636" s="2" t="str">
        <f t="shared" ca="1" si="55"/>
        <v>Error?</v>
      </c>
    </row>
    <row r="3637" spans="1:4" x14ac:dyDescent="0.2">
      <c r="A3637" s="10">
        <v>3576</v>
      </c>
      <c r="D3637" s="2" t="str">
        <f t="shared" si="55"/>
        <v>OK</v>
      </c>
    </row>
    <row r="3638" spans="1:4" x14ac:dyDescent="0.2">
      <c r="A3638" s="5">
        <v>3577</v>
      </c>
      <c r="B3638" s="138">
        <f ca="1">'Expenditures 15-22'!F348</f>
        <v>0</v>
      </c>
      <c r="D3638" s="2" t="str">
        <f t="shared" ca="1" si="55"/>
        <v>Error?</v>
      </c>
    </row>
    <row r="3639" spans="1:4" x14ac:dyDescent="0.2">
      <c r="A3639" s="5">
        <v>3578</v>
      </c>
      <c r="B3639" s="138">
        <f ca="1">'Expenditures 15-22'!F349</f>
        <v>0</v>
      </c>
      <c r="D3639" s="2" t="str">
        <f t="shared" ca="1" si="55"/>
        <v>Error?</v>
      </c>
    </row>
    <row r="3640" spans="1:4" x14ac:dyDescent="0.2">
      <c r="A3640" s="5">
        <v>3579</v>
      </c>
      <c r="B3640" s="138">
        <f ca="1">'Expenditures 15-22'!F350</f>
        <v>0</v>
      </c>
      <c r="C3640" s="2" t="s">
        <v>573</v>
      </c>
      <c r="D3640" s="2" t="str">
        <f t="shared" ca="1" si="55"/>
        <v>Error?</v>
      </c>
    </row>
    <row r="3641" spans="1:4" x14ac:dyDescent="0.2">
      <c r="A3641" s="5">
        <v>3580</v>
      </c>
      <c r="B3641" s="138">
        <f ca="1">'Expenditures 15-22'!F351</f>
        <v>0</v>
      </c>
      <c r="D3641" s="2" t="str">
        <f t="shared" ca="1" si="55"/>
        <v>Error?</v>
      </c>
    </row>
    <row r="3642" spans="1:4" x14ac:dyDescent="0.2">
      <c r="A3642" s="5">
        <v>3581</v>
      </c>
      <c r="B3642" s="138">
        <f ca="1">'Expenditures 15-22'!F352</f>
        <v>0</v>
      </c>
      <c r="C3642" s="2" t="s">
        <v>573</v>
      </c>
      <c r="D3642" s="2" t="str">
        <f t="shared" ca="1" si="55"/>
        <v>Error?</v>
      </c>
    </row>
    <row r="3643" spans="1:4" x14ac:dyDescent="0.2">
      <c r="A3643" s="5">
        <v>3582</v>
      </c>
      <c r="B3643" s="138">
        <f ca="1">'Expenditures 15-22'!F367</f>
        <v>0</v>
      </c>
      <c r="C3643" s="2" t="s">
        <v>573</v>
      </c>
      <c r="D3643" s="2" t="str">
        <f t="shared" ca="1" si="55"/>
        <v>Error?</v>
      </c>
    </row>
    <row r="3644" spans="1:4" x14ac:dyDescent="0.2">
      <c r="A3644" s="10">
        <v>3583</v>
      </c>
      <c r="D3644" s="2" t="str">
        <f t="shared" si="55"/>
        <v>OK</v>
      </c>
    </row>
    <row r="3645" spans="1:4" x14ac:dyDescent="0.2">
      <c r="A3645" s="5">
        <v>3584</v>
      </c>
      <c r="B3645" s="138">
        <f ca="1">'Expenditures 15-22'!G348</f>
        <v>0</v>
      </c>
      <c r="D3645" s="2" t="str">
        <f t="shared" ca="1" si="55"/>
        <v>Error?</v>
      </c>
    </row>
    <row r="3646" spans="1:4" x14ac:dyDescent="0.2">
      <c r="A3646" s="5">
        <v>3585</v>
      </c>
      <c r="B3646" s="138">
        <f ca="1">'Expenditures 15-22'!G349</f>
        <v>0</v>
      </c>
      <c r="D3646" s="2" t="str">
        <f t="shared" ca="1" si="55"/>
        <v>Error?</v>
      </c>
    </row>
    <row r="3647" spans="1:4" x14ac:dyDescent="0.2">
      <c r="A3647" s="5">
        <v>3586</v>
      </c>
      <c r="B3647" s="138">
        <f ca="1">'Expenditures 15-22'!G350</f>
        <v>0</v>
      </c>
      <c r="C3647" s="2" t="s">
        <v>573</v>
      </c>
      <c r="D3647" s="2" t="str">
        <f t="shared" ref="D3647:D3710" ca="1" si="56">IF(ISBLANK(B3647),"OK",IF(A3647-B3647=0,"OK","Error?"))</f>
        <v>Error?</v>
      </c>
    </row>
    <row r="3648" spans="1:4" x14ac:dyDescent="0.2">
      <c r="A3648" s="5">
        <v>3587</v>
      </c>
      <c r="B3648" s="138">
        <f ca="1">'Expenditures 15-22'!G351</f>
        <v>0</v>
      </c>
      <c r="D3648" s="2" t="str">
        <f t="shared" ca="1" si="56"/>
        <v>Error?</v>
      </c>
    </row>
    <row r="3649" spans="1:4" x14ac:dyDescent="0.2">
      <c r="A3649" s="5">
        <v>3588</v>
      </c>
      <c r="B3649" s="138">
        <f ca="1">'Expenditures 15-22'!G352</f>
        <v>0</v>
      </c>
      <c r="C3649" s="2" t="s">
        <v>573</v>
      </c>
      <c r="D3649" s="2" t="str">
        <f t="shared" ca="1" si="56"/>
        <v>Error?</v>
      </c>
    </row>
    <row r="3650" spans="1:4" x14ac:dyDescent="0.2">
      <c r="A3650" s="5">
        <v>3589</v>
      </c>
      <c r="B3650" s="138">
        <f ca="1">'Expenditures 15-22'!G367</f>
        <v>0</v>
      </c>
      <c r="C3650" s="2" t="s">
        <v>573</v>
      </c>
      <c r="D3650" s="2" t="str">
        <f t="shared" ca="1" si="56"/>
        <v>Error?</v>
      </c>
    </row>
    <row r="3651" spans="1:4" x14ac:dyDescent="0.2">
      <c r="A3651" s="10">
        <v>3590</v>
      </c>
      <c r="D3651" s="2" t="str">
        <f t="shared" si="56"/>
        <v>OK</v>
      </c>
    </row>
    <row r="3652" spans="1:4" x14ac:dyDescent="0.2">
      <c r="A3652" s="5">
        <v>3591</v>
      </c>
      <c r="B3652" s="138">
        <f ca="1">'Expenditures 15-22'!H348</f>
        <v>0</v>
      </c>
      <c r="D3652" s="2" t="str">
        <f t="shared" ca="1" si="56"/>
        <v>Error?</v>
      </c>
    </row>
    <row r="3653" spans="1:4" x14ac:dyDescent="0.2">
      <c r="A3653" s="5">
        <v>3592</v>
      </c>
      <c r="B3653" s="138">
        <f ca="1">'Expenditures 15-22'!H349</f>
        <v>0</v>
      </c>
      <c r="D3653" s="2" t="str">
        <f t="shared" ca="1" si="56"/>
        <v>Error?</v>
      </c>
    </row>
    <row r="3654" spans="1:4" x14ac:dyDescent="0.2">
      <c r="A3654" s="5">
        <v>3593</v>
      </c>
      <c r="B3654" s="138">
        <f ca="1">'Expenditures 15-22'!H350</f>
        <v>0</v>
      </c>
      <c r="C3654" s="2" t="s">
        <v>573</v>
      </c>
      <c r="D3654" s="2" t="str">
        <f t="shared" ca="1" si="56"/>
        <v>Error?</v>
      </c>
    </row>
    <row r="3655" spans="1:4" x14ac:dyDescent="0.2">
      <c r="A3655" s="5">
        <v>3594</v>
      </c>
      <c r="B3655" s="138">
        <f ca="1">'Expenditures 15-22'!H351</f>
        <v>0</v>
      </c>
      <c r="D3655" s="2" t="str">
        <f t="shared" ca="1" si="56"/>
        <v>Error?</v>
      </c>
    </row>
    <row r="3656" spans="1:4" x14ac:dyDescent="0.2">
      <c r="A3656" s="5">
        <v>3595</v>
      </c>
      <c r="B3656" s="138">
        <f ca="1">'Expenditures 15-22'!H352</f>
        <v>0</v>
      </c>
      <c r="C3656" s="2" t="s">
        <v>573</v>
      </c>
      <c r="D3656" s="2" t="str">
        <f t="shared" ca="1" si="56"/>
        <v>Error?</v>
      </c>
    </row>
    <row r="3657" spans="1:4" x14ac:dyDescent="0.2">
      <c r="A3657" s="5">
        <v>3596</v>
      </c>
      <c r="B3657" s="138">
        <f ca="1">'Expenditures 15-22'!H360</f>
        <v>0</v>
      </c>
      <c r="D3657" s="2" t="str">
        <f t="shared" ca="1" si="56"/>
        <v>Error?</v>
      </c>
    </row>
    <row r="3658" spans="1:4" x14ac:dyDescent="0.2">
      <c r="A3658" s="12">
        <v>3597</v>
      </c>
      <c r="B3658" s="138">
        <f ca="1">'Expenditures 15-22'!H362</f>
        <v>0</v>
      </c>
      <c r="D3658" s="2" t="str">
        <f t="shared" ca="1" si="56"/>
        <v>Error?</v>
      </c>
    </row>
    <row r="3659" spans="1:4" x14ac:dyDescent="0.2">
      <c r="A3659" s="10">
        <v>3598</v>
      </c>
      <c r="D3659" s="2" t="str">
        <f t="shared" si="56"/>
        <v>OK</v>
      </c>
    </row>
    <row r="3660" spans="1:4" x14ac:dyDescent="0.2">
      <c r="A3660" s="5">
        <v>3599</v>
      </c>
      <c r="B3660" s="138">
        <f ca="1">'Expenditures 15-22'!H367</f>
        <v>0</v>
      </c>
      <c r="C3660" s="2" t="s">
        <v>573</v>
      </c>
      <c r="D3660" s="2" t="str">
        <f t="shared" ca="1"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 ca="1">'Expenditures 15-22'!K348</f>
        <v>0</v>
      </c>
      <c r="C3668" s="2" t="s">
        <v>573</v>
      </c>
      <c r="D3668" s="2" t="str">
        <f t="shared" ca="1" si="56"/>
        <v>Error?</v>
      </c>
    </row>
    <row r="3669" spans="1:4" x14ac:dyDescent="0.2">
      <c r="A3669" s="5">
        <v>3608</v>
      </c>
      <c r="B3669" s="138">
        <f ca="1">'Expenditures 15-22'!K349</f>
        <v>0</v>
      </c>
      <c r="C3669" s="2" t="s">
        <v>573</v>
      </c>
      <c r="D3669" s="2" t="str">
        <f t="shared" ca="1" si="56"/>
        <v>Error?</v>
      </c>
    </row>
    <row r="3670" spans="1:4" x14ac:dyDescent="0.2">
      <c r="A3670" s="5">
        <v>3609</v>
      </c>
      <c r="B3670" s="138">
        <f ca="1">'Expenditures 15-22'!K350</f>
        <v>0</v>
      </c>
      <c r="C3670" s="2" t="s">
        <v>573</v>
      </c>
      <c r="D3670" s="2" t="str">
        <f t="shared" ca="1" si="56"/>
        <v>Error?</v>
      </c>
    </row>
    <row r="3671" spans="1:4" x14ac:dyDescent="0.2">
      <c r="A3671" s="5">
        <v>3610</v>
      </c>
      <c r="B3671" s="138">
        <f ca="1">'Expenditures 15-22'!K351</f>
        <v>0</v>
      </c>
      <c r="C3671" s="2" t="s">
        <v>573</v>
      </c>
      <c r="D3671" s="2" t="str">
        <f t="shared" ca="1" si="56"/>
        <v>Error?</v>
      </c>
    </row>
    <row r="3672" spans="1:4" x14ac:dyDescent="0.2">
      <c r="A3672" s="5">
        <v>3611</v>
      </c>
      <c r="B3672" s="138">
        <f ca="1">'Expenditures 15-22'!K352</f>
        <v>0</v>
      </c>
      <c r="C3672" s="2" t="s">
        <v>573</v>
      </c>
      <c r="D3672" s="2" t="str">
        <f t="shared" ca="1" si="56"/>
        <v>Error?</v>
      </c>
    </row>
    <row r="3673" spans="1:4" x14ac:dyDescent="0.2">
      <c r="A3673" s="5">
        <v>3612</v>
      </c>
      <c r="B3673" s="138">
        <f ca="1">'Expenditures 15-22'!K354</f>
        <v>0</v>
      </c>
      <c r="C3673" s="2" t="s">
        <v>573</v>
      </c>
      <c r="D3673" s="2" t="str">
        <f t="shared" ca="1" si="56"/>
        <v>Error?</v>
      </c>
    </row>
    <row r="3674" spans="1:4" x14ac:dyDescent="0.2">
      <c r="A3674" s="12">
        <v>3613</v>
      </c>
      <c r="B3674" s="138">
        <f ca="1">'Expenditures 15-22'!K355</f>
        <v>0</v>
      </c>
      <c r="D3674" s="2" t="str">
        <f t="shared" ca="1" si="56"/>
        <v>Error?</v>
      </c>
    </row>
    <row r="3675" spans="1:4" x14ac:dyDescent="0.2">
      <c r="A3675" s="5">
        <v>3614</v>
      </c>
      <c r="B3675" s="138">
        <f ca="1">'Expenditures 15-22'!K360</f>
        <v>0</v>
      </c>
      <c r="C3675" s="2" t="s">
        <v>573</v>
      </c>
      <c r="D3675" s="2" t="str">
        <f t="shared" ca="1" si="56"/>
        <v>Error?</v>
      </c>
    </row>
    <row r="3676" spans="1:4" x14ac:dyDescent="0.2">
      <c r="A3676" s="12">
        <v>3615</v>
      </c>
      <c r="B3676" s="138">
        <f ca="1">'Expenditures 15-22'!K362</f>
        <v>0</v>
      </c>
      <c r="D3676" s="2" t="str">
        <f t="shared" ca="1" si="56"/>
        <v>Error?</v>
      </c>
    </row>
    <row r="3677" spans="1:4" x14ac:dyDescent="0.2">
      <c r="A3677" s="10">
        <v>3616</v>
      </c>
      <c r="D3677" s="2" t="str">
        <f t="shared" si="56"/>
        <v>OK</v>
      </c>
    </row>
    <row r="3678" spans="1:4" x14ac:dyDescent="0.2">
      <c r="A3678" s="5">
        <v>3617</v>
      </c>
      <c r="B3678" s="138">
        <f ca="1">'Expenditures 15-22'!K367</f>
        <v>0</v>
      </c>
      <c r="C3678" s="2" t="s">
        <v>573</v>
      </c>
      <c r="D3678" s="2" t="str">
        <f t="shared" ca="1"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 ca="1">'Expenditures 15-22'!K368</f>
        <v>0</v>
      </c>
      <c r="C3681" s="2" t="s">
        <v>573</v>
      </c>
      <c r="D3681" s="2" t="str">
        <f t="shared" ca="1"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 ca="1">'Acct Summary 7-8'!D30</f>
        <v>0</v>
      </c>
      <c r="D3698" s="2" t="str">
        <f t="shared" ca="1" si="56"/>
        <v>Error?</v>
      </c>
    </row>
    <row r="3699" spans="1:4" x14ac:dyDescent="0.2">
      <c r="A3699" s="5">
        <v>3638</v>
      </c>
      <c r="B3699" s="138">
        <f ca="1">'Acct Summary 7-8'!E31</f>
        <v>0</v>
      </c>
      <c r="D3699" s="2" t="str">
        <f t="shared" ca="1"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 ca="1">'Acct Summary 7-8'!K52</f>
        <v>0</v>
      </c>
      <c r="C3702" s="2" t="s">
        <v>573</v>
      </c>
      <c r="D3702" s="2" t="str">
        <f t="shared" ca="1" si="56"/>
        <v>Error?</v>
      </c>
    </row>
    <row r="3703" spans="1:4" x14ac:dyDescent="0.2">
      <c r="A3703" s="5">
        <v>3642</v>
      </c>
      <c r="B3703" s="138">
        <f ca="1">'Acct Summary 7-8'!K53</f>
        <v>0</v>
      </c>
      <c r="C3703" s="2" t="s">
        <v>573</v>
      </c>
      <c r="D3703" s="2" t="str">
        <f t="shared" ca="1"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 ca="1">'Expenditures 15-22'!K309</f>
        <v>0</v>
      </c>
      <c r="C3717" s="2" t="s">
        <v>573</v>
      </c>
      <c r="D3717" s="2" t="str">
        <f t="shared" ca="1" si="57"/>
        <v>Error?</v>
      </c>
    </row>
    <row r="3718" spans="1:4" x14ac:dyDescent="0.2">
      <c r="A3718" s="5">
        <v>3657</v>
      </c>
      <c r="B3718" s="138">
        <f ca="1">'Acct Summary 7-8'!K7</f>
        <v>0</v>
      </c>
      <c r="C3718" s="2" t="s">
        <v>573</v>
      </c>
      <c r="D3718" s="2" t="str">
        <f t="shared" ca="1"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 ca="1">'Expenditures 15-22'!D283</f>
        <v>0</v>
      </c>
      <c r="D3721" s="2" t="str">
        <f t="shared" ca="1" si="57"/>
        <v>Error?</v>
      </c>
    </row>
    <row r="3722" spans="1:4" x14ac:dyDescent="0.2">
      <c r="A3722" s="5">
        <v>3661</v>
      </c>
      <c r="B3722" s="138">
        <f ca="1">'Expenditures 15-22'!D285</f>
        <v>0</v>
      </c>
      <c r="C3722" s="2" t="s">
        <v>573</v>
      </c>
      <c r="D3722" s="2" t="str">
        <f t="shared" ca="1" si="57"/>
        <v>Error?</v>
      </c>
    </row>
    <row r="3723" spans="1:4" x14ac:dyDescent="0.2">
      <c r="A3723" s="5">
        <v>3662</v>
      </c>
      <c r="B3723" s="138">
        <f ca="1">'Expenditures 15-22'!K283</f>
        <v>0</v>
      </c>
      <c r="C3723" s="2" t="s">
        <v>573</v>
      </c>
      <c r="D3723" s="2" t="str">
        <f t="shared" ca="1" si="57"/>
        <v>Error?</v>
      </c>
    </row>
    <row r="3724" spans="1:4" x14ac:dyDescent="0.2">
      <c r="A3724" s="5">
        <v>3663</v>
      </c>
      <c r="B3724" s="138">
        <f ca="1">'Expenditures 15-22'!K285</f>
        <v>0</v>
      </c>
      <c r="C3724" s="2" t="s">
        <v>573</v>
      </c>
      <c r="D3724" s="2" t="str">
        <f t="shared" ca="1" si="57"/>
        <v>Error?</v>
      </c>
    </row>
    <row r="3725" spans="1:4" x14ac:dyDescent="0.2">
      <c r="A3725" s="5">
        <v>3664</v>
      </c>
      <c r="B3725" s="138">
        <f ca="1">'Tax Sched 23'!B13</f>
        <v>0</v>
      </c>
      <c r="C3725" s="2" t="s">
        <v>573</v>
      </c>
      <c r="D3725" s="2" t="str">
        <f t="shared" ca="1" si="57"/>
        <v>Error?</v>
      </c>
    </row>
    <row r="3726" spans="1:4" x14ac:dyDescent="0.2">
      <c r="A3726" s="5">
        <v>3665</v>
      </c>
      <c r="B3726" s="138">
        <f ca="1">'Tax Sched 23'!D13</f>
        <v>0</v>
      </c>
      <c r="C3726" s="2" t="s">
        <v>573</v>
      </c>
      <c r="D3726" s="2" t="str">
        <f t="shared" ca="1"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28846.83</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 ca="1">'Expenditures 15-22'!C120</f>
        <v>0</v>
      </c>
      <c r="D4074" s="2" t="str">
        <f t="shared" ca="1" si="62"/>
        <v>Error?</v>
      </c>
    </row>
    <row r="4075" spans="1:4" x14ac:dyDescent="0.2">
      <c r="A4075" s="5">
        <v>4014</v>
      </c>
      <c r="B4075" s="138">
        <f ca="1">'Expenditures 15-22'!D120</f>
        <v>0</v>
      </c>
      <c r="D4075" s="2" t="str">
        <f t="shared" ca="1" si="62"/>
        <v>Error?</v>
      </c>
    </row>
    <row r="4076" spans="1:4" x14ac:dyDescent="0.2">
      <c r="A4076" s="5">
        <v>4015</v>
      </c>
      <c r="B4076" s="138">
        <f ca="1">'Expenditures 15-22'!E120</f>
        <v>0</v>
      </c>
      <c r="D4076" s="2" t="str">
        <f t="shared" ca="1" si="62"/>
        <v>Error?</v>
      </c>
    </row>
    <row r="4077" spans="1:4" x14ac:dyDescent="0.2">
      <c r="A4077" s="5">
        <v>4016</v>
      </c>
      <c r="B4077" s="138">
        <f ca="1">'Expenditures 15-22'!F120</f>
        <v>0</v>
      </c>
      <c r="D4077" s="2" t="str">
        <f t="shared" ca="1" si="62"/>
        <v>Error?</v>
      </c>
    </row>
    <row r="4078" spans="1:4" x14ac:dyDescent="0.2">
      <c r="A4078" s="5">
        <v>4017</v>
      </c>
      <c r="B4078" s="138">
        <f ca="1">'Expenditures 15-22'!G120</f>
        <v>0</v>
      </c>
      <c r="D4078" s="2" t="str">
        <f t="shared" ca="1" si="62"/>
        <v>Error?</v>
      </c>
    </row>
    <row r="4079" spans="1:4" x14ac:dyDescent="0.2">
      <c r="A4079" s="5">
        <v>4018</v>
      </c>
      <c r="B4079" s="138">
        <f ca="1">'Expenditures 15-22'!H120</f>
        <v>0</v>
      </c>
      <c r="D4079" s="2" t="str">
        <f t="shared" ca="1" si="62"/>
        <v>Error?</v>
      </c>
    </row>
    <row r="4080" spans="1:4" x14ac:dyDescent="0.2">
      <c r="A4080" s="5">
        <v>4019</v>
      </c>
      <c r="B4080" s="138">
        <f ca="1">'Expenditures 15-22'!K120</f>
        <v>0</v>
      </c>
      <c r="C4080" s="2" t="s">
        <v>573</v>
      </c>
      <c r="D4080" s="2" t="str">
        <f t="shared" ca="1" si="62"/>
        <v>Error?</v>
      </c>
    </row>
    <row r="4081" spans="1:4" x14ac:dyDescent="0.2">
      <c r="A4081" s="5">
        <v>4020</v>
      </c>
      <c r="B4081" s="138">
        <f ca="1">'Expenditures 15-22'!C180</f>
        <v>0</v>
      </c>
      <c r="D4081" s="2" t="str">
        <f t="shared" ca="1" si="62"/>
        <v>Error?</v>
      </c>
    </row>
    <row r="4082" spans="1:4" x14ac:dyDescent="0.2">
      <c r="A4082" s="5">
        <v>4021</v>
      </c>
      <c r="B4082" s="138">
        <f ca="1">'Expenditures 15-22'!D180</f>
        <v>0</v>
      </c>
      <c r="D4082" s="2" t="str">
        <f t="shared" ca="1" si="62"/>
        <v>Error?</v>
      </c>
    </row>
    <row r="4083" spans="1:4" x14ac:dyDescent="0.2">
      <c r="A4083" s="5">
        <v>4022</v>
      </c>
      <c r="B4083" s="138">
        <f ca="1">'Expenditures 15-22'!E180</f>
        <v>0</v>
      </c>
      <c r="D4083" s="2" t="str">
        <f t="shared" ca="1" si="62"/>
        <v>Error?</v>
      </c>
    </row>
    <row r="4084" spans="1:4" x14ac:dyDescent="0.2">
      <c r="A4084" s="5">
        <v>4023</v>
      </c>
      <c r="B4084" s="138">
        <f ca="1">'Expenditures 15-22'!F180</f>
        <v>0</v>
      </c>
      <c r="D4084" s="2" t="str">
        <f t="shared" ca="1" si="62"/>
        <v>Error?</v>
      </c>
    </row>
    <row r="4085" spans="1:4" x14ac:dyDescent="0.2">
      <c r="A4085" s="5">
        <v>4024</v>
      </c>
      <c r="B4085" s="138">
        <f ca="1">'Expenditures 15-22'!G180</f>
        <v>0</v>
      </c>
      <c r="D4085" s="2" t="str">
        <f t="shared" ca="1" si="62"/>
        <v>Error?</v>
      </c>
    </row>
    <row r="4086" spans="1:4" x14ac:dyDescent="0.2">
      <c r="A4086" s="5">
        <v>4025</v>
      </c>
      <c r="B4086" s="138">
        <f ca="1">'Expenditures 15-22'!H180</f>
        <v>0</v>
      </c>
      <c r="D4086" s="2" t="str">
        <f t="shared" ca="1" si="62"/>
        <v>Error?</v>
      </c>
    </row>
    <row r="4087" spans="1:4" x14ac:dyDescent="0.2">
      <c r="A4087" s="5">
        <v>4026</v>
      </c>
      <c r="B4087" s="138">
        <f ca="1">'Expenditures 15-22'!K180</f>
        <v>0</v>
      </c>
      <c r="C4087" s="2" t="s">
        <v>573</v>
      </c>
      <c r="D4087" s="2" t="str">
        <f t="shared" ca="1"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 ca="1">'Expenditures 15-22'!K307</f>
        <v>0</v>
      </c>
      <c r="C4099" s="2" t="s">
        <v>573</v>
      </c>
      <c r="D4099" s="2" t="str">
        <f t="shared" ca="1" si="63"/>
        <v>Error?</v>
      </c>
    </row>
    <row r="4100" spans="1:4" x14ac:dyDescent="0.2">
      <c r="A4100" s="5">
        <v>4039</v>
      </c>
      <c r="B4100" s="138">
        <f ca="1">'Expenditures 15-22'!K308</f>
        <v>0</v>
      </c>
      <c r="C4100" s="2" t="s">
        <v>573</v>
      </c>
      <c r="D4100" s="2" t="str">
        <f t="shared" ca="1" si="63"/>
        <v>Error?</v>
      </c>
    </row>
    <row r="4101" spans="1:4" x14ac:dyDescent="0.2">
      <c r="A4101" s="10">
        <v>4040</v>
      </c>
      <c r="C4101" s="2" t="s">
        <v>573</v>
      </c>
      <c r="D4101" s="2" t="str">
        <f t="shared" si="63"/>
        <v>OK</v>
      </c>
    </row>
    <row r="4102" spans="1:4" x14ac:dyDescent="0.2">
      <c r="A4102" s="5">
        <v>4041</v>
      </c>
      <c r="B4102" s="138">
        <f ca="1">'Tax Sched 23'!B17</f>
        <v>0</v>
      </c>
      <c r="C4102" s="2" t="s">
        <v>573</v>
      </c>
      <c r="D4102" s="2" t="str">
        <f t="shared" ca="1" si="63"/>
        <v>Error?</v>
      </c>
    </row>
    <row r="4103" spans="1:4" x14ac:dyDescent="0.2">
      <c r="A4103" s="5">
        <v>4042</v>
      </c>
      <c r="B4103" s="138">
        <f ca="1">'Tax Sched 23'!B18</f>
        <v>0</v>
      </c>
      <c r="C4103" s="2" t="s">
        <v>573</v>
      </c>
      <c r="D4103" s="2" t="str">
        <f t="shared" ca="1" si="63"/>
        <v>Error?</v>
      </c>
    </row>
    <row r="4104" spans="1:4" x14ac:dyDescent="0.2">
      <c r="A4104" s="5">
        <v>4043</v>
      </c>
      <c r="B4104" s="138">
        <f ca="1">'Tax Sched 23'!D17</f>
        <v>0</v>
      </c>
      <c r="C4104" s="2" t="s">
        <v>573</v>
      </c>
      <c r="D4104" s="2" t="str">
        <f t="shared" ca="1" si="63"/>
        <v>Error?</v>
      </c>
    </row>
    <row r="4105" spans="1:4" x14ac:dyDescent="0.2">
      <c r="A4105" s="5">
        <v>4044</v>
      </c>
      <c r="B4105" s="138">
        <f ca="1">'Tax Sched 23'!D18</f>
        <v>0</v>
      </c>
      <c r="C4105" s="2" t="s">
        <v>573</v>
      </c>
      <c r="D4105" s="2" t="str">
        <f t="shared" ca="1"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506605</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 ca="1">'Acct Summary 7-8'!C10</f>
        <v>2175760</v>
      </c>
      <c r="C4122" s="2" t="s">
        <v>573</v>
      </c>
      <c r="D4122" s="2" t="str">
        <f t="shared" ca="1" si="63"/>
        <v>Error?</v>
      </c>
    </row>
    <row r="4123" spans="1:4" x14ac:dyDescent="0.2">
      <c r="A4123" s="5">
        <v>4062</v>
      </c>
      <c r="B4123" s="138">
        <f ca="1">'Acct Summary 7-8'!D10</f>
        <v>248342</v>
      </c>
      <c r="C4123" s="2" t="s">
        <v>573</v>
      </c>
      <c r="D4123" s="2" t="str">
        <f t="shared" ca="1" si="63"/>
        <v>Error?</v>
      </c>
    </row>
    <row r="4124" spans="1:4" x14ac:dyDescent="0.2">
      <c r="A4124" s="5">
        <v>4063</v>
      </c>
      <c r="B4124" s="138">
        <f ca="1">'Acct Summary 7-8'!E10</f>
        <v>0</v>
      </c>
      <c r="C4124" s="2" t="s">
        <v>573</v>
      </c>
      <c r="D4124" s="2" t="str">
        <f t="shared" ca="1" si="63"/>
        <v>Error?</v>
      </c>
    </row>
    <row r="4125" spans="1:4" x14ac:dyDescent="0.2">
      <c r="A4125" s="5">
        <v>4064</v>
      </c>
      <c r="B4125" s="138">
        <f ca="1">'Acct Summary 7-8'!F10</f>
        <v>201811</v>
      </c>
      <c r="C4125" s="2" t="s">
        <v>573</v>
      </c>
      <c r="D4125" s="2" t="str">
        <f t="shared" ca="1" si="63"/>
        <v>Error?</v>
      </c>
    </row>
    <row r="4126" spans="1:4" x14ac:dyDescent="0.2">
      <c r="A4126" s="5">
        <v>4065</v>
      </c>
      <c r="B4126" s="138">
        <f ca="1">'Acct Summary 7-8'!G10</f>
        <v>17784</v>
      </c>
      <c r="C4126" s="2" t="s">
        <v>573</v>
      </c>
      <c r="D4126" s="2" t="str">
        <f t="shared" ca="1" si="63"/>
        <v>Error?</v>
      </c>
    </row>
    <row r="4127" spans="1:4" x14ac:dyDescent="0.2">
      <c r="A4127" s="5">
        <v>4066</v>
      </c>
      <c r="B4127" s="138">
        <f ca="1">'Acct Summary 7-8'!H10</f>
        <v>53964</v>
      </c>
      <c r="C4127" s="2" t="s">
        <v>573</v>
      </c>
      <c r="D4127" s="2" t="str">
        <f t="shared" ca="1" si="63"/>
        <v>Error?</v>
      </c>
    </row>
    <row r="4128" spans="1:4" x14ac:dyDescent="0.2">
      <c r="A4128" s="5">
        <v>4067</v>
      </c>
      <c r="B4128" s="138">
        <f ca="1">'Acct Summary 7-8'!I10</f>
        <v>11495</v>
      </c>
      <c r="C4128" s="2" t="s">
        <v>573</v>
      </c>
      <c r="D4128" s="2" t="str">
        <f t="shared" ca="1" si="63"/>
        <v>Error?</v>
      </c>
    </row>
    <row r="4129" spans="1:4" x14ac:dyDescent="0.2">
      <c r="A4129" s="10">
        <v>4068</v>
      </c>
      <c r="C4129" s="2" t="s">
        <v>573</v>
      </c>
      <c r="D4129" s="2" t="str">
        <f t="shared" si="63"/>
        <v>OK</v>
      </c>
    </row>
    <row r="4130" spans="1:4" x14ac:dyDescent="0.2">
      <c r="A4130" s="5">
        <v>4069</v>
      </c>
      <c r="B4130" s="138">
        <f ca="1">'Acct Summary 7-8'!K10</f>
        <v>0</v>
      </c>
      <c r="C4130" s="2" t="s">
        <v>573</v>
      </c>
      <c r="D4130" s="2" t="str">
        <f t="shared" ca="1" si="63"/>
        <v>Error?</v>
      </c>
    </row>
    <row r="4131" spans="1:4" x14ac:dyDescent="0.2">
      <c r="A4131" s="5">
        <v>4070</v>
      </c>
      <c r="B4131" s="138">
        <f>'Acct Summary 7-8'!C18</f>
        <v>506605</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 ca="1">'Acct Summary 7-8'!C19</f>
        <v>2263502</v>
      </c>
      <c r="C4136" s="2" t="s">
        <v>573</v>
      </c>
      <c r="D4136" s="2" t="str">
        <f t="shared" ca="1" si="63"/>
        <v>Error?</v>
      </c>
    </row>
    <row r="4137" spans="1:4" x14ac:dyDescent="0.2">
      <c r="A4137" s="5">
        <v>4076</v>
      </c>
      <c r="B4137" s="138">
        <f ca="1">'Acct Summary 7-8'!D19</f>
        <v>241055</v>
      </c>
      <c r="C4137" s="2" t="s">
        <v>573</v>
      </c>
      <c r="D4137" s="2" t="str">
        <f t="shared" ca="1" si="63"/>
        <v>Error?</v>
      </c>
    </row>
    <row r="4138" spans="1:4" x14ac:dyDescent="0.2">
      <c r="A4138" s="5">
        <v>4077</v>
      </c>
      <c r="B4138" s="138">
        <f ca="1">'Acct Summary 7-8'!E19</f>
        <v>0</v>
      </c>
      <c r="C4138" s="2" t="s">
        <v>573</v>
      </c>
      <c r="D4138" s="2" t="str">
        <f t="shared" ca="1" si="63"/>
        <v>Error?</v>
      </c>
    </row>
    <row r="4139" spans="1:4" x14ac:dyDescent="0.2">
      <c r="A4139" s="5">
        <v>4078</v>
      </c>
      <c r="B4139" s="138">
        <f ca="1">'Acct Summary 7-8'!F19</f>
        <v>121834</v>
      </c>
      <c r="C4139" s="2" t="s">
        <v>573</v>
      </c>
      <c r="D4139" s="2" t="str">
        <f t="shared" ca="1" si="63"/>
        <v>Error?</v>
      </c>
    </row>
    <row r="4140" spans="1:4" x14ac:dyDescent="0.2">
      <c r="A4140" s="5">
        <v>4079</v>
      </c>
      <c r="B4140" s="138">
        <f ca="1">'Acct Summary 7-8'!G19</f>
        <v>55355</v>
      </c>
      <c r="C4140" s="2" t="s">
        <v>573</v>
      </c>
      <c r="D4140" s="2" t="str">
        <f t="shared" ca="1" si="63"/>
        <v>Error?</v>
      </c>
    </row>
    <row r="4141" spans="1:4" x14ac:dyDescent="0.2">
      <c r="A4141" s="5">
        <v>4080</v>
      </c>
      <c r="B4141" s="138">
        <f ca="1">'Acct Summary 7-8'!H19</f>
        <v>46149</v>
      </c>
      <c r="C4141" s="2" t="s">
        <v>573</v>
      </c>
      <c r="D4141" s="2" t="str">
        <f t="shared" ca="1"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 ca="1">'Acct Summary 7-8'!K19</f>
        <v>0</v>
      </c>
      <c r="C4144" s="2" t="s">
        <v>573</v>
      </c>
      <c r="D4144" s="2" t="str">
        <f t="shared" ca="1"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 ca="1">'Expenditures 15-22'!H204</f>
        <v>0</v>
      </c>
      <c r="C4156" s="2" t="s">
        <v>573</v>
      </c>
      <c r="D4156" s="2" t="str">
        <f t="shared" ca="1" si="63"/>
        <v>Error?</v>
      </c>
    </row>
    <row r="4157" spans="1:4" x14ac:dyDescent="0.2">
      <c r="A4157" s="5">
        <v>4096</v>
      </c>
      <c r="B4157" s="138">
        <f ca="1">'Expenditures 15-22'!K204</f>
        <v>0</v>
      </c>
      <c r="C4157" s="2" t="s">
        <v>573</v>
      </c>
      <c r="D4157" s="2" t="str">
        <f t="shared" ca="1"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 ca="1">'Expenditures 15-22'!D284</f>
        <v>0</v>
      </c>
      <c r="D4165" s="2" t="str">
        <f t="shared" ca="1" si="64"/>
        <v>Error?</v>
      </c>
    </row>
    <row r="4166" spans="1:4" x14ac:dyDescent="0.2">
      <c r="A4166" s="5">
        <v>4105</v>
      </c>
      <c r="B4166" s="138">
        <f ca="1">'Expenditures 15-22'!K284</f>
        <v>0</v>
      </c>
      <c r="C4166" s="2" t="s">
        <v>573</v>
      </c>
      <c r="D4166" s="2" t="str">
        <f t="shared" ca="1"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43865</v>
      </c>
      <c r="C4171" s="2" t="s">
        <v>573</v>
      </c>
      <c r="D4171" s="2" t="str">
        <f t="shared" si="64"/>
        <v>Error?</v>
      </c>
    </row>
    <row r="4172" spans="1:4" x14ac:dyDescent="0.2">
      <c r="A4172" s="5">
        <v>4111</v>
      </c>
      <c r="B4172" s="138">
        <f>'Short-Term Long-Term Debt 24'!J49</f>
        <v>43865</v>
      </c>
      <c r="C4172" s="2" t="s">
        <v>573</v>
      </c>
      <c r="D4172" s="2" t="str">
        <f t="shared" si="64"/>
        <v>Error?</v>
      </c>
    </row>
    <row r="4173" spans="1:4" x14ac:dyDescent="0.2">
      <c r="A4173" s="5">
        <v>4112</v>
      </c>
      <c r="B4173" s="138">
        <f>'Short-Term Long-Term Debt 24'!H49</f>
        <v>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43865</v>
      </c>
      <c r="D4177" s="2" t="str">
        <f t="shared" si="64"/>
        <v>Error?</v>
      </c>
    </row>
    <row r="4178" spans="1:4" x14ac:dyDescent="0.2">
      <c r="A4178" s="10">
        <v>4117</v>
      </c>
      <c r="C4178" s="2" t="s">
        <v>573</v>
      </c>
      <c r="D4178" s="2" t="str">
        <f t="shared" si="64"/>
        <v>OK</v>
      </c>
    </row>
    <row r="4179" spans="1:4" x14ac:dyDescent="0.2">
      <c r="A4179" s="5">
        <v>4118</v>
      </c>
      <c r="B4179" s="138">
        <f ca="1">'Revenues 9-14'!D161</f>
        <v>0</v>
      </c>
      <c r="D4179" s="2" t="str">
        <f t="shared" ca="1" si="64"/>
        <v>Error?</v>
      </c>
    </row>
    <row r="4180" spans="1:4" x14ac:dyDescent="0.2">
      <c r="A4180" s="5">
        <v>4119</v>
      </c>
      <c r="B4180" s="138">
        <f ca="1">'Revenues 9-14'!F161</f>
        <v>0</v>
      </c>
      <c r="D4180" s="2" t="str">
        <f t="shared" ca="1" si="64"/>
        <v>Error?</v>
      </c>
    </row>
    <row r="4181" spans="1:4" x14ac:dyDescent="0.2">
      <c r="A4181" s="5">
        <v>4120</v>
      </c>
      <c r="B4181" s="138">
        <f ca="1">'Revenues 9-14'!G161</f>
        <v>0</v>
      </c>
      <c r="D4181" s="2" t="str">
        <f t="shared" ca="1"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 ca="1">'Revenues 9-14'!C260</f>
        <v>0</v>
      </c>
      <c r="D4189" s="2" t="str">
        <f t="shared" ca="1" si="64"/>
        <v>Error?</v>
      </c>
    </row>
    <row r="4190" spans="1:4" x14ac:dyDescent="0.2">
      <c r="A4190" s="5">
        <v>4129</v>
      </c>
      <c r="B4190" s="138">
        <f ca="1">'Revenues 9-14'!D260</f>
        <v>0</v>
      </c>
      <c r="D4190" s="2" t="str">
        <f t="shared" ca="1" si="64"/>
        <v>Error?</v>
      </c>
    </row>
    <row r="4191" spans="1:4" x14ac:dyDescent="0.2">
      <c r="A4191" s="5">
        <v>4130</v>
      </c>
      <c r="B4191" s="138">
        <f ca="1">'Revenues 9-14'!F260</f>
        <v>0</v>
      </c>
      <c r="D4191" s="2" t="str">
        <f t="shared" ca="1" si="64"/>
        <v>Error?</v>
      </c>
    </row>
    <row r="4192" spans="1:4" x14ac:dyDescent="0.2">
      <c r="A4192" s="5">
        <v>4131</v>
      </c>
      <c r="B4192" s="138">
        <f ca="1">'Revenues 9-14'!G260</f>
        <v>0</v>
      </c>
      <c r="D4192" s="2" t="str">
        <f t="shared" ca="1"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 ca="1">'Expenditures 15-22'!E134</f>
        <v>0</v>
      </c>
      <c r="D4199" s="2" t="str">
        <f t="shared" ca="1" si="64"/>
        <v>Error?</v>
      </c>
    </row>
    <row r="4200" spans="1:4" x14ac:dyDescent="0.2">
      <c r="A4200" s="5">
        <v>4139</v>
      </c>
      <c r="B4200" s="138">
        <f ca="1">'Expenditures 15-22'!E135</f>
        <v>0</v>
      </c>
      <c r="D4200" s="2" t="str">
        <f t="shared" ca="1" si="64"/>
        <v>Error?</v>
      </c>
    </row>
    <row r="4201" spans="1:4" x14ac:dyDescent="0.2">
      <c r="A4201" s="5">
        <v>4140</v>
      </c>
      <c r="B4201" s="138">
        <f ca="1">'Expenditures 15-22'!E136</f>
        <v>0</v>
      </c>
      <c r="D4201" s="2" t="str">
        <f t="shared" ca="1" si="64"/>
        <v>Error?</v>
      </c>
    </row>
    <row r="4202" spans="1:4" x14ac:dyDescent="0.2">
      <c r="A4202" s="5">
        <v>4141</v>
      </c>
      <c r="B4202" s="138">
        <f ca="1">'Expenditures 15-22'!E137</f>
        <v>0</v>
      </c>
      <c r="C4202" s="2" t="s">
        <v>573</v>
      </c>
      <c r="D4202" s="2" t="str">
        <f t="shared" ca="1" si="64"/>
        <v>Error?</v>
      </c>
    </row>
    <row r="4203" spans="1:4" x14ac:dyDescent="0.2">
      <c r="A4203" s="5">
        <v>4142</v>
      </c>
      <c r="B4203" s="138">
        <f ca="1">'Expenditures 15-22'!E139</f>
        <v>0</v>
      </c>
      <c r="C4203" s="2" t="s">
        <v>573</v>
      </c>
      <c r="D4203" s="2" t="str">
        <f t="shared" ca="1"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 ca="1">'Expenditures 15-22'!H206</f>
        <v>7690</v>
      </c>
      <c r="D4210" s="2" t="str">
        <f t="shared" ca="1" si="64"/>
        <v>Error?</v>
      </c>
    </row>
    <row r="4211" spans="1:4" x14ac:dyDescent="0.2">
      <c r="A4211" s="5">
        <v>4150</v>
      </c>
      <c r="B4211" s="138">
        <f ca="1">'Expenditures 15-22'!K206</f>
        <v>7690</v>
      </c>
      <c r="C4211" s="2" t="s">
        <v>573</v>
      </c>
      <c r="D4211" s="2" t="str">
        <f t="shared" ca="1"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 ca="1">'Revenues 9-14'!I168</f>
        <v>0</v>
      </c>
      <c r="D4215" s="2" t="str">
        <f t="shared" ca="1" si="64"/>
        <v>Error?</v>
      </c>
    </row>
    <row r="4216" spans="1:4" x14ac:dyDescent="0.2">
      <c r="A4216" s="5">
        <v>4155</v>
      </c>
      <c r="B4216" s="138">
        <f ca="1">'Revenues 9-14'!I170</f>
        <v>0</v>
      </c>
      <c r="C4216" s="2" t="s">
        <v>573</v>
      </c>
      <c r="D4216" s="2" t="str">
        <f t="shared" ca="1" si="64"/>
        <v>Error?</v>
      </c>
    </row>
    <row r="4217" spans="1:4" x14ac:dyDescent="0.2">
      <c r="A4217" s="5">
        <v>4156</v>
      </c>
      <c r="B4217" s="138">
        <f ca="1">'Acct Summary 7-8'!E36</f>
        <v>0</v>
      </c>
      <c r="D4217" s="2" t="str">
        <f t="shared" ca="1"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 ca="1">'Revenues 9-14'!C140</f>
        <v>0</v>
      </c>
      <c r="D4227" s="2" t="str">
        <f t="shared" ca="1" si="65"/>
        <v>Error?</v>
      </c>
    </row>
    <row r="4228" spans="1:5" x14ac:dyDescent="0.2">
      <c r="A4228" s="5">
        <v>4167</v>
      </c>
      <c r="B4228" s="138">
        <f ca="1">'Revenues 9-14'!D140</f>
        <v>0</v>
      </c>
      <c r="D4228" s="2" t="str">
        <f t="shared" ca="1" si="65"/>
        <v>Error?</v>
      </c>
    </row>
    <row r="4229" spans="1:5" x14ac:dyDescent="0.2">
      <c r="A4229" s="10">
        <v>4168</v>
      </c>
      <c r="D4229" s="2" t="str">
        <f t="shared" si="65"/>
        <v>OK</v>
      </c>
    </row>
    <row r="4230" spans="1:5" x14ac:dyDescent="0.2">
      <c r="A4230" s="5">
        <v>4169</v>
      </c>
      <c r="B4230" s="138">
        <f ca="1">'Revenues 9-14'!G140</f>
        <v>0</v>
      </c>
      <c r="D4230" s="2" t="str">
        <f t="shared" ca="1"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1939</v>
      </c>
    </row>
    <row r="4236" spans="1:5" x14ac:dyDescent="0.2">
      <c r="A4236" s="10">
        <v>4175</v>
      </c>
      <c r="D4236" s="2" t="str">
        <f t="shared" si="65"/>
        <v>OK</v>
      </c>
      <c r="E4236" s="4" t="s">
        <v>1939</v>
      </c>
    </row>
    <row r="4237" spans="1:5" x14ac:dyDescent="0.2">
      <c r="A4237" s="10">
        <v>4176</v>
      </c>
      <c r="D4237" s="2" t="str">
        <f t="shared" si="65"/>
        <v>OK</v>
      </c>
      <c r="E4237" s="4" t="s">
        <v>1939</v>
      </c>
    </row>
    <row r="4238" spans="1:5" x14ac:dyDescent="0.2">
      <c r="A4238" s="10">
        <v>4177</v>
      </c>
      <c r="D4238" s="2" t="str">
        <f t="shared" si="65"/>
        <v>OK</v>
      </c>
      <c r="E4238" s="4" t="s">
        <v>1939</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3055.6770000000001</v>
      </c>
      <c r="C4265" s="2" t="s">
        <v>573</v>
      </c>
      <c r="D4265" s="2" t="str">
        <f t="shared" si="65"/>
        <v>Error?</v>
      </c>
      <c r="E4265" s="128"/>
    </row>
    <row r="4266" spans="1:5" x14ac:dyDescent="0.2">
      <c r="A4266" s="12">
        <v>4205</v>
      </c>
      <c r="B4266" s="138">
        <f>('FP Info 3'!F10)*100000</f>
        <v>391.15599999999995</v>
      </c>
      <c r="C4266" s="2" t="s">
        <v>573</v>
      </c>
      <c r="D4266" s="2" t="str">
        <f t="shared" si="65"/>
        <v>Error?</v>
      </c>
      <c r="E4266" s="128"/>
    </row>
    <row r="4267" spans="1:5" x14ac:dyDescent="0.2">
      <c r="A4267" s="12">
        <v>4206</v>
      </c>
      <c r="B4267" s="138">
        <f>('FP Info 3'!H10)*100000</f>
        <v>74.506</v>
      </c>
      <c r="C4267" s="2" t="s">
        <v>573</v>
      </c>
      <c r="D4267" s="2" t="str">
        <f t="shared" si="65"/>
        <v>Error?</v>
      </c>
      <c r="E4267" s="128"/>
    </row>
    <row r="4268" spans="1:5" x14ac:dyDescent="0.2">
      <c r="A4268" s="12">
        <v>4207</v>
      </c>
      <c r="B4268" s="138">
        <f>('FP Info 3'!J10)*100000</f>
        <v>3521</v>
      </c>
      <c r="C4268" s="2" t="s">
        <v>573</v>
      </c>
      <c r="D4268" s="2" t="str">
        <f t="shared" si="65"/>
        <v>Error?</v>
      </c>
    </row>
    <row r="4269" spans="1:5" x14ac:dyDescent="0.2">
      <c r="A4269" s="12">
        <v>4208</v>
      </c>
      <c r="B4269" s="138">
        <f ca="1">'FP Info 3'!J16</f>
        <v>3572002</v>
      </c>
      <c r="C4269" s="2" t="s">
        <v>573</v>
      </c>
      <c r="D4269" s="2" t="str">
        <f t="shared" ca="1"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 ca="1">'Revenues 9-14'!C131</f>
        <v>0</v>
      </c>
      <c r="D4309" s="2" t="str">
        <f t="shared" ca="1" si="66"/>
        <v>Error?</v>
      </c>
    </row>
    <row r="4310" spans="1:4" x14ac:dyDescent="0.2">
      <c r="A4310" s="5">
        <v>4249</v>
      </c>
      <c r="B4310" s="138">
        <f ca="1">'Revenues 9-14'!D131</f>
        <v>0</v>
      </c>
      <c r="D4310" s="2" t="str">
        <f t="shared" ca="1" si="66"/>
        <v>Error?</v>
      </c>
    </row>
    <row r="4311" spans="1:4" x14ac:dyDescent="0.2">
      <c r="A4311" s="5">
        <v>4250</v>
      </c>
      <c r="B4311" s="138">
        <f ca="1">'Revenues 9-14'!F131</f>
        <v>0</v>
      </c>
      <c r="D4311" s="2" t="str">
        <f t="shared" ca="1" si="66"/>
        <v>Error?</v>
      </c>
    </row>
    <row r="4312" spans="1:4" x14ac:dyDescent="0.2">
      <c r="A4312" s="5">
        <v>4251</v>
      </c>
      <c r="B4312" s="138">
        <f ca="1">'Revenues 9-14'!C150</f>
        <v>0</v>
      </c>
      <c r="D4312" s="2" t="str">
        <f t="shared" ca="1" si="66"/>
        <v>Error?</v>
      </c>
    </row>
    <row r="4313" spans="1:4" x14ac:dyDescent="0.2">
      <c r="A4313" s="5">
        <v>4252</v>
      </c>
      <c r="B4313" s="138">
        <f ca="1">'Revenues 9-14'!D150</f>
        <v>0</v>
      </c>
      <c r="D4313" s="2" t="str">
        <f t="shared" ca="1" si="66"/>
        <v>Error?</v>
      </c>
    </row>
    <row r="4314" spans="1:4" x14ac:dyDescent="0.2">
      <c r="A4314" s="5">
        <v>4253</v>
      </c>
      <c r="B4314" s="138">
        <f ca="1">'Revenues 9-14'!C154</f>
        <v>0</v>
      </c>
      <c r="D4314" s="2" t="str">
        <f t="shared" ca="1" si="66"/>
        <v>Error?</v>
      </c>
    </row>
    <row r="4315" spans="1:4" x14ac:dyDescent="0.2">
      <c r="A4315" s="5">
        <v>4254</v>
      </c>
      <c r="B4315" s="138">
        <f ca="1">'Revenues 9-14'!D154</f>
        <v>0</v>
      </c>
      <c r="D4315" s="2" t="str">
        <f t="shared" ca="1" si="66"/>
        <v>Error?</v>
      </c>
    </row>
    <row r="4316" spans="1:4" x14ac:dyDescent="0.2">
      <c r="A4316" s="5">
        <v>4255</v>
      </c>
      <c r="B4316" s="138">
        <f ca="1">'Revenues 9-14'!F154</f>
        <v>0</v>
      </c>
      <c r="D4316" s="2" t="str">
        <f t="shared" ca="1" si="66"/>
        <v>Error?</v>
      </c>
    </row>
    <row r="4317" spans="1:4" x14ac:dyDescent="0.2">
      <c r="A4317" s="5">
        <v>4256</v>
      </c>
      <c r="B4317" s="138">
        <f ca="1">'Revenues 9-14'!C164</f>
        <v>0</v>
      </c>
      <c r="D4317" s="2" t="str">
        <f t="shared" ca="1" si="66"/>
        <v>Error?</v>
      </c>
    </row>
    <row r="4318" spans="1:4" x14ac:dyDescent="0.2">
      <c r="A4318" s="5">
        <v>4257</v>
      </c>
      <c r="B4318" s="138">
        <f ca="1">'Revenues 9-14'!F164</f>
        <v>0</v>
      </c>
      <c r="D4318" s="2" t="str">
        <f t="shared" ca="1"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 ca="1">'Revenues 9-14'!C165</f>
        <v>0</v>
      </c>
      <c r="D4321" s="2" t="str">
        <f t="shared" ca="1" si="66"/>
        <v>Error?</v>
      </c>
    </row>
    <row r="4322" spans="1:4" x14ac:dyDescent="0.2">
      <c r="A4322" s="5">
        <v>4261</v>
      </c>
      <c r="B4322" s="138">
        <f ca="1">'Revenues 9-14'!F165</f>
        <v>0</v>
      </c>
      <c r="D4322" s="2" t="str">
        <f t="shared" ca="1"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 ca="1">'Revenues 9-14'!D166</f>
        <v>0</v>
      </c>
      <c r="D4327" s="2" t="str">
        <f t="shared" ca="1" si="66"/>
        <v>Error?</v>
      </c>
    </row>
    <row r="4328" spans="1:4" x14ac:dyDescent="0.2">
      <c r="A4328" s="5">
        <v>4267</v>
      </c>
      <c r="B4328" s="138">
        <f ca="1">'Revenues 9-14'!H166</f>
        <v>0</v>
      </c>
      <c r="D4328" s="2" t="str">
        <f t="shared" ca="1" si="66"/>
        <v>Error?</v>
      </c>
    </row>
    <row r="4329" spans="1:4" x14ac:dyDescent="0.2">
      <c r="A4329" s="5">
        <v>4268</v>
      </c>
      <c r="B4329" s="138">
        <f ca="1">'Revenues 9-14'!D167</f>
        <v>0</v>
      </c>
      <c r="D4329" s="2" t="str">
        <f t="shared" ca="1" si="66"/>
        <v>Error?</v>
      </c>
    </row>
    <row r="4330" spans="1:4" x14ac:dyDescent="0.2">
      <c r="A4330" s="5">
        <v>4269</v>
      </c>
      <c r="B4330" s="138">
        <f ca="1">'Revenues 9-14'!K167</f>
        <v>0</v>
      </c>
      <c r="D4330" s="2" t="str">
        <f t="shared" ca="1" si="66"/>
        <v>Error?</v>
      </c>
    </row>
    <row r="4331" spans="1:4" x14ac:dyDescent="0.2">
      <c r="A4331" s="5">
        <v>4270</v>
      </c>
      <c r="B4331" s="138">
        <f ca="1">'Revenues 9-14'!C197</f>
        <v>0</v>
      </c>
      <c r="D4331" s="2" t="str">
        <f t="shared" ca="1" si="66"/>
        <v>Error?</v>
      </c>
    </row>
    <row r="4332" spans="1:4" x14ac:dyDescent="0.2">
      <c r="A4332" s="5">
        <v>4271</v>
      </c>
      <c r="B4332" s="138">
        <f ca="1">'Revenues 9-14'!C203</f>
        <v>0</v>
      </c>
      <c r="D4332" s="2" t="str">
        <f t="shared" ca="1" si="66"/>
        <v>Error?</v>
      </c>
    </row>
    <row r="4333" spans="1:4" x14ac:dyDescent="0.2">
      <c r="A4333" s="5">
        <v>4272</v>
      </c>
      <c r="B4333" s="138">
        <f ca="1">'Revenues 9-14'!D203</f>
        <v>0</v>
      </c>
      <c r="D4333" s="2" t="str">
        <f t="shared" ca="1" si="66"/>
        <v>Error?</v>
      </c>
    </row>
    <row r="4334" spans="1:4" x14ac:dyDescent="0.2">
      <c r="A4334" s="5">
        <v>4273</v>
      </c>
      <c r="B4334" s="138">
        <f ca="1">'Revenues 9-14'!F203</f>
        <v>0</v>
      </c>
      <c r="D4334" s="2" t="str">
        <f t="shared" ca="1" si="66"/>
        <v>Error?</v>
      </c>
    </row>
    <row r="4335" spans="1:4" x14ac:dyDescent="0.2">
      <c r="A4335" s="5">
        <v>4274</v>
      </c>
      <c r="B4335" s="138">
        <f ca="1">'Revenues 9-14'!G203</f>
        <v>0</v>
      </c>
      <c r="D4335" s="2" t="str">
        <f t="shared" ca="1" si="66"/>
        <v>Error?</v>
      </c>
    </row>
    <row r="4336" spans="1:4" x14ac:dyDescent="0.2">
      <c r="A4336" s="5">
        <v>4275</v>
      </c>
      <c r="B4336" s="138">
        <f ca="1">'Revenues 9-14'!C208</f>
        <v>0</v>
      </c>
      <c r="D4336" s="2" t="str">
        <f t="shared" ca="1" si="66"/>
        <v>Error?</v>
      </c>
    </row>
    <row r="4337" spans="1:4" x14ac:dyDescent="0.2">
      <c r="A4337" s="5">
        <v>4276</v>
      </c>
      <c r="B4337" s="138">
        <f ca="1">'Revenues 9-14'!D208</f>
        <v>0</v>
      </c>
      <c r="D4337" s="2" t="str">
        <f t="shared" ca="1" si="66"/>
        <v>Error?</v>
      </c>
    </row>
    <row r="4338" spans="1:4" x14ac:dyDescent="0.2">
      <c r="A4338" s="5">
        <v>4277</v>
      </c>
      <c r="B4338" s="138">
        <f ca="1">'Revenues 9-14'!F208</f>
        <v>0</v>
      </c>
      <c r="D4338" s="2" t="str">
        <f t="shared" ca="1" si="66"/>
        <v>Error?</v>
      </c>
    </row>
    <row r="4339" spans="1:4" x14ac:dyDescent="0.2">
      <c r="A4339" s="5">
        <v>4278</v>
      </c>
      <c r="B4339" s="138">
        <f ca="1">'Revenues 9-14'!G208</f>
        <v>0</v>
      </c>
      <c r="D4339" s="2" t="str">
        <f t="shared" ca="1" si="66"/>
        <v>Error?</v>
      </c>
    </row>
    <row r="4340" spans="1:4" x14ac:dyDescent="0.2">
      <c r="A4340" s="5">
        <v>4279</v>
      </c>
      <c r="B4340" s="138">
        <f ca="1">'Revenues 9-14'!C216</f>
        <v>0</v>
      </c>
      <c r="D4340" s="2" t="str">
        <f t="shared" ca="1" si="66"/>
        <v>Error?</v>
      </c>
    </row>
    <row r="4341" spans="1:4" x14ac:dyDescent="0.2">
      <c r="A4341" s="5">
        <v>4280</v>
      </c>
      <c r="B4341" s="138">
        <f ca="1">'Revenues 9-14'!D216</f>
        <v>0</v>
      </c>
      <c r="D4341" s="2" t="str">
        <f t="shared" ca="1" si="66"/>
        <v>Error?</v>
      </c>
    </row>
    <row r="4342" spans="1:4" x14ac:dyDescent="0.2">
      <c r="A4342" s="5">
        <v>4281</v>
      </c>
      <c r="B4342" s="138">
        <f ca="1">'Revenues 9-14'!F216</f>
        <v>0</v>
      </c>
      <c r="D4342" s="2" t="str">
        <f t="shared" ca="1" si="66"/>
        <v>Error?</v>
      </c>
    </row>
    <row r="4343" spans="1:4" x14ac:dyDescent="0.2">
      <c r="A4343" s="5">
        <v>4282</v>
      </c>
      <c r="B4343" s="138">
        <f ca="1">'Revenues 9-14'!G216</f>
        <v>0</v>
      </c>
      <c r="D4343" s="2" t="str">
        <f t="shared" ca="1" si="66"/>
        <v>Error?</v>
      </c>
    </row>
    <row r="4344" spans="1:4" x14ac:dyDescent="0.2">
      <c r="A4344" s="5">
        <v>4283</v>
      </c>
      <c r="B4344" s="138">
        <f ca="1">'Revenues 9-14'!C220</f>
        <v>0</v>
      </c>
      <c r="D4344" s="2" t="str">
        <f t="shared" ca="1" si="66"/>
        <v>Error?</v>
      </c>
    </row>
    <row r="4345" spans="1:4" x14ac:dyDescent="0.2">
      <c r="A4345" s="5">
        <v>4284</v>
      </c>
      <c r="B4345" s="138">
        <f ca="1">'Revenues 9-14'!D220</f>
        <v>0</v>
      </c>
      <c r="D4345" s="2" t="str">
        <f t="shared" ca="1" si="66"/>
        <v>Error?</v>
      </c>
    </row>
    <row r="4346" spans="1:4" x14ac:dyDescent="0.2">
      <c r="A4346" s="5">
        <v>4285</v>
      </c>
      <c r="B4346" s="138">
        <f ca="1">'Revenues 9-14'!G220</f>
        <v>0</v>
      </c>
      <c r="D4346" s="2" t="str">
        <f t="shared" ca="1"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 ca="1">'Revenues 9-14'!C147</f>
        <v>0</v>
      </c>
      <c r="D4351" s="2" t="str">
        <f t="shared" ref="D4351:D4414" ca="1" si="67">IF(ISBLANK(B4351),"OK",IF(A4351-B4351=0,"OK","Error?"))</f>
        <v>Error?</v>
      </c>
    </row>
    <row r="4352" spans="1:4" x14ac:dyDescent="0.2">
      <c r="A4352" s="5">
        <v>4291</v>
      </c>
      <c r="B4352" s="138">
        <f ca="1">'Revenues 9-14'!D147</f>
        <v>0</v>
      </c>
      <c r="D4352" s="2" t="str">
        <f t="shared" ca="1" si="67"/>
        <v>Error?</v>
      </c>
    </row>
    <row r="4353" spans="1:4" x14ac:dyDescent="0.2">
      <c r="A4353" s="5">
        <v>4292</v>
      </c>
      <c r="B4353" s="138">
        <f ca="1">'Revenues 9-14'!G147</f>
        <v>0</v>
      </c>
      <c r="D4353" s="2" t="str">
        <f t="shared" ca="1" si="67"/>
        <v>Error?</v>
      </c>
    </row>
    <row r="4354" spans="1:4" x14ac:dyDescent="0.2">
      <c r="A4354" s="5">
        <v>4293</v>
      </c>
      <c r="B4354" s="138">
        <f ca="1">'Revenues 9-14'!F150</f>
        <v>0</v>
      </c>
      <c r="D4354" s="2" t="str">
        <f t="shared" ca="1" si="67"/>
        <v>Error?</v>
      </c>
    </row>
    <row r="4355" spans="1:4" x14ac:dyDescent="0.2">
      <c r="A4355" s="5">
        <v>4294</v>
      </c>
      <c r="B4355" s="138">
        <f ca="1">'Revenues 9-14'!G150</f>
        <v>0</v>
      </c>
      <c r="D4355" s="2" t="str">
        <f t="shared" ca="1" si="67"/>
        <v>Error?</v>
      </c>
    </row>
    <row r="4356" spans="1:4" x14ac:dyDescent="0.2">
      <c r="A4356" s="5">
        <v>4295</v>
      </c>
      <c r="B4356" s="138">
        <f ca="1">'Revenues 9-14'!G154</f>
        <v>0</v>
      </c>
      <c r="D4356" s="2" t="str">
        <f t="shared" ca="1" si="67"/>
        <v>Error?</v>
      </c>
    </row>
    <row r="4357" spans="1:4" x14ac:dyDescent="0.2">
      <c r="A4357" s="5">
        <v>4296</v>
      </c>
      <c r="B4357" s="138">
        <f ca="1">'Revenues 9-14'!G155</f>
        <v>0</v>
      </c>
      <c r="C4357" s="2" t="s">
        <v>573</v>
      </c>
      <c r="D4357" s="2" t="str">
        <f t="shared" ca="1" si="67"/>
        <v>Error?</v>
      </c>
    </row>
    <row r="4358" spans="1:4" x14ac:dyDescent="0.2">
      <c r="A4358" s="5">
        <v>4297</v>
      </c>
      <c r="B4358" s="138">
        <f ca="1">'Revenues 9-14'!C263</f>
        <v>0</v>
      </c>
      <c r="D4358" s="2" t="str">
        <f t="shared" ca="1" si="67"/>
        <v>Error?</v>
      </c>
    </row>
    <row r="4359" spans="1:4" x14ac:dyDescent="0.2">
      <c r="A4359" s="5">
        <v>4298</v>
      </c>
      <c r="B4359" s="138">
        <f ca="1">'Revenues 9-14'!D263</f>
        <v>0</v>
      </c>
      <c r="D4359" s="2" t="str">
        <f t="shared" ca="1" si="67"/>
        <v>Error?</v>
      </c>
    </row>
    <row r="4360" spans="1:4" x14ac:dyDescent="0.2">
      <c r="A4360" s="5">
        <v>4299</v>
      </c>
      <c r="B4360" s="138">
        <f ca="1">'Revenues 9-14'!F263</f>
        <v>0</v>
      </c>
      <c r="D4360" s="2" t="str">
        <f t="shared" ca="1" si="67"/>
        <v>Error?</v>
      </c>
    </row>
    <row r="4361" spans="1:4" x14ac:dyDescent="0.2">
      <c r="A4361" s="5">
        <v>4300</v>
      </c>
      <c r="B4361" s="138">
        <f ca="1">'Revenues 9-14'!G263</f>
        <v>0</v>
      </c>
      <c r="D4361" s="2" t="str">
        <f t="shared" ca="1" si="67"/>
        <v>Error?</v>
      </c>
    </row>
    <row r="4362" spans="1:4" x14ac:dyDescent="0.2">
      <c r="A4362" s="5">
        <v>4301</v>
      </c>
      <c r="B4362" s="138">
        <f ca="1">'Revenues 9-14'!C264</f>
        <v>0</v>
      </c>
      <c r="D4362" s="2" t="str">
        <f t="shared" ca="1" si="67"/>
        <v>Error?</v>
      </c>
    </row>
    <row r="4363" spans="1:4" x14ac:dyDescent="0.2">
      <c r="A4363" s="5">
        <v>4302</v>
      </c>
      <c r="B4363" s="138">
        <f ca="1">'Revenues 9-14'!I169</f>
        <v>0</v>
      </c>
      <c r="C4363" s="2" t="s">
        <v>573</v>
      </c>
      <c r="D4363" s="2" t="str">
        <f t="shared" ca="1" si="67"/>
        <v>Error?</v>
      </c>
    </row>
    <row r="4364" spans="1:4" x14ac:dyDescent="0.2">
      <c r="A4364" s="5">
        <v>4303</v>
      </c>
      <c r="B4364" s="138">
        <f ca="1">'Revenues 9-14'!E173</f>
        <v>0</v>
      </c>
      <c r="D4364" s="2" t="str">
        <f t="shared" ca="1" si="67"/>
        <v>Error?</v>
      </c>
    </row>
    <row r="4365" spans="1:4" x14ac:dyDescent="0.2">
      <c r="A4365" s="5">
        <v>4304</v>
      </c>
      <c r="B4365" s="138">
        <f ca="1">'Revenues 9-14'!H173</f>
        <v>0</v>
      </c>
      <c r="D4365" s="2" t="str">
        <f t="shared" ca="1" si="67"/>
        <v>Error?</v>
      </c>
    </row>
    <row r="4366" spans="1:4" x14ac:dyDescent="0.2">
      <c r="A4366" s="5">
        <v>4305</v>
      </c>
      <c r="B4366" s="138">
        <f ca="1">'Revenues 9-14'!I173</f>
        <v>0</v>
      </c>
      <c r="D4366" s="2" t="str">
        <f t="shared" ca="1" si="67"/>
        <v>Error?</v>
      </c>
    </row>
    <row r="4367" spans="1:4" x14ac:dyDescent="0.2">
      <c r="A4367" s="10">
        <v>4306</v>
      </c>
      <c r="D4367" s="2" t="str">
        <f t="shared" si="67"/>
        <v>OK</v>
      </c>
    </row>
    <row r="4368" spans="1:4" x14ac:dyDescent="0.2">
      <c r="A4368" s="5">
        <v>4307</v>
      </c>
      <c r="B4368" s="138">
        <f ca="1">'Revenues 9-14'!K173</f>
        <v>0</v>
      </c>
      <c r="D4368" s="2" t="str">
        <f t="shared" ca="1" si="67"/>
        <v>Error?</v>
      </c>
    </row>
    <row r="4369" spans="1:4" x14ac:dyDescent="0.2">
      <c r="A4369" s="5">
        <v>4308</v>
      </c>
      <c r="B4369" s="138">
        <f ca="1">'Revenues 9-14'!E174</f>
        <v>0</v>
      </c>
      <c r="D4369" s="2" t="str">
        <f t="shared" ca="1" si="67"/>
        <v>Error?</v>
      </c>
    </row>
    <row r="4370" spans="1:4" x14ac:dyDescent="0.2">
      <c r="A4370" s="5">
        <v>4309</v>
      </c>
      <c r="B4370" s="138">
        <f ca="1">'Revenues 9-14'!I174</f>
        <v>0</v>
      </c>
      <c r="D4370" s="2" t="str">
        <f t="shared" ca="1" si="67"/>
        <v>Error?</v>
      </c>
    </row>
    <row r="4371" spans="1:4" x14ac:dyDescent="0.2">
      <c r="A4371" s="10">
        <v>4310</v>
      </c>
      <c r="D4371" s="2" t="str">
        <f t="shared" si="67"/>
        <v>OK</v>
      </c>
    </row>
    <row r="4372" spans="1:4" x14ac:dyDescent="0.2">
      <c r="A4372" s="5">
        <v>4311</v>
      </c>
      <c r="B4372" s="138">
        <f ca="1">'Revenues 9-14'!E175</f>
        <v>0</v>
      </c>
      <c r="C4372" s="2" t="s">
        <v>573</v>
      </c>
      <c r="D4372" s="2" t="str">
        <f t="shared" ca="1" si="67"/>
        <v>Error?</v>
      </c>
    </row>
    <row r="4373" spans="1:4" x14ac:dyDescent="0.2">
      <c r="A4373" s="5">
        <v>4312</v>
      </c>
      <c r="B4373" s="138">
        <f ca="1">'Revenues 9-14'!I175</f>
        <v>0</v>
      </c>
      <c r="C4373" s="2" t="s">
        <v>573</v>
      </c>
      <c r="D4373" s="2" t="str">
        <f t="shared" ca="1" si="67"/>
        <v>Error?</v>
      </c>
    </row>
    <row r="4374" spans="1:4" x14ac:dyDescent="0.2">
      <c r="A4374" s="10">
        <v>4313</v>
      </c>
      <c r="C4374" s="2" t="s">
        <v>573</v>
      </c>
      <c r="D4374" s="2" t="str">
        <f t="shared" si="67"/>
        <v>OK</v>
      </c>
    </row>
    <row r="4375" spans="1:4" x14ac:dyDescent="0.2">
      <c r="A4375" s="5">
        <v>4314</v>
      </c>
      <c r="B4375" s="138">
        <f ca="1">'Revenues 9-14'!C185</f>
        <v>0</v>
      </c>
      <c r="D4375" s="2" t="str">
        <f t="shared" ca="1" si="67"/>
        <v>Error?</v>
      </c>
    </row>
    <row r="4376" spans="1:4" x14ac:dyDescent="0.2">
      <c r="A4376" s="5">
        <v>4315</v>
      </c>
      <c r="B4376" s="138">
        <f ca="1">'Revenues 9-14'!D185</f>
        <v>0</v>
      </c>
      <c r="D4376" s="2" t="str">
        <f t="shared" ca="1" si="67"/>
        <v>Error?</v>
      </c>
    </row>
    <row r="4377" spans="1:4" x14ac:dyDescent="0.2">
      <c r="A4377" s="5">
        <v>4316</v>
      </c>
      <c r="B4377" s="138">
        <f ca="1">'Revenues 9-14'!F185</f>
        <v>0</v>
      </c>
      <c r="D4377" s="2" t="str">
        <f t="shared" ca="1" si="67"/>
        <v>Error?</v>
      </c>
    </row>
    <row r="4378" spans="1:4" x14ac:dyDescent="0.2">
      <c r="A4378" s="5">
        <v>4317</v>
      </c>
      <c r="B4378" s="138">
        <f ca="1">'Revenues 9-14'!G185</f>
        <v>0</v>
      </c>
      <c r="D4378" s="2" t="str">
        <f t="shared" ca="1" si="67"/>
        <v>Error?</v>
      </c>
    </row>
    <row r="4379" spans="1:4" x14ac:dyDescent="0.2">
      <c r="A4379" s="5">
        <v>4318</v>
      </c>
      <c r="B4379" s="138">
        <f ca="1">'Revenues 9-14'!C186</f>
        <v>0</v>
      </c>
      <c r="D4379" s="2" t="str">
        <f t="shared" ca="1" si="67"/>
        <v>Error?</v>
      </c>
    </row>
    <row r="4380" spans="1:4" x14ac:dyDescent="0.2">
      <c r="A4380" s="5">
        <v>4319</v>
      </c>
      <c r="B4380" s="138">
        <f ca="1">'Revenues 9-14'!D186</f>
        <v>0</v>
      </c>
      <c r="D4380" s="2" t="str">
        <f t="shared" ca="1" si="67"/>
        <v>Error?</v>
      </c>
    </row>
    <row r="4381" spans="1:4" x14ac:dyDescent="0.2">
      <c r="A4381" s="5">
        <v>4320</v>
      </c>
      <c r="B4381" s="138">
        <f ca="1">'Revenues 9-14'!F186</f>
        <v>0</v>
      </c>
      <c r="D4381" s="2" t="str">
        <f t="shared" ca="1" si="67"/>
        <v>Error?</v>
      </c>
    </row>
    <row r="4382" spans="1:4" x14ac:dyDescent="0.2">
      <c r="A4382" s="5">
        <v>4321</v>
      </c>
      <c r="B4382" s="138">
        <f ca="1">'Revenues 9-14'!G186</f>
        <v>0</v>
      </c>
      <c r="D4382" s="2" t="str">
        <f t="shared" ca="1"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 ca="1">'Revenues 9-14'!C187</f>
        <v>0</v>
      </c>
      <c r="D4391" s="2" t="str">
        <f t="shared" ca="1" si="67"/>
        <v>Error?</v>
      </c>
    </row>
    <row r="4392" spans="1:5" x14ac:dyDescent="0.2">
      <c r="A4392" s="5">
        <v>4331</v>
      </c>
      <c r="B4392" s="138">
        <f ca="1">'Revenues 9-14'!D187</f>
        <v>0</v>
      </c>
      <c r="D4392" s="2" t="str">
        <f t="shared" ca="1" si="67"/>
        <v>Error?</v>
      </c>
    </row>
    <row r="4393" spans="1:5" x14ac:dyDescent="0.2">
      <c r="A4393" s="5">
        <v>4332</v>
      </c>
      <c r="B4393" s="138">
        <f ca="1">'Revenues 9-14'!F187</f>
        <v>0</v>
      </c>
      <c r="D4393" s="2" t="str">
        <f t="shared" ca="1" si="67"/>
        <v>Error?</v>
      </c>
    </row>
    <row r="4394" spans="1:5" x14ac:dyDescent="0.2">
      <c r="A4394" s="5">
        <v>4333</v>
      </c>
      <c r="B4394" s="138">
        <f ca="1">'Revenues 9-14'!G187</f>
        <v>0</v>
      </c>
      <c r="D4394" s="2" t="str">
        <f t="shared" ca="1" si="67"/>
        <v>Error?</v>
      </c>
    </row>
    <row r="4395" spans="1:5" x14ac:dyDescent="0.2">
      <c r="A4395" s="5">
        <v>4334</v>
      </c>
      <c r="B4395" s="138">
        <f ca="1">'Revenues 9-14'!C188</f>
        <v>0</v>
      </c>
      <c r="C4395" s="2" t="s">
        <v>573</v>
      </c>
      <c r="D4395" s="2" t="str">
        <f t="shared" ca="1" si="67"/>
        <v>Error?</v>
      </c>
    </row>
    <row r="4396" spans="1:5" x14ac:dyDescent="0.2">
      <c r="A4396" s="5">
        <v>4335</v>
      </c>
      <c r="B4396" s="138">
        <f ca="1">'Revenues 9-14'!D188</f>
        <v>0</v>
      </c>
      <c r="C4396" s="2" t="s">
        <v>573</v>
      </c>
      <c r="D4396" s="2" t="str">
        <f t="shared" ca="1" si="67"/>
        <v>Error?</v>
      </c>
    </row>
    <row r="4397" spans="1:5" x14ac:dyDescent="0.2">
      <c r="A4397" s="5">
        <v>4336</v>
      </c>
      <c r="B4397" s="138">
        <f ca="1">'Revenues 9-14'!F188</f>
        <v>0</v>
      </c>
      <c r="C4397" s="2" t="s">
        <v>573</v>
      </c>
      <c r="D4397" s="2" t="str">
        <f t="shared" ca="1" si="67"/>
        <v>Error?</v>
      </c>
    </row>
    <row r="4398" spans="1:5" x14ac:dyDescent="0.2">
      <c r="A4398" s="5">
        <v>4337</v>
      </c>
      <c r="B4398" s="138">
        <f ca="1">'Revenues 9-14'!G188</f>
        <v>0</v>
      </c>
      <c r="C4398" s="2" t="s">
        <v>573</v>
      </c>
      <c r="D4398" s="2" t="str">
        <f t="shared" ca="1" si="67"/>
        <v>Error?</v>
      </c>
    </row>
    <row r="4399" spans="1:5" x14ac:dyDescent="0.2">
      <c r="A4399" s="10">
        <v>4338</v>
      </c>
      <c r="D4399" s="2" t="str">
        <f t="shared" si="67"/>
        <v>OK</v>
      </c>
      <c r="E4399" s="4" t="s">
        <v>1939</v>
      </c>
    </row>
    <row r="4400" spans="1:5" x14ac:dyDescent="0.2">
      <c r="A4400" s="10">
        <v>4339</v>
      </c>
      <c r="D4400" s="2" t="str">
        <f t="shared" si="67"/>
        <v>OK</v>
      </c>
      <c r="E4400" s="4" t="s">
        <v>1939</v>
      </c>
    </row>
    <row r="4401" spans="1:5" x14ac:dyDescent="0.2">
      <c r="A4401" s="10">
        <v>4340</v>
      </c>
      <c r="D4401" s="2" t="str">
        <f t="shared" si="67"/>
        <v>OK</v>
      </c>
      <c r="E4401" s="4" t="s">
        <v>1939</v>
      </c>
    </row>
    <row r="4402" spans="1:5" x14ac:dyDescent="0.2">
      <c r="A4402" s="10">
        <v>4341</v>
      </c>
      <c r="D4402" s="2" t="str">
        <f t="shared" si="67"/>
        <v>OK</v>
      </c>
      <c r="E4402" s="4" t="s">
        <v>1939</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 ca="1">'Revenues 9-14'!C207</f>
        <v>0</v>
      </c>
      <c r="D4407" s="2" t="str">
        <f t="shared" ca="1" si="67"/>
        <v>Error?</v>
      </c>
    </row>
    <row r="4408" spans="1:5" x14ac:dyDescent="0.2">
      <c r="A4408" s="5">
        <v>4347</v>
      </c>
      <c r="B4408" s="138">
        <f ca="1">'Revenues 9-14'!D207</f>
        <v>0</v>
      </c>
      <c r="D4408" s="2" t="str">
        <f t="shared" ca="1" si="67"/>
        <v>Error?</v>
      </c>
    </row>
    <row r="4409" spans="1:5" x14ac:dyDescent="0.2">
      <c r="A4409" s="5">
        <v>4348</v>
      </c>
      <c r="B4409" s="138">
        <f ca="1">'Revenues 9-14'!F207</f>
        <v>0</v>
      </c>
      <c r="D4409" s="2" t="str">
        <f t="shared" ca="1" si="67"/>
        <v>Error?</v>
      </c>
    </row>
    <row r="4410" spans="1:5" x14ac:dyDescent="0.2">
      <c r="A4410" s="5">
        <v>4349</v>
      </c>
      <c r="B4410" s="138">
        <f ca="1">'Revenues 9-14'!G207</f>
        <v>0</v>
      </c>
      <c r="D4410" s="2" t="str">
        <f t="shared" ca="1" si="67"/>
        <v>Error?</v>
      </c>
    </row>
    <row r="4411" spans="1:5" x14ac:dyDescent="0.2">
      <c r="A4411" s="5">
        <v>4350</v>
      </c>
      <c r="B4411" s="138">
        <f ca="1">'Revenues 9-14'!C209</f>
        <v>10000</v>
      </c>
      <c r="C4411" s="2" t="s">
        <v>573</v>
      </c>
      <c r="D4411" s="2" t="str">
        <f t="shared" ca="1" si="67"/>
        <v>Error?</v>
      </c>
    </row>
    <row r="4412" spans="1:5" x14ac:dyDescent="0.2">
      <c r="A4412" s="5">
        <v>4351</v>
      </c>
      <c r="B4412" s="138">
        <f ca="1">'Revenues 9-14'!D209</f>
        <v>0</v>
      </c>
      <c r="C4412" s="2" t="s">
        <v>573</v>
      </c>
      <c r="D4412" s="2" t="str">
        <f t="shared" ca="1" si="67"/>
        <v>Error?</v>
      </c>
    </row>
    <row r="4413" spans="1:5" x14ac:dyDescent="0.2">
      <c r="A4413" s="5">
        <v>4352</v>
      </c>
      <c r="B4413" s="138">
        <f ca="1">'Revenues 9-14'!F209</f>
        <v>0</v>
      </c>
      <c r="C4413" s="2" t="s">
        <v>573</v>
      </c>
      <c r="D4413" s="2" t="str">
        <f t="shared" ca="1" si="67"/>
        <v>Error?</v>
      </c>
    </row>
    <row r="4414" spans="1:5" x14ac:dyDescent="0.2">
      <c r="A4414" s="5">
        <v>4353</v>
      </c>
      <c r="B4414" s="138">
        <f ca="1">'Revenues 9-14'!G209</f>
        <v>0</v>
      </c>
      <c r="C4414" s="2" t="s">
        <v>573</v>
      </c>
      <c r="D4414" s="2" t="str">
        <f t="shared" ca="1" si="67"/>
        <v>Error?</v>
      </c>
    </row>
    <row r="4415" spans="1:5" x14ac:dyDescent="0.2">
      <c r="A4415" s="5">
        <v>4354</v>
      </c>
      <c r="B4415" s="138">
        <f ca="1">'Revenues 9-14'!C256</f>
        <v>0</v>
      </c>
      <c r="D4415" s="2" t="str">
        <f t="shared" ref="D4415:D4478" ca="1" si="68">IF(ISBLANK(B4415),"OK",IF(A4415-B4415=0,"OK","Error?"))</f>
        <v>Error?</v>
      </c>
    </row>
    <row r="4416" spans="1:5" x14ac:dyDescent="0.2">
      <c r="A4416" s="5">
        <v>4355</v>
      </c>
      <c r="B4416" s="138">
        <f ca="1">'Revenues 9-14'!F256</f>
        <v>0</v>
      </c>
      <c r="D4416" s="2" t="str">
        <f t="shared" ca="1" si="68"/>
        <v>Error?</v>
      </c>
    </row>
    <row r="4417" spans="1:4" x14ac:dyDescent="0.2">
      <c r="A4417" s="5">
        <v>4356</v>
      </c>
      <c r="B4417" s="138">
        <f ca="1">'Revenues 9-14'!G256</f>
        <v>0</v>
      </c>
      <c r="D4417" s="2" t="str">
        <f t="shared" ca="1" si="68"/>
        <v>Error?</v>
      </c>
    </row>
    <row r="4418" spans="1:4" x14ac:dyDescent="0.2">
      <c r="A4418" s="5">
        <v>4357</v>
      </c>
      <c r="B4418" s="138">
        <f ca="1">'Revenues 9-14'!C259</f>
        <v>3286</v>
      </c>
      <c r="D4418" s="2" t="str">
        <f t="shared" ca="1" si="68"/>
        <v>Error?</v>
      </c>
    </row>
    <row r="4419" spans="1:4" x14ac:dyDescent="0.2">
      <c r="A4419" s="5">
        <v>4358</v>
      </c>
      <c r="B4419" s="138">
        <f ca="1">'Revenues 9-14'!D259</f>
        <v>0</v>
      </c>
      <c r="D4419" s="2" t="str">
        <f t="shared" ca="1" si="68"/>
        <v>Error?</v>
      </c>
    </row>
    <row r="4420" spans="1:4" x14ac:dyDescent="0.2">
      <c r="A4420" s="5">
        <v>4359</v>
      </c>
      <c r="B4420" s="138">
        <f ca="1">'Revenues 9-14'!F259</f>
        <v>0</v>
      </c>
      <c r="D4420" s="2" t="str">
        <f t="shared" ca="1" si="68"/>
        <v>Error?</v>
      </c>
    </row>
    <row r="4421" spans="1:4" x14ac:dyDescent="0.2">
      <c r="A4421" s="5">
        <v>4360</v>
      </c>
      <c r="B4421" s="138">
        <f ca="1">'Revenues 9-14'!G259</f>
        <v>0</v>
      </c>
      <c r="D4421" s="2" t="str">
        <f t="shared" ca="1"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 ca="1">'Revenues 9-14'!E267</f>
        <v>0</v>
      </c>
      <c r="C4434" s="2" t="s">
        <v>573</v>
      </c>
      <c r="D4434" s="2" t="str">
        <f t="shared" ca="1" si="68"/>
        <v>Error?</v>
      </c>
    </row>
    <row r="4435" spans="1:5" x14ac:dyDescent="0.2">
      <c r="A4435" s="5">
        <v>4374</v>
      </c>
      <c r="B4435" s="138">
        <f ca="1">'Revenues 9-14'!I267</f>
        <v>0</v>
      </c>
      <c r="C4435" s="2" t="s">
        <v>573</v>
      </c>
      <c r="D4435" s="2" t="str">
        <f t="shared" ca="1" si="68"/>
        <v>Error?</v>
      </c>
    </row>
    <row r="4436" spans="1:5" x14ac:dyDescent="0.2">
      <c r="A4436" s="10">
        <v>4375</v>
      </c>
      <c r="C4436" s="2" t="s">
        <v>573</v>
      </c>
      <c r="D4436" s="2" t="str">
        <f t="shared" si="68"/>
        <v>OK</v>
      </c>
      <c r="E4436" s="128"/>
    </row>
    <row r="4437" spans="1:5" x14ac:dyDescent="0.2">
      <c r="A4437" s="12">
        <v>4376</v>
      </c>
      <c r="B4437" s="138">
        <f>('FP Info 3'!L10)*100000</f>
        <v>48.95</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 ca="1">'Revenues 9-14'!H266</f>
        <v>0</v>
      </c>
      <c r="C4441" s="2" t="s">
        <v>573</v>
      </c>
      <c r="D4441" s="2" t="str">
        <f t="shared" ca="1" si="68"/>
        <v>Error?</v>
      </c>
    </row>
    <row r="4442" spans="1:5" x14ac:dyDescent="0.2">
      <c r="A4442" s="5">
        <v>4381</v>
      </c>
      <c r="B4442" s="138">
        <f ca="1">'Revenues 9-14'!K266</f>
        <v>0</v>
      </c>
      <c r="C4442" s="2" t="s">
        <v>573</v>
      </c>
      <c r="D4442" s="2" t="str">
        <f t="shared" ca="1" si="68"/>
        <v>Error?</v>
      </c>
    </row>
    <row r="4443" spans="1:5" x14ac:dyDescent="0.2">
      <c r="A4443" s="5">
        <v>4382</v>
      </c>
      <c r="B4443" s="138">
        <f ca="1">'Acct Summary 7-8'!E7</f>
        <v>0</v>
      </c>
      <c r="C4443" s="2" t="s">
        <v>573</v>
      </c>
      <c r="D4443" s="2" t="str">
        <f t="shared" ca="1" si="68"/>
        <v>Error?</v>
      </c>
    </row>
    <row r="4444" spans="1:5" x14ac:dyDescent="0.2">
      <c r="A4444" s="5">
        <v>4383</v>
      </c>
      <c r="B4444" s="138">
        <f ca="1">'Acct Summary 7-8'!I7</f>
        <v>0</v>
      </c>
      <c r="C4444" s="2" t="s">
        <v>573</v>
      </c>
      <c r="D4444" s="2" t="str">
        <f t="shared" ca="1" si="68"/>
        <v>Error?</v>
      </c>
    </row>
    <row r="4445" spans="1:5" x14ac:dyDescent="0.2">
      <c r="A4445" s="10">
        <v>4384</v>
      </c>
      <c r="C4445" s="2" t="s">
        <v>573</v>
      </c>
      <c r="D4445" s="2" t="str">
        <f t="shared" si="68"/>
        <v>OK</v>
      </c>
    </row>
    <row r="4446" spans="1:5" x14ac:dyDescent="0.2">
      <c r="A4446" s="5">
        <v>4385</v>
      </c>
      <c r="B4446" s="138">
        <f ca="1">'Revenues 9-14'!D264</f>
        <v>0</v>
      </c>
      <c r="D4446" s="2" t="str">
        <f t="shared" ca="1" si="68"/>
        <v>Error?</v>
      </c>
    </row>
    <row r="4447" spans="1:5" x14ac:dyDescent="0.2">
      <c r="A4447" s="5">
        <v>4386</v>
      </c>
      <c r="B4447" s="138">
        <f ca="1">'Revenues 9-14'!F264</f>
        <v>0</v>
      </c>
      <c r="D4447" s="2" t="str">
        <f t="shared" ca="1" si="68"/>
        <v>Error?</v>
      </c>
    </row>
    <row r="4448" spans="1:5" x14ac:dyDescent="0.2">
      <c r="A4448" s="5">
        <v>4387</v>
      </c>
      <c r="B4448" s="138">
        <f ca="1">'Revenues 9-14'!G264</f>
        <v>0</v>
      </c>
      <c r="D4448" s="2" t="str">
        <f t="shared" ca="1"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 ca="1">'Revenues 9-14'!C104</f>
        <v>0</v>
      </c>
      <c r="D4761" s="2" t="str">
        <f t="shared" ca="1"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 ca="1">'Revenues 9-14'!G136</f>
        <v>0</v>
      </c>
      <c r="D4771" s="2" t="str">
        <f t="shared" ca="1"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 ca="1">'Revenues 9-14'!C168</f>
        <v>0</v>
      </c>
      <c r="D4792" s="2" t="str">
        <f t="shared" ca="1" si="73"/>
        <v>Error?</v>
      </c>
    </row>
    <row r="4793" spans="1:4" x14ac:dyDescent="0.2">
      <c r="A4793" s="5">
        <v>4732</v>
      </c>
      <c r="B4793" s="138">
        <f ca="1">'Revenues 9-14'!D168</f>
        <v>0</v>
      </c>
      <c r="D4793" s="2" t="str">
        <f t="shared" ca="1" si="73"/>
        <v>Error?</v>
      </c>
    </row>
    <row r="4794" spans="1:4" x14ac:dyDescent="0.2">
      <c r="A4794" s="5">
        <v>4733</v>
      </c>
      <c r="B4794" s="138">
        <f ca="1">'Revenues 9-14'!E168</f>
        <v>0</v>
      </c>
      <c r="D4794" s="2" t="str">
        <f t="shared" ca="1" si="73"/>
        <v>Error?</v>
      </c>
    </row>
    <row r="4795" spans="1:4" x14ac:dyDescent="0.2">
      <c r="A4795" s="5">
        <v>4734</v>
      </c>
      <c r="B4795" s="138">
        <f ca="1">'Revenues 9-14'!F168</f>
        <v>0</v>
      </c>
      <c r="D4795" s="2" t="str">
        <f t="shared" ca="1" si="73"/>
        <v>Error?</v>
      </c>
    </row>
    <row r="4796" spans="1:4" x14ac:dyDescent="0.2">
      <c r="A4796" s="5">
        <v>4735</v>
      </c>
      <c r="B4796" s="138">
        <f ca="1">'Revenues 9-14'!G168</f>
        <v>0</v>
      </c>
      <c r="D4796" s="2" t="str">
        <f t="shared" ca="1" si="73"/>
        <v>Error?</v>
      </c>
    </row>
    <row r="4797" spans="1:4" x14ac:dyDescent="0.2">
      <c r="A4797" s="5">
        <v>4736</v>
      </c>
      <c r="B4797" s="138">
        <f ca="1">'Revenues 9-14'!H168</f>
        <v>0</v>
      </c>
      <c r="D4797" s="2" t="str">
        <f t="shared" ca="1" si="73"/>
        <v>Error?</v>
      </c>
    </row>
    <row r="4798" spans="1:4" x14ac:dyDescent="0.2">
      <c r="A4798" s="10">
        <v>4737</v>
      </c>
      <c r="D4798" s="2" t="str">
        <f t="shared" si="73"/>
        <v>OK</v>
      </c>
    </row>
    <row r="4799" spans="1:4" x14ac:dyDescent="0.2">
      <c r="A4799" s="5">
        <v>4738</v>
      </c>
      <c r="B4799" s="138">
        <f ca="1">'Revenues 9-14'!K168</f>
        <v>0</v>
      </c>
      <c r="D4799" s="2" t="str">
        <f t="shared" ref="D4799:D4862" ca="1" si="74">IF(ISBLANK(B4799),"OK",IF(A4799-B4799=0,"OK","Error?"))</f>
        <v>Error?</v>
      </c>
    </row>
    <row r="4800" spans="1:4" x14ac:dyDescent="0.2">
      <c r="A4800" s="10">
        <v>4739</v>
      </c>
      <c r="D4800" s="2" t="str">
        <f t="shared" si="74"/>
        <v>OK</v>
      </c>
    </row>
    <row r="4801" spans="1:4" x14ac:dyDescent="0.2">
      <c r="A4801" s="5">
        <v>4740</v>
      </c>
      <c r="B4801" s="138">
        <f ca="1">'Revenues 9-14'!C179</f>
        <v>0</v>
      </c>
      <c r="D4801" s="2" t="str">
        <f t="shared" ca="1" si="74"/>
        <v>Error?</v>
      </c>
    </row>
    <row r="4802" spans="1:4" x14ac:dyDescent="0.2">
      <c r="A4802" s="5">
        <v>4741</v>
      </c>
      <c r="B4802" s="138">
        <f ca="1">'Revenues 9-14'!D179</f>
        <v>0</v>
      </c>
      <c r="D4802" s="2" t="str">
        <f t="shared" ca="1" si="74"/>
        <v>Error?</v>
      </c>
    </row>
    <row r="4803" spans="1:4" x14ac:dyDescent="0.2">
      <c r="A4803" s="10">
        <v>4742</v>
      </c>
      <c r="D4803" s="2" t="str">
        <f t="shared" si="74"/>
        <v>OK</v>
      </c>
    </row>
    <row r="4804" spans="1:4" x14ac:dyDescent="0.2">
      <c r="A4804" s="5">
        <v>4743</v>
      </c>
      <c r="B4804" s="138">
        <f ca="1">'Revenues 9-14'!F179</f>
        <v>0</v>
      </c>
      <c r="D4804" s="2" t="str">
        <f t="shared" ca="1" si="74"/>
        <v>Error?</v>
      </c>
    </row>
    <row r="4805" spans="1:4" x14ac:dyDescent="0.2">
      <c r="A4805" s="5">
        <v>4744</v>
      </c>
      <c r="B4805" s="138">
        <f ca="1">'Revenues 9-14'!C180</f>
        <v>23992</v>
      </c>
      <c r="D4805" s="2" t="str">
        <f t="shared" ca="1" si="74"/>
        <v>Error?</v>
      </c>
    </row>
    <row r="4806" spans="1:4" x14ac:dyDescent="0.2">
      <c r="A4806" s="5">
        <v>4745</v>
      </c>
      <c r="B4806" s="138">
        <f ca="1">'Revenues 9-14'!D180</f>
        <v>0</v>
      </c>
      <c r="D4806" s="2" t="str">
        <f t="shared" ca="1" si="74"/>
        <v>Error?</v>
      </c>
    </row>
    <row r="4807" spans="1:4" x14ac:dyDescent="0.2">
      <c r="A4807" s="10">
        <v>4746</v>
      </c>
      <c r="D4807" s="2" t="str">
        <f t="shared" si="74"/>
        <v>OK</v>
      </c>
    </row>
    <row r="4808" spans="1:4" x14ac:dyDescent="0.2">
      <c r="A4808" s="12">
        <v>4747</v>
      </c>
      <c r="B4808" s="138">
        <f ca="1">'Revenues 9-14'!F180</f>
        <v>0</v>
      </c>
      <c r="D4808" s="2" t="str">
        <f t="shared" ca="1" si="74"/>
        <v>Error?</v>
      </c>
    </row>
    <row r="4809" spans="1:4" x14ac:dyDescent="0.2">
      <c r="A4809" s="5">
        <v>4748</v>
      </c>
      <c r="D4809" s="2" t="str">
        <f t="shared" si="74"/>
        <v>OK</v>
      </c>
    </row>
    <row r="4810" spans="1:4" x14ac:dyDescent="0.2">
      <c r="A4810" s="5">
        <v>4749</v>
      </c>
      <c r="B4810" s="138">
        <f ca="1">'Revenues 9-14'!G179</f>
        <v>0</v>
      </c>
      <c r="D4810" s="2" t="str">
        <f t="shared" ca="1" si="74"/>
        <v>Error?</v>
      </c>
    </row>
    <row r="4811" spans="1:4" x14ac:dyDescent="0.2">
      <c r="A4811" s="5">
        <v>4750</v>
      </c>
      <c r="B4811" s="138">
        <f ca="1">'Revenues 9-14'!H179</f>
        <v>0</v>
      </c>
      <c r="D4811" s="2" t="str">
        <f t="shared" ca="1" si="74"/>
        <v>Error?</v>
      </c>
    </row>
    <row r="4812" spans="1:4" x14ac:dyDescent="0.2">
      <c r="A4812" s="10">
        <v>4751</v>
      </c>
      <c r="D4812" s="2" t="str">
        <f t="shared" si="74"/>
        <v>OK</v>
      </c>
    </row>
    <row r="4813" spans="1:4" x14ac:dyDescent="0.2">
      <c r="A4813" s="5">
        <v>4752</v>
      </c>
      <c r="B4813" s="138">
        <f ca="1">'Revenues 9-14'!G180</f>
        <v>0</v>
      </c>
      <c r="D4813" s="2" t="str">
        <f t="shared" ca="1" si="74"/>
        <v>Error?</v>
      </c>
    </row>
    <row r="4814" spans="1:4" x14ac:dyDescent="0.2">
      <c r="A4814" s="5">
        <v>4753</v>
      </c>
      <c r="B4814" s="138">
        <f ca="1">'Revenues 9-14'!H180</f>
        <v>0</v>
      </c>
      <c r="D4814" s="2" t="str">
        <f t="shared" ca="1" si="74"/>
        <v>Error?</v>
      </c>
    </row>
    <row r="4815" spans="1:4" x14ac:dyDescent="0.2">
      <c r="A4815" s="10">
        <v>4754</v>
      </c>
      <c r="D4815" s="2" t="str">
        <f t="shared" si="74"/>
        <v>OK</v>
      </c>
    </row>
    <row r="4816" spans="1:4" x14ac:dyDescent="0.2">
      <c r="A4816" s="5">
        <v>4755</v>
      </c>
      <c r="B4816" s="138">
        <f ca="1">'Revenues 9-14'!K180</f>
        <v>0</v>
      </c>
      <c r="D4816" s="2" t="str">
        <f t="shared" ca="1"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 ca="1">'Revenues 9-14'!C265</f>
        <v>0</v>
      </c>
      <c r="D4852" s="2" t="str">
        <f t="shared" ca="1" si="74"/>
        <v>Error?</v>
      </c>
    </row>
    <row r="4853" spans="1:4" x14ac:dyDescent="0.2">
      <c r="A4853" s="5">
        <v>4792</v>
      </c>
      <c r="B4853" s="138">
        <f ca="1">'Revenues 9-14'!D265</f>
        <v>0</v>
      </c>
      <c r="D4853" s="2" t="str">
        <f t="shared" ca="1" si="74"/>
        <v>Error?</v>
      </c>
    </row>
    <row r="4854" spans="1:4" x14ac:dyDescent="0.2">
      <c r="A4854" s="10">
        <v>4793</v>
      </c>
      <c r="D4854" s="2" t="str">
        <f t="shared" si="74"/>
        <v>OK</v>
      </c>
    </row>
    <row r="4855" spans="1:4" x14ac:dyDescent="0.2">
      <c r="A4855" s="5">
        <v>4794</v>
      </c>
      <c r="B4855" s="138">
        <f ca="1">'Revenues 9-14'!F265</f>
        <v>0</v>
      </c>
      <c r="D4855" s="2" t="str">
        <f t="shared" ca="1"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 ca="1">'Revenues 9-14'!G265</f>
        <v>0</v>
      </c>
      <c r="D4864" s="2" t="str">
        <f t="shared" ca="1" si="75"/>
        <v>Error?</v>
      </c>
    </row>
    <row r="4865" spans="1:4" x14ac:dyDescent="0.2">
      <c r="A4865" s="5">
        <v>4804</v>
      </c>
      <c r="B4865" s="138">
        <f ca="1">'Revenues 9-14'!H265</f>
        <v>0</v>
      </c>
      <c r="D4865" s="2" t="str">
        <f t="shared" ca="1"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 ca="1">'Revenues 9-14'!K265</f>
        <v>0</v>
      </c>
      <c r="D4868" s="2" t="str">
        <f t="shared" ca="1"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 ca="1">'Revenues 9-14'!C118</f>
        <v>0</v>
      </c>
      <c r="D4874" s="2" t="str">
        <f t="shared" ca="1" si="75"/>
        <v>Error?</v>
      </c>
    </row>
    <row r="4875" spans="1:4" x14ac:dyDescent="0.2">
      <c r="A4875" s="5">
        <v>4814</v>
      </c>
      <c r="B4875" s="138">
        <f ca="1">'Revenues 9-14'!D118</f>
        <v>0</v>
      </c>
      <c r="D4875" s="2" t="str">
        <f t="shared" ca="1" si="75"/>
        <v>Error?</v>
      </c>
    </row>
    <row r="4876" spans="1:4" x14ac:dyDescent="0.2">
      <c r="A4876" s="5">
        <v>4815</v>
      </c>
      <c r="B4876" s="138">
        <f ca="1">'Revenues 9-14'!E118</f>
        <v>0</v>
      </c>
      <c r="D4876" s="2" t="str">
        <f t="shared" ca="1" si="75"/>
        <v>Error?</v>
      </c>
    </row>
    <row r="4877" spans="1:4" x14ac:dyDescent="0.2">
      <c r="A4877" s="5">
        <v>4816</v>
      </c>
      <c r="B4877" s="138">
        <f ca="1">'Revenues 9-14'!F118</f>
        <v>0</v>
      </c>
      <c r="D4877" s="2" t="str">
        <f t="shared" ca="1" si="75"/>
        <v>Error?</v>
      </c>
    </row>
    <row r="4878" spans="1:4" x14ac:dyDescent="0.2">
      <c r="A4878" s="5">
        <v>4817</v>
      </c>
      <c r="B4878" s="138">
        <f ca="1">'Revenues 9-14'!G118</f>
        <v>0</v>
      </c>
      <c r="D4878" s="2" t="str">
        <f t="shared" ca="1" si="75"/>
        <v>Error?</v>
      </c>
    </row>
    <row r="4879" spans="1:4" x14ac:dyDescent="0.2">
      <c r="A4879" s="5">
        <v>4818</v>
      </c>
      <c r="B4879" s="138">
        <f ca="1">'Revenues 9-14'!H118</f>
        <v>0</v>
      </c>
      <c r="D4879" s="2" t="str">
        <f t="shared" ca="1" si="75"/>
        <v>Error?</v>
      </c>
    </row>
    <row r="4880" spans="1:4" x14ac:dyDescent="0.2">
      <c r="A4880" s="10">
        <v>4819</v>
      </c>
      <c r="D4880" s="2" t="str">
        <f t="shared" si="75"/>
        <v>OK</v>
      </c>
    </row>
    <row r="4881" spans="1:4" x14ac:dyDescent="0.2">
      <c r="A4881" s="5">
        <v>4820</v>
      </c>
      <c r="B4881" s="138">
        <f ca="1">'Revenues 9-14'!K118</f>
        <v>0</v>
      </c>
      <c r="D4881" s="2" t="str">
        <f t="shared" ca="1" si="75"/>
        <v>Error?</v>
      </c>
    </row>
    <row r="4882" spans="1:4" x14ac:dyDescent="0.2">
      <c r="A4882" s="5">
        <v>4821</v>
      </c>
      <c r="B4882" s="138">
        <f ca="1">'Revenues 9-14'!C121</f>
        <v>0</v>
      </c>
      <c r="D4882" s="2" t="str">
        <f t="shared" ca="1" si="75"/>
        <v>Error?</v>
      </c>
    </row>
    <row r="4883" spans="1:4" x14ac:dyDescent="0.2">
      <c r="A4883" s="5">
        <v>4822</v>
      </c>
      <c r="B4883" s="138">
        <f ca="1">'Revenues 9-14'!D121</f>
        <v>0</v>
      </c>
      <c r="D4883" s="2" t="str">
        <f t="shared" ca="1" si="75"/>
        <v>Error?</v>
      </c>
    </row>
    <row r="4884" spans="1:4" x14ac:dyDescent="0.2">
      <c r="A4884" s="5">
        <v>4823</v>
      </c>
      <c r="B4884" s="138">
        <f ca="1">'Revenues 9-14'!E121</f>
        <v>0</v>
      </c>
      <c r="D4884" s="2" t="str">
        <f t="shared" ca="1" si="75"/>
        <v>Error?</v>
      </c>
    </row>
    <row r="4885" spans="1:4" x14ac:dyDescent="0.2">
      <c r="A4885" s="5">
        <v>4824</v>
      </c>
      <c r="B4885" s="138">
        <f ca="1">'Revenues 9-14'!F121</f>
        <v>0</v>
      </c>
      <c r="D4885" s="2" t="str">
        <f t="shared" ca="1" si="75"/>
        <v>Error?</v>
      </c>
    </row>
    <row r="4886" spans="1:4" x14ac:dyDescent="0.2">
      <c r="A4886" s="5">
        <v>4825</v>
      </c>
      <c r="B4886" s="138">
        <f ca="1">'Revenues 9-14'!G121</f>
        <v>0</v>
      </c>
      <c r="D4886" s="2" t="str">
        <f t="shared" ca="1" si="75"/>
        <v>Error?</v>
      </c>
    </row>
    <row r="4887" spans="1:4" x14ac:dyDescent="0.2">
      <c r="A4887" s="5">
        <v>4826</v>
      </c>
      <c r="B4887" s="138">
        <f ca="1">'Revenues 9-14'!H121</f>
        <v>0</v>
      </c>
      <c r="D4887" s="2" t="str">
        <f t="shared" ca="1" si="75"/>
        <v>Error?</v>
      </c>
    </row>
    <row r="4888" spans="1:4" x14ac:dyDescent="0.2">
      <c r="A4888" s="10">
        <v>4827</v>
      </c>
      <c r="D4888" s="2" t="str">
        <f t="shared" si="75"/>
        <v>OK</v>
      </c>
    </row>
    <row r="4889" spans="1:4" x14ac:dyDescent="0.2">
      <c r="A4889" s="5">
        <v>4828</v>
      </c>
      <c r="B4889" s="138">
        <f ca="1">'Revenues 9-14'!K121</f>
        <v>0</v>
      </c>
      <c r="D4889" s="2" t="str">
        <f t="shared" ca="1"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 ca="1">'Revenues 9-14'!C162</f>
        <v>0</v>
      </c>
      <c r="D4915" s="2" t="str">
        <f t="shared" ca="1" si="75"/>
        <v>Error?</v>
      </c>
    </row>
    <row r="4916" spans="1:4" x14ac:dyDescent="0.2">
      <c r="A4916" s="5">
        <v>4855</v>
      </c>
      <c r="B4916" s="138">
        <f ca="1">'Revenues 9-14'!D162</f>
        <v>0</v>
      </c>
      <c r="D4916" s="2" t="str">
        <f t="shared" ca="1" si="75"/>
        <v>Error?</v>
      </c>
    </row>
    <row r="4917" spans="1:4" x14ac:dyDescent="0.2">
      <c r="A4917" s="5">
        <v>4856</v>
      </c>
      <c r="B4917" s="138">
        <f ca="1">'Revenues 9-14'!E162</f>
        <v>0</v>
      </c>
      <c r="D4917" s="2" t="str">
        <f t="shared" ca="1" si="75"/>
        <v>Error?</v>
      </c>
    </row>
    <row r="4918" spans="1:4" x14ac:dyDescent="0.2">
      <c r="A4918" s="5">
        <v>4857</v>
      </c>
      <c r="B4918" s="138">
        <f ca="1">'Revenues 9-14'!F162</f>
        <v>0</v>
      </c>
      <c r="D4918" s="2" t="str">
        <f t="shared" ca="1" si="75"/>
        <v>Error?</v>
      </c>
    </row>
    <row r="4919" spans="1:4" x14ac:dyDescent="0.2">
      <c r="A4919" s="5">
        <v>4858</v>
      </c>
      <c r="B4919" s="138">
        <f ca="1">'Revenues 9-14'!G162</f>
        <v>0</v>
      </c>
      <c r="D4919" s="2" t="str">
        <f t="shared" ca="1" si="75"/>
        <v>Error?</v>
      </c>
    </row>
    <row r="4920" spans="1:4" x14ac:dyDescent="0.2">
      <c r="A4920" s="5">
        <v>4859</v>
      </c>
      <c r="B4920" s="138">
        <f ca="1">'Revenues 9-14'!H162</f>
        <v>0</v>
      </c>
      <c r="D4920" s="2" t="str">
        <f t="shared" ca="1" si="75"/>
        <v>Error?</v>
      </c>
    </row>
    <row r="4921" spans="1:4" x14ac:dyDescent="0.2">
      <c r="A4921" s="10">
        <v>4860</v>
      </c>
      <c r="D4921" s="2" t="str">
        <f t="shared" si="75"/>
        <v>OK</v>
      </c>
    </row>
    <row r="4922" spans="1:4" x14ac:dyDescent="0.2">
      <c r="A4922" s="5">
        <v>4861</v>
      </c>
      <c r="B4922" s="138">
        <f ca="1">'Revenues 9-14'!K162</f>
        <v>0</v>
      </c>
      <c r="D4922" s="2" t="str">
        <f t="shared" ca="1"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 ca="1">'Revenues 9-14'!C174</f>
        <v>0</v>
      </c>
      <c r="D4944" s="2" t="str">
        <f t="shared" ca="1" si="76"/>
        <v>Error?</v>
      </c>
    </row>
    <row r="4945" spans="1:4" x14ac:dyDescent="0.2">
      <c r="A4945" s="5">
        <v>4884</v>
      </c>
      <c r="B4945" s="138">
        <f ca="1">'Revenues 9-14'!D174</f>
        <v>0</v>
      </c>
      <c r="D4945" s="2" t="str">
        <f t="shared" ca="1" si="76"/>
        <v>Error?</v>
      </c>
    </row>
    <row r="4946" spans="1:4" x14ac:dyDescent="0.2">
      <c r="A4946" s="5">
        <v>4885</v>
      </c>
      <c r="B4946" s="138">
        <f ca="1">'Revenues 9-14'!F174</f>
        <v>0</v>
      </c>
      <c r="D4946" s="2" t="str">
        <f t="shared" ca="1" si="76"/>
        <v>Error?</v>
      </c>
    </row>
    <row r="4947" spans="1:4" x14ac:dyDescent="0.2">
      <c r="A4947" s="5">
        <v>4886</v>
      </c>
      <c r="B4947" s="138">
        <f ca="1">'Revenues 9-14'!G174</f>
        <v>0</v>
      </c>
      <c r="D4947" s="2" t="str">
        <f t="shared" ca="1" si="76"/>
        <v>Error?</v>
      </c>
    </row>
    <row r="4948" spans="1:4" x14ac:dyDescent="0.2">
      <c r="A4948" s="5">
        <v>4887</v>
      </c>
      <c r="B4948" s="138">
        <f ca="1">'Revenues 9-14'!H174</f>
        <v>0</v>
      </c>
      <c r="D4948" s="2" t="str">
        <f t="shared" ca="1" si="76"/>
        <v>Error?</v>
      </c>
    </row>
    <row r="4949" spans="1:4" x14ac:dyDescent="0.2">
      <c r="A4949" s="5">
        <v>4888</v>
      </c>
      <c r="B4949" s="138">
        <f ca="1">'Revenues 9-14'!K174</f>
        <v>0</v>
      </c>
      <c r="D4949" s="2" t="str">
        <f t="shared" ca="1" si="76"/>
        <v>Error?</v>
      </c>
    </row>
    <row r="4950" spans="1:4" x14ac:dyDescent="0.2">
      <c r="A4950" s="5">
        <v>4889</v>
      </c>
      <c r="B4950" s="138">
        <f ca="1">'Revenues 9-14'!H175</f>
        <v>0</v>
      </c>
      <c r="C4950" s="2" t="s">
        <v>573</v>
      </c>
      <c r="D4950" s="2" t="str">
        <f t="shared" ca="1" si="76"/>
        <v>Error?</v>
      </c>
    </row>
    <row r="4951" spans="1:4" x14ac:dyDescent="0.2">
      <c r="A4951" s="5">
        <v>4890</v>
      </c>
      <c r="B4951" s="138">
        <f ca="1">'Revenues 9-14'!K175</f>
        <v>0</v>
      </c>
      <c r="C4951" s="2" t="s">
        <v>573</v>
      </c>
      <c r="D4951" s="2" t="str">
        <f t="shared" ca="1"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38263308</v>
      </c>
      <c r="D4995" s="2" t="str">
        <f t="shared" si="77"/>
        <v>Error?</v>
      </c>
    </row>
    <row r="4996" spans="1:4" x14ac:dyDescent="0.2">
      <c r="A4996" s="12">
        <v>4935</v>
      </c>
      <c r="B4996" s="138">
        <f>'FP Info 3'!H31</f>
        <v>2640168.2520000003</v>
      </c>
      <c r="D4996" s="2" t="str">
        <f t="shared" si="77"/>
        <v>Error?</v>
      </c>
    </row>
    <row r="4997" spans="1:4" x14ac:dyDescent="0.2">
      <c r="A4997" s="12">
        <v>4936</v>
      </c>
      <c r="B4997" s="138">
        <f>'FP Info 3'!H37</f>
        <v>43865</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 ca="1">'Revenues 9-14'!K169</f>
        <v>0</v>
      </c>
      <c r="C5000" s="2" t="s">
        <v>573</v>
      </c>
      <c r="D5000" s="2" t="str">
        <f t="shared" ca="1"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 ca="1">'Acct Summary 7-8'!I6</f>
        <v>0</v>
      </c>
      <c r="C5011" s="2" t="s">
        <v>573</v>
      </c>
      <c r="D5011" s="2" t="str">
        <f t="shared" ca="1" si="77"/>
        <v>Error?</v>
      </c>
    </row>
    <row r="5012" spans="1:4" x14ac:dyDescent="0.2">
      <c r="A5012" s="5">
        <v>4951</v>
      </c>
      <c r="B5012" s="138">
        <f ca="1">'Acct Summary 7-8'!C27</f>
        <v>0</v>
      </c>
      <c r="C5012" s="2" t="s">
        <v>573</v>
      </c>
      <c r="D5012" s="2" t="str">
        <f t="shared" ca="1" si="77"/>
        <v>Error?</v>
      </c>
    </row>
    <row r="5013" spans="1:4" x14ac:dyDescent="0.2">
      <c r="A5013" s="5">
        <v>4952</v>
      </c>
      <c r="B5013" s="138">
        <f ca="1">'Acct Summary 7-8'!D27</f>
        <v>0</v>
      </c>
      <c r="D5013" s="2" t="str">
        <f t="shared" ca="1" si="77"/>
        <v>Error?</v>
      </c>
    </row>
    <row r="5014" spans="1:4" x14ac:dyDescent="0.2">
      <c r="A5014" s="5">
        <v>4953</v>
      </c>
      <c r="B5014" s="138">
        <f ca="1">'Acct Summary 7-8'!F27</f>
        <v>0</v>
      </c>
      <c r="C5014" s="2" t="s">
        <v>573</v>
      </c>
      <c r="D5014" s="2" t="str">
        <f t="shared" ca="1"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 ca="1">'Acct Summary 7-8'!C49</f>
        <v>0</v>
      </c>
      <c r="D5022" s="2" t="str">
        <f t="shared" ca="1" si="77"/>
        <v>Error?</v>
      </c>
    </row>
    <row r="5023" spans="1:4" x14ac:dyDescent="0.2">
      <c r="A5023" s="5">
        <v>4962</v>
      </c>
      <c r="B5023" s="138">
        <f ca="1">'Acct Summary 7-8'!D49</f>
        <v>0</v>
      </c>
      <c r="D5023" s="2" t="str">
        <f t="shared" ca="1" si="77"/>
        <v>Error?</v>
      </c>
    </row>
    <row r="5024" spans="1:4" x14ac:dyDescent="0.2">
      <c r="A5024" s="5">
        <v>4963</v>
      </c>
      <c r="B5024" s="138">
        <f ca="1">'Acct Summary 7-8'!F49</f>
        <v>0</v>
      </c>
      <c r="D5024" s="2" t="str">
        <f t="shared" ca="1" si="77"/>
        <v>Error?</v>
      </c>
    </row>
    <row r="5025" spans="1:4" x14ac:dyDescent="0.2">
      <c r="A5025" s="10">
        <v>4964</v>
      </c>
      <c r="C5025" s="2" t="s">
        <v>573</v>
      </c>
      <c r="D5025" s="2" t="str">
        <f t="shared" si="77"/>
        <v>OK</v>
      </c>
    </row>
    <row r="5026" spans="1:4" x14ac:dyDescent="0.2">
      <c r="A5026" s="5">
        <v>4965</v>
      </c>
      <c r="B5026" s="138">
        <f ca="1">'Revenues 9-14'!C6</f>
        <v>0</v>
      </c>
      <c r="D5026" s="2" t="str">
        <f t="shared" ca="1" si="77"/>
        <v>Error?</v>
      </c>
    </row>
    <row r="5027" spans="1:4" x14ac:dyDescent="0.2">
      <c r="A5027" s="5">
        <v>4966</v>
      </c>
      <c r="B5027" s="138">
        <f ca="1">'Revenues 9-14'!F104</f>
        <v>0</v>
      </c>
      <c r="D5027" s="2" t="str">
        <f t="shared" ca="1"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 ca="1">'Revenues 9-14'!C160</f>
        <v>0</v>
      </c>
      <c r="D5056" s="2" t="str">
        <f t="shared" ca="1" si="78"/>
        <v>Error?</v>
      </c>
    </row>
    <row r="5057" spans="1:4" x14ac:dyDescent="0.2">
      <c r="A5057" s="5">
        <v>4996</v>
      </c>
      <c r="B5057" s="138">
        <f ca="1">'Revenues 9-14'!D160</f>
        <v>0</v>
      </c>
      <c r="D5057" s="2" t="str">
        <f t="shared" ca="1" si="78"/>
        <v>Error?</v>
      </c>
    </row>
    <row r="5058" spans="1:4" x14ac:dyDescent="0.2">
      <c r="A5058" s="5">
        <v>4997</v>
      </c>
      <c r="B5058" s="138">
        <f ca="1">'Revenues 9-14'!F160</f>
        <v>0</v>
      </c>
      <c r="D5058" s="2" t="str">
        <f t="shared" ca="1" si="78"/>
        <v>Error?</v>
      </c>
    </row>
    <row r="5059" spans="1:4" x14ac:dyDescent="0.2">
      <c r="A5059" s="5">
        <v>4998</v>
      </c>
      <c r="B5059" s="138">
        <f ca="1">'Revenues 9-14'!G160</f>
        <v>0</v>
      </c>
      <c r="D5059" s="2" t="str">
        <f t="shared" ca="1" si="78"/>
        <v>Error?</v>
      </c>
    </row>
    <row r="5060" spans="1:4" x14ac:dyDescent="0.2">
      <c r="A5060" s="5">
        <v>4999</v>
      </c>
      <c r="B5060" s="138">
        <f ca="1">'Revenues 9-14'!C161</f>
        <v>0</v>
      </c>
      <c r="D5060" s="2" t="str">
        <f t="shared" ca="1" si="78"/>
        <v>Error?</v>
      </c>
    </row>
    <row r="5061" spans="1:4" x14ac:dyDescent="0.2">
      <c r="A5061" s="5">
        <v>5000</v>
      </c>
      <c r="B5061" s="138">
        <f ca="1">'Revenues 9-14'!C5</f>
        <v>792409</v>
      </c>
      <c r="D5061" s="2" t="str">
        <f t="shared" ca="1" si="78"/>
        <v>Error?</v>
      </c>
    </row>
    <row r="5062" spans="1:4" x14ac:dyDescent="0.2">
      <c r="A5062" s="10">
        <v>5001</v>
      </c>
      <c r="D5062" s="2" t="str">
        <f t="shared" si="78"/>
        <v>OK</v>
      </c>
    </row>
    <row r="5063" spans="1:4" x14ac:dyDescent="0.2">
      <c r="A5063" s="5">
        <v>5002</v>
      </c>
      <c r="B5063" s="138">
        <f ca="1">'Revenues 9-14'!C7</f>
        <v>29720</v>
      </c>
      <c r="D5063" s="2" t="str">
        <f t="shared" ca="1" si="78"/>
        <v>Error?</v>
      </c>
    </row>
    <row r="5064" spans="1:4" x14ac:dyDescent="0.2">
      <c r="A5064" s="5">
        <v>5003</v>
      </c>
      <c r="B5064" s="138">
        <f ca="1">'Revenues 9-14'!C10</f>
        <v>0</v>
      </c>
      <c r="D5064" s="2" t="str">
        <f t="shared" ca="1" si="78"/>
        <v>Error?</v>
      </c>
    </row>
    <row r="5065" spans="1:4" x14ac:dyDescent="0.2">
      <c r="A5065" s="5">
        <v>5004</v>
      </c>
      <c r="B5065" s="138">
        <f ca="1">'Revenues 9-14'!C11</f>
        <v>0</v>
      </c>
      <c r="D5065" s="2" t="str">
        <f t="shared" ca="1" si="78"/>
        <v>Error?</v>
      </c>
    </row>
    <row r="5066" spans="1:4" x14ac:dyDescent="0.2">
      <c r="A5066" s="5">
        <v>5005</v>
      </c>
      <c r="B5066" s="138">
        <f ca="1">'Revenues 9-14'!C12</f>
        <v>822129</v>
      </c>
      <c r="C5066" s="2" t="s">
        <v>573</v>
      </c>
      <c r="D5066" s="2" t="str">
        <f t="shared" ca="1" si="78"/>
        <v>Error?</v>
      </c>
    </row>
    <row r="5067" spans="1:4" x14ac:dyDescent="0.2">
      <c r="A5067" s="5">
        <v>5006</v>
      </c>
      <c r="B5067" s="138">
        <f ca="1">'Revenues 9-14'!C14</f>
        <v>0</v>
      </c>
      <c r="D5067" s="2" t="str">
        <f t="shared" ca="1" si="78"/>
        <v>Error?</v>
      </c>
    </row>
    <row r="5068" spans="1:4" x14ac:dyDescent="0.2">
      <c r="A5068" s="5">
        <v>5007</v>
      </c>
      <c r="B5068" s="138">
        <f ca="1">'Revenues 9-14'!C15</f>
        <v>0</v>
      </c>
      <c r="D5068" s="2" t="str">
        <f t="shared" ca="1" si="78"/>
        <v>Error?</v>
      </c>
    </row>
    <row r="5069" spans="1:4" x14ac:dyDescent="0.2">
      <c r="A5069" s="5">
        <v>5008</v>
      </c>
      <c r="B5069" s="138">
        <f ca="1">'Revenues 9-14'!C16</f>
        <v>35374</v>
      </c>
      <c r="D5069" s="2" t="str">
        <f t="shared" ca="1" si="78"/>
        <v>Error?</v>
      </c>
    </row>
    <row r="5070" spans="1:4" x14ac:dyDescent="0.2">
      <c r="A5070" s="5">
        <v>5009</v>
      </c>
      <c r="B5070" s="138">
        <f ca="1">'Revenues 9-14'!C17</f>
        <v>217284</v>
      </c>
      <c r="D5070" s="2" t="str">
        <f t="shared" ca="1" si="78"/>
        <v>Error?</v>
      </c>
    </row>
    <row r="5071" spans="1:4" x14ac:dyDescent="0.2">
      <c r="A5071" s="5">
        <v>5010</v>
      </c>
      <c r="B5071" s="138">
        <f ca="1">'Revenues 9-14'!C18</f>
        <v>252658</v>
      </c>
      <c r="C5071" s="2" t="s">
        <v>573</v>
      </c>
      <c r="D5071" s="2" t="str">
        <f t="shared" ca="1" si="78"/>
        <v>Error?</v>
      </c>
    </row>
    <row r="5072" spans="1:4" x14ac:dyDescent="0.2">
      <c r="A5072" s="5">
        <v>5011</v>
      </c>
      <c r="B5072" s="138">
        <f ca="1">'Revenues 9-14'!C20</f>
        <v>0</v>
      </c>
      <c r="D5072" s="2" t="str">
        <f t="shared" ca="1" si="78"/>
        <v>Error?</v>
      </c>
    </row>
    <row r="5073" spans="1:4" x14ac:dyDescent="0.2">
      <c r="A5073" s="5">
        <v>5012</v>
      </c>
      <c r="B5073" s="138">
        <f ca="1">'Revenues 9-14'!C21</f>
        <v>0</v>
      </c>
      <c r="D5073" s="2" t="str">
        <f t="shared" ca="1" si="78"/>
        <v>Error?</v>
      </c>
    </row>
    <row r="5074" spans="1:4" x14ac:dyDescent="0.2">
      <c r="A5074" s="5">
        <v>5013</v>
      </c>
      <c r="B5074" s="138">
        <f ca="1">'Revenues 9-14'!C22</f>
        <v>0</v>
      </c>
      <c r="D5074" s="2" t="str">
        <f t="shared" ca="1" si="78"/>
        <v>Error?</v>
      </c>
    </row>
    <row r="5075" spans="1:4" x14ac:dyDescent="0.2">
      <c r="A5075" s="5">
        <v>5014</v>
      </c>
      <c r="B5075" s="138">
        <f ca="1">'Revenues 9-14'!C24</f>
        <v>0</v>
      </c>
      <c r="D5075" s="2" t="str">
        <f t="shared" ca="1" si="78"/>
        <v>Error?</v>
      </c>
    </row>
    <row r="5076" spans="1:4" x14ac:dyDescent="0.2">
      <c r="A5076" s="5">
        <v>5015</v>
      </c>
      <c r="B5076" s="138">
        <f ca="1">'Revenues 9-14'!C25</f>
        <v>0</v>
      </c>
      <c r="D5076" s="2" t="str">
        <f t="shared" ca="1" si="78"/>
        <v>Error?</v>
      </c>
    </row>
    <row r="5077" spans="1:4" x14ac:dyDescent="0.2">
      <c r="A5077" s="5">
        <v>5016</v>
      </c>
      <c r="B5077" s="138">
        <f ca="1">'Revenues 9-14'!C26</f>
        <v>0</v>
      </c>
      <c r="D5077" s="2" t="str">
        <f t="shared" ca="1" si="78"/>
        <v>Error?</v>
      </c>
    </row>
    <row r="5078" spans="1:4" x14ac:dyDescent="0.2">
      <c r="A5078" s="5">
        <v>5017</v>
      </c>
      <c r="B5078" s="138">
        <f ca="1">'Revenues 9-14'!C28</f>
        <v>0</v>
      </c>
      <c r="D5078" s="2" t="str">
        <f t="shared" ca="1" si="78"/>
        <v>Error?</v>
      </c>
    </row>
    <row r="5079" spans="1:4" x14ac:dyDescent="0.2">
      <c r="A5079" s="5">
        <v>5018</v>
      </c>
      <c r="B5079" s="138">
        <f ca="1">'Revenues 9-14'!C29</f>
        <v>0</v>
      </c>
      <c r="D5079" s="2" t="str">
        <f t="shared" ca="1" si="78"/>
        <v>Error?</v>
      </c>
    </row>
    <row r="5080" spans="1:4" x14ac:dyDescent="0.2">
      <c r="A5080" s="5">
        <v>5019</v>
      </c>
      <c r="B5080" s="138">
        <f ca="1">'Revenues 9-14'!C30</f>
        <v>0</v>
      </c>
      <c r="D5080" s="2" t="str">
        <f t="shared" ca="1" si="78"/>
        <v>Error?</v>
      </c>
    </row>
    <row r="5081" spans="1:4" x14ac:dyDescent="0.2">
      <c r="A5081" s="5">
        <v>5020</v>
      </c>
      <c r="B5081" s="138">
        <f ca="1">'Revenues 9-14'!C32</f>
        <v>0</v>
      </c>
      <c r="D5081" s="2" t="str">
        <f t="shared" ca="1" si="78"/>
        <v>Error?</v>
      </c>
    </row>
    <row r="5082" spans="1:4" x14ac:dyDescent="0.2">
      <c r="A5082" s="5">
        <v>5021</v>
      </c>
      <c r="B5082" s="138">
        <f ca="1">'Revenues 9-14'!C33</f>
        <v>0</v>
      </c>
      <c r="D5082" s="2" t="str">
        <f t="shared" ca="1" si="78"/>
        <v>Error?</v>
      </c>
    </row>
    <row r="5083" spans="1:4" x14ac:dyDescent="0.2">
      <c r="A5083" s="5">
        <v>5022</v>
      </c>
      <c r="B5083" s="138">
        <f ca="1">'Revenues 9-14'!C34</f>
        <v>0</v>
      </c>
      <c r="D5083" s="2" t="str">
        <f t="shared" ca="1" si="78"/>
        <v>Error?</v>
      </c>
    </row>
    <row r="5084" spans="1:4" x14ac:dyDescent="0.2">
      <c r="A5084" s="5">
        <v>5023</v>
      </c>
      <c r="B5084" s="138">
        <f ca="1">'Revenues 9-14'!C36</f>
        <v>0</v>
      </c>
      <c r="D5084" s="2" t="str">
        <f t="shared" ca="1" si="78"/>
        <v>Error?</v>
      </c>
    </row>
    <row r="5085" spans="1:4" x14ac:dyDescent="0.2">
      <c r="A5085" s="5">
        <v>5024</v>
      </c>
      <c r="B5085" s="138">
        <f ca="1">'Revenues 9-14'!C37</f>
        <v>0</v>
      </c>
      <c r="D5085" s="2" t="str">
        <f t="shared" ca="1" si="78"/>
        <v>Error?</v>
      </c>
    </row>
    <row r="5086" spans="1:4" x14ac:dyDescent="0.2">
      <c r="A5086" s="5">
        <v>5025</v>
      </c>
      <c r="B5086" s="138">
        <f ca="1">'Revenues 9-14'!C38</f>
        <v>0</v>
      </c>
      <c r="D5086" s="2" t="str">
        <f t="shared" ca="1" si="78"/>
        <v>Error?</v>
      </c>
    </row>
    <row r="5087" spans="1:4" x14ac:dyDescent="0.2">
      <c r="A5087" s="5">
        <v>5026</v>
      </c>
      <c r="B5087" s="138">
        <f ca="1">'Revenues 9-14'!C40</f>
        <v>0</v>
      </c>
      <c r="C5087" s="2" t="s">
        <v>573</v>
      </c>
      <c r="D5087" s="2" t="str">
        <f t="shared" ca="1" si="78"/>
        <v>Error?</v>
      </c>
    </row>
    <row r="5088" spans="1:4" x14ac:dyDescent="0.2">
      <c r="A5088" s="5">
        <v>5027</v>
      </c>
      <c r="B5088" s="138">
        <f ca="1">'Revenues 9-14'!C65</f>
        <v>5671</v>
      </c>
      <c r="D5088" s="2" t="str">
        <f t="shared" ca="1" si="78"/>
        <v>Error?</v>
      </c>
    </row>
    <row r="5089" spans="1:4" x14ac:dyDescent="0.2">
      <c r="A5089" s="5">
        <v>5028</v>
      </c>
      <c r="B5089" s="138">
        <f ca="1">'Revenues 9-14'!C66</f>
        <v>0</v>
      </c>
      <c r="D5089" s="2" t="str">
        <f t="shared" ca="1" si="78"/>
        <v>Error?</v>
      </c>
    </row>
    <row r="5090" spans="1:4" x14ac:dyDescent="0.2">
      <c r="A5090" s="5">
        <v>5029</v>
      </c>
      <c r="B5090" s="138">
        <f ca="1">'Revenues 9-14'!C67</f>
        <v>5671</v>
      </c>
      <c r="C5090" s="2" t="s">
        <v>573</v>
      </c>
      <c r="D5090" s="2" t="str">
        <f t="shared" ca="1" si="78"/>
        <v>Error?</v>
      </c>
    </row>
    <row r="5091" spans="1:4" x14ac:dyDescent="0.2">
      <c r="A5091" s="5">
        <v>5030</v>
      </c>
      <c r="B5091" s="138">
        <f ca="1">'Revenues 9-14'!C70</f>
        <v>0</v>
      </c>
      <c r="D5091" s="2" t="str">
        <f t="shared" ca="1" si="78"/>
        <v>Error?</v>
      </c>
    </row>
    <row r="5092" spans="1:4" x14ac:dyDescent="0.2">
      <c r="A5092" s="5">
        <v>5031</v>
      </c>
      <c r="B5092" s="138">
        <f ca="1">'Revenues 9-14'!C71</f>
        <v>0</v>
      </c>
      <c r="D5092" s="2" t="str">
        <f t="shared" ca="1" si="78"/>
        <v>Error?</v>
      </c>
    </row>
    <row r="5093" spans="1:4" x14ac:dyDescent="0.2">
      <c r="A5093" s="5">
        <v>5032</v>
      </c>
      <c r="B5093" s="138">
        <f ca="1">'Revenues 9-14'!C72</f>
        <v>0</v>
      </c>
      <c r="D5093" s="2" t="str">
        <f t="shared" ca="1" si="78"/>
        <v>Error?</v>
      </c>
    </row>
    <row r="5094" spans="1:4" x14ac:dyDescent="0.2">
      <c r="A5094" s="5">
        <v>5033</v>
      </c>
      <c r="B5094" s="138">
        <f ca="1">'Revenues 9-14'!C73</f>
        <v>1994</v>
      </c>
      <c r="D5094" s="2" t="str">
        <f t="shared" ca="1" si="78"/>
        <v>Error?</v>
      </c>
    </row>
    <row r="5095" spans="1:4" x14ac:dyDescent="0.2">
      <c r="A5095" s="5">
        <v>5034</v>
      </c>
      <c r="B5095" s="138">
        <f ca="1">'Revenues 9-14'!C74</f>
        <v>0</v>
      </c>
      <c r="D5095" s="2" t="str">
        <f t="shared" ca="1" si="78"/>
        <v>Error?</v>
      </c>
    </row>
    <row r="5096" spans="1:4" x14ac:dyDescent="0.2">
      <c r="A5096" s="5">
        <v>5035</v>
      </c>
      <c r="B5096" s="138">
        <f ca="1">'Revenues 9-14'!C75</f>
        <v>13588</v>
      </c>
      <c r="C5096" s="2" t="s">
        <v>573</v>
      </c>
      <c r="D5096" s="2" t="str">
        <f t="shared" ca="1" si="78"/>
        <v>Error?</v>
      </c>
    </row>
    <row r="5097" spans="1:4" x14ac:dyDescent="0.2">
      <c r="A5097" s="5">
        <v>5036</v>
      </c>
      <c r="B5097" s="138">
        <f ca="1">'Revenues 9-14'!C77</f>
        <v>8069</v>
      </c>
      <c r="D5097" s="2" t="str">
        <f t="shared" ca="1" si="78"/>
        <v>Error?</v>
      </c>
    </row>
    <row r="5098" spans="1:4" x14ac:dyDescent="0.2">
      <c r="A5098" s="5">
        <v>5037</v>
      </c>
      <c r="B5098" s="138">
        <f ca="1">'Revenues 9-14'!C78</f>
        <v>0</v>
      </c>
      <c r="D5098" s="2" t="str">
        <f t="shared" ca="1" si="78"/>
        <v>Error?</v>
      </c>
    </row>
    <row r="5099" spans="1:4" x14ac:dyDescent="0.2">
      <c r="A5099" s="5">
        <v>5038</v>
      </c>
      <c r="B5099" s="138">
        <f ca="1">'Revenues 9-14'!C79</f>
        <v>0</v>
      </c>
      <c r="D5099" s="2" t="str">
        <f t="shared" ca="1" si="78"/>
        <v>Error?</v>
      </c>
    </row>
    <row r="5100" spans="1:4" x14ac:dyDescent="0.2">
      <c r="A5100" s="5">
        <v>5039</v>
      </c>
      <c r="B5100" s="138">
        <f ca="1">'Revenues 9-14'!C80</f>
        <v>0</v>
      </c>
      <c r="D5100" s="2" t="str">
        <f t="shared" ca="1" si="78"/>
        <v>Error?</v>
      </c>
    </row>
    <row r="5101" spans="1:4" x14ac:dyDescent="0.2">
      <c r="A5101" s="5">
        <v>5040</v>
      </c>
      <c r="B5101" s="138">
        <f ca="1">'Revenues 9-14'!C81</f>
        <v>3614</v>
      </c>
      <c r="D5101" s="2" t="str">
        <f t="shared" ca="1" si="78"/>
        <v>Error?</v>
      </c>
    </row>
    <row r="5102" spans="1:4" x14ac:dyDescent="0.2">
      <c r="A5102" s="5">
        <v>5041</v>
      </c>
      <c r="B5102" s="138">
        <f ca="1">'Revenues 9-14'!C82</f>
        <v>11683</v>
      </c>
      <c r="C5102" s="2" t="s">
        <v>573</v>
      </c>
      <c r="D5102" s="2" t="str">
        <f t="shared" ca="1" si="78"/>
        <v>Error?</v>
      </c>
    </row>
    <row r="5103" spans="1:4" x14ac:dyDescent="0.2">
      <c r="A5103" s="5">
        <v>5042</v>
      </c>
      <c r="B5103" s="138">
        <f ca="1">'Revenues 9-14'!C84</f>
        <v>2664</v>
      </c>
      <c r="D5103" s="2" t="str">
        <f t="shared" ca="1" si="78"/>
        <v>Error?</v>
      </c>
    </row>
    <row r="5104" spans="1:4" x14ac:dyDescent="0.2">
      <c r="A5104" s="5">
        <v>5043</v>
      </c>
      <c r="B5104" s="138">
        <f ca="1">'Revenues 9-14'!C85</f>
        <v>0</v>
      </c>
      <c r="D5104" s="2" t="str">
        <f t="shared" ca="1" si="78"/>
        <v>Error?</v>
      </c>
    </row>
    <row r="5105" spans="1:4" x14ac:dyDescent="0.2">
      <c r="A5105" s="5">
        <v>5044</v>
      </c>
      <c r="B5105" s="138">
        <f ca="1">'Revenues 9-14'!C86</f>
        <v>0</v>
      </c>
      <c r="D5105" s="2" t="str">
        <f t="shared" ca="1" si="78"/>
        <v>Error?</v>
      </c>
    </row>
    <row r="5106" spans="1:4" x14ac:dyDescent="0.2">
      <c r="A5106" s="5">
        <v>5045</v>
      </c>
      <c r="B5106" s="138">
        <f ca="1">'Revenues 9-14'!C87</f>
        <v>0</v>
      </c>
      <c r="D5106" s="2" t="str">
        <f t="shared" ca="1" si="78"/>
        <v>Error?</v>
      </c>
    </row>
    <row r="5107" spans="1:4" x14ac:dyDescent="0.2">
      <c r="A5107" s="5">
        <v>5046</v>
      </c>
      <c r="B5107" s="138">
        <f ca="1">'Revenues 9-14'!C88</f>
        <v>0</v>
      </c>
      <c r="D5107" s="2" t="str">
        <f t="shared" ca="1" si="78"/>
        <v>Error?</v>
      </c>
    </row>
    <row r="5108" spans="1:4" x14ac:dyDescent="0.2">
      <c r="A5108" s="5">
        <v>5047</v>
      </c>
      <c r="B5108" s="138">
        <f ca="1">'Revenues 9-14'!C89</f>
        <v>0</v>
      </c>
      <c r="D5108" s="2" t="str">
        <f t="shared" ca="1" si="78"/>
        <v>Error?</v>
      </c>
    </row>
    <row r="5109" spans="1:4" x14ac:dyDescent="0.2">
      <c r="A5109" s="5">
        <v>5048</v>
      </c>
      <c r="B5109" s="138">
        <f ca="1">'Revenues 9-14'!C90</f>
        <v>0</v>
      </c>
      <c r="D5109" s="2" t="str">
        <f t="shared" ca="1" si="78"/>
        <v>Error?</v>
      </c>
    </row>
    <row r="5110" spans="1:4" x14ac:dyDescent="0.2">
      <c r="A5110" s="5">
        <v>5049</v>
      </c>
      <c r="B5110" s="138">
        <f ca="1">'Revenues 9-14'!C91</f>
        <v>0</v>
      </c>
      <c r="D5110" s="2" t="str">
        <f t="shared" ca="1" si="78"/>
        <v>Error?</v>
      </c>
    </row>
    <row r="5111" spans="1:4" x14ac:dyDescent="0.2">
      <c r="A5111" s="5">
        <v>5050</v>
      </c>
      <c r="B5111" s="138">
        <f ca="1">'Revenues 9-14'!C92</f>
        <v>0</v>
      </c>
      <c r="D5111" s="2" t="str">
        <f t="shared" ca="1" si="78"/>
        <v>Error?</v>
      </c>
    </row>
    <row r="5112" spans="1:4" x14ac:dyDescent="0.2">
      <c r="A5112" s="5">
        <v>5051</v>
      </c>
      <c r="B5112" s="138">
        <f ca="1">'Revenues 9-14'!C93</f>
        <v>2664</v>
      </c>
      <c r="C5112" s="2" t="s">
        <v>573</v>
      </c>
      <c r="D5112" s="2" t="str">
        <f t="shared" ca="1" si="78"/>
        <v>Error?</v>
      </c>
    </row>
    <row r="5113" spans="1:4" x14ac:dyDescent="0.2">
      <c r="A5113" s="5">
        <v>5052</v>
      </c>
      <c r="B5113" s="138">
        <f ca="1">'Revenues 9-14'!C95</f>
        <v>0</v>
      </c>
      <c r="D5113" s="2" t="str">
        <f t="shared" ca="1" si="78"/>
        <v>Error?</v>
      </c>
    </row>
    <row r="5114" spans="1:4" x14ac:dyDescent="0.2">
      <c r="A5114" s="5">
        <v>5053</v>
      </c>
      <c r="B5114" s="138">
        <f ca="1">'Revenues 9-14'!C96</f>
        <v>0</v>
      </c>
      <c r="D5114" s="2" t="str">
        <f t="shared" ca="1" si="78"/>
        <v>Error?</v>
      </c>
    </row>
    <row r="5115" spans="1:4" x14ac:dyDescent="0.2">
      <c r="A5115" s="5">
        <v>5054</v>
      </c>
      <c r="B5115" s="138">
        <f ca="1">'Revenues 9-14'!C98</f>
        <v>0</v>
      </c>
      <c r="D5115" s="2" t="str">
        <f t="shared" ca="1" si="78"/>
        <v>Error?</v>
      </c>
    </row>
    <row r="5116" spans="1:4" x14ac:dyDescent="0.2">
      <c r="A5116" s="5">
        <v>5055</v>
      </c>
      <c r="B5116" s="138">
        <f ca="1">'Revenues 9-14'!C99</f>
        <v>5137</v>
      </c>
      <c r="D5116" s="2" t="str">
        <f t="shared" ca="1" si="78"/>
        <v>Error?</v>
      </c>
    </row>
    <row r="5117" spans="1:4" x14ac:dyDescent="0.2">
      <c r="A5117" s="5">
        <v>5056</v>
      </c>
      <c r="B5117" s="138">
        <f ca="1">'Revenues 9-14'!C105</f>
        <v>0</v>
      </c>
      <c r="D5117" s="2" t="str">
        <f t="shared" ca="1" si="78"/>
        <v>Error?</v>
      </c>
    </row>
    <row r="5118" spans="1:4" x14ac:dyDescent="0.2">
      <c r="A5118" s="5">
        <v>5057</v>
      </c>
      <c r="B5118" s="138">
        <f ca="1">'Revenues 9-14'!C106</f>
        <v>0</v>
      </c>
      <c r="D5118" s="2" t="str">
        <f t="shared" ca="1" si="78"/>
        <v>Error?</v>
      </c>
    </row>
    <row r="5119" spans="1:4" x14ac:dyDescent="0.2">
      <c r="A5119" s="5">
        <v>5058</v>
      </c>
      <c r="B5119" s="138">
        <f ca="1">'Revenues 9-14'!C107</f>
        <v>2122</v>
      </c>
      <c r="D5119" s="2" t="str">
        <f t="shared" ref="D5119:D5182" ca="1" si="79">IF(ISBLANK(B5119),"OK",IF(A5119-B5119=0,"OK","Error?"))</f>
        <v>Error?</v>
      </c>
    </row>
    <row r="5120" spans="1:4" x14ac:dyDescent="0.2">
      <c r="A5120" s="5">
        <v>5059</v>
      </c>
      <c r="B5120" s="138">
        <f ca="1">'Revenues 9-14'!C108</f>
        <v>7259</v>
      </c>
      <c r="C5120" s="2" t="s">
        <v>573</v>
      </c>
      <c r="D5120" s="2" t="str">
        <f t="shared" ca="1" si="79"/>
        <v>Error?</v>
      </c>
    </row>
    <row r="5121" spans="1:4" x14ac:dyDescent="0.2">
      <c r="A5121" s="5">
        <v>5060</v>
      </c>
      <c r="B5121" s="138">
        <f ca="1">'Revenues 9-14'!C109</f>
        <v>1115652</v>
      </c>
      <c r="C5121" s="2" t="s">
        <v>573</v>
      </c>
      <c r="D5121" s="2" t="str">
        <f t="shared" ca="1" si="79"/>
        <v>Error?</v>
      </c>
    </row>
    <row r="5122" spans="1:4" x14ac:dyDescent="0.2">
      <c r="A5122" s="5">
        <v>5061</v>
      </c>
      <c r="B5122" s="138">
        <f ca="1">'Revenues 9-14'!C111</f>
        <v>87</v>
      </c>
      <c r="D5122" s="2" t="str">
        <f t="shared" ca="1" si="79"/>
        <v>Error?</v>
      </c>
    </row>
    <row r="5123" spans="1:4" x14ac:dyDescent="0.2">
      <c r="A5123" s="5">
        <v>5062</v>
      </c>
      <c r="B5123" s="138">
        <f ca="1">'Revenues 9-14'!C112</f>
        <v>0</v>
      </c>
      <c r="D5123" s="2" t="str">
        <f t="shared" ca="1" si="79"/>
        <v>Error?</v>
      </c>
    </row>
    <row r="5124" spans="1:4" x14ac:dyDescent="0.2">
      <c r="A5124" s="5">
        <v>5063</v>
      </c>
      <c r="B5124" s="138">
        <f ca="1">'Revenues 9-14'!C113</f>
        <v>0</v>
      </c>
      <c r="D5124" s="2" t="str">
        <f t="shared" ca="1" si="79"/>
        <v>Error?</v>
      </c>
    </row>
    <row r="5125" spans="1:4" x14ac:dyDescent="0.2">
      <c r="A5125" s="5">
        <v>5064</v>
      </c>
      <c r="B5125" s="138">
        <f ca="1">'Revenues 9-14'!C114</f>
        <v>87</v>
      </c>
      <c r="C5125" s="2" t="s">
        <v>573</v>
      </c>
      <c r="D5125" s="2" t="str">
        <f t="shared" ca="1" si="79"/>
        <v>Error?</v>
      </c>
    </row>
    <row r="5126" spans="1:4" x14ac:dyDescent="0.2">
      <c r="A5126" s="5">
        <v>5065</v>
      </c>
      <c r="B5126" s="138">
        <f ca="1">'Revenues 9-14'!C117</f>
        <v>339153</v>
      </c>
      <c r="D5126" s="2" t="str">
        <f t="shared" ca="1" si="79"/>
        <v>Error?</v>
      </c>
    </row>
    <row r="5127" spans="1:4" x14ac:dyDescent="0.2">
      <c r="A5127" s="5">
        <v>5066</v>
      </c>
      <c r="B5127" s="138">
        <f ca="1">'Revenues 9-14'!C119</f>
        <v>0</v>
      </c>
      <c r="D5127" s="2" t="str">
        <f t="shared" ca="1"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 ca="1">'Revenues 9-14'!C122</f>
        <v>339153</v>
      </c>
      <c r="C5132" s="2" t="s">
        <v>573</v>
      </c>
      <c r="D5132" s="2" t="str">
        <f t="shared" ca="1" si="79"/>
        <v>Error?</v>
      </c>
    </row>
    <row r="5133" spans="1:4" x14ac:dyDescent="0.2">
      <c r="A5133" s="5">
        <v>5072</v>
      </c>
      <c r="B5133" s="138">
        <f ca="1">'Revenues 9-14'!C125</f>
        <v>0</v>
      </c>
      <c r="D5133" s="2" t="str">
        <f t="shared" ca="1" si="79"/>
        <v>Error?</v>
      </c>
    </row>
    <row r="5134" spans="1:4" x14ac:dyDescent="0.2">
      <c r="A5134" s="5">
        <v>5073</v>
      </c>
      <c r="B5134" s="138">
        <f ca="1">'Revenues 9-14'!C126</f>
        <v>0</v>
      </c>
      <c r="D5134" s="2" t="str">
        <f t="shared" ca="1" si="79"/>
        <v>Error?</v>
      </c>
    </row>
    <row r="5135" spans="1:4" x14ac:dyDescent="0.2">
      <c r="A5135" s="5">
        <v>5074</v>
      </c>
      <c r="B5135" s="138">
        <f ca="1">'Revenues 9-14'!C127</f>
        <v>0</v>
      </c>
      <c r="D5135" s="2" t="str">
        <f t="shared" ca="1" si="79"/>
        <v>Error?</v>
      </c>
    </row>
    <row r="5136" spans="1:4" x14ac:dyDescent="0.2">
      <c r="A5136" s="10">
        <v>5075</v>
      </c>
      <c r="D5136" s="2" t="str">
        <f t="shared" si="79"/>
        <v>OK</v>
      </c>
    </row>
    <row r="5137" spans="1:4" x14ac:dyDescent="0.2">
      <c r="A5137" s="5">
        <v>5076</v>
      </c>
      <c r="B5137" s="138">
        <f ca="1">'Revenues 9-14'!C128</f>
        <v>0</v>
      </c>
      <c r="D5137" s="2" t="str">
        <f t="shared" ca="1" si="79"/>
        <v>Error?</v>
      </c>
    </row>
    <row r="5138" spans="1:4" x14ac:dyDescent="0.2">
      <c r="A5138" s="10">
        <v>5077</v>
      </c>
      <c r="D5138" s="2" t="str">
        <f t="shared" si="79"/>
        <v>OK</v>
      </c>
    </row>
    <row r="5139" spans="1:4" x14ac:dyDescent="0.2">
      <c r="A5139" s="5">
        <v>5078</v>
      </c>
      <c r="B5139" s="138">
        <f ca="1">'Revenues 9-14'!C129</f>
        <v>0</v>
      </c>
      <c r="D5139" s="2" t="str">
        <f t="shared" ca="1"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 ca="1">'Revenues 9-14'!C130</f>
        <v>0</v>
      </c>
      <c r="D5142" s="2" t="str">
        <f t="shared" ca="1"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 ca="1">'Revenues 9-14'!C132</f>
        <v>0</v>
      </c>
      <c r="C5147" s="2" t="s">
        <v>573</v>
      </c>
      <c r="D5147" s="2" t="str">
        <f t="shared" ca="1" si="79"/>
        <v>Error?</v>
      </c>
    </row>
    <row r="5148" spans="1:4" x14ac:dyDescent="0.2">
      <c r="A5148" s="5">
        <v>5087</v>
      </c>
      <c r="B5148" s="138">
        <f ca="1">'Revenues 9-14'!C134</f>
        <v>0</v>
      </c>
      <c r="D5148" s="2" t="str">
        <f t="shared" ca="1"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 ca="1">'Revenues 9-14'!C135</f>
        <v>0</v>
      </c>
      <c r="D5152" s="2" t="str">
        <f t="shared" ca="1" si="79"/>
        <v>Error?</v>
      </c>
    </row>
    <row r="5153" spans="1:4" x14ac:dyDescent="0.2">
      <c r="A5153" s="5">
        <v>5092</v>
      </c>
      <c r="B5153" s="138">
        <f ca="1">'Revenues 9-14'!C136</f>
        <v>0</v>
      </c>
      <c r="D5153" s="2" t="str">
        <f t="shared" ca="1"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 ca="1">'Revenues 9-14'!C141</f>
        <v>0</v>
      </c>
      <c r="C5161" s="2" t="s">
        <v>573</v>
      </c>
      <c r="D5161" s="2" t="str">
        <f t="shared" ca="1" si="79"/>
        <v>Error?</v>
      </c>
    </row>
    <row r="5162" spans="1:4" x14ac:dyDescent="0.2">
      <c r="A5162" s="10">
        <v>5101</v>
      </c>
      <c r="D5162" s="2" t="str">
        <f t="shared" si="79"/>
        <v>OK</v>
      </c>
    </row>
    <row r="5163" spans="1:4" x14ac:dyDescent="0.2">
      <c r="A5163" s="5">
        <v>5102</v>
      </c>
      <c r="B5163" s="138">
        <f ca="1">'Revenues 9-14'!C143</f>
        <v>0</v>
      </c>
      <c r="D5163" s="2" t="str">
        <f t="shared" ca="1" si="79"/>
        <v>Error?</v>
      </c>
    </row>
    <row r="5164" spans="1:4" x14ac:dyDescent="0.2">
      <c r="A5164" s="5">
        <v>5103</v>
      </c>
      <c r="B5164" s="138">
        <f ca="1">'Revenues 9-14'!C144</f>
        <v>0</v>
      </c>
      <c r="D5164" s="2" t="str">
        <f t="shared" ca="1" si="79"/>
        <v>Error?</v>
      </c>
    </row>
    <row r="5165" spans="1:4" x14ac:dyDescent="0.2">
      <c r="A5165" s="5">
        <v>5104</v>
      </c>
      <c r="B5165" s="138">
        <f ca="1">'Revenues 9-14'!C145</f>
        <v>0</v>
      </c>
      <c r="C5165" s="2" t="s">
        <v>573</v>
      </c>
      <c r="D5165" s="2" t="str">
        <f t="shared" ca="1" si="79"/>
        <v>Error?</v>
      </c>
    </row>
    <row r="5166" spans="1:4" x14ac:dyDescent="0.2">
      <c r="A5166" s="10">
        <v>5105</v>
      </c>
      <c r="D5166" s="2" t="str">
        <f t="shared" si="79"/>
        <v>OK</v>
      </c>
    </row>
    <row r="5167" spans="1:4" x14ac:dyDescent="0.2">
      <c r="A5167" s="5">
        <v>5106</v>
      </c>
      <c r="B5167" s="138">
        <f ca="1">'Revenues 9-14'!C146</f>
        <v>644</v>
      </c>
      <c r="D5167" s="2" t="str">
        <f t="shared" ca="1" si="79"/>
        <v>Error?</v>
      </c>
    </row>
    <row r="5168" spans="1:4" x14ac:dyDescent="0.2">
      <c r="A5168" s="5">
        <v>5107</v>
      </c>
      <c r="B5168" s="138">
        <f ca="1">'Revenues 9-14'!C148</f>
        <v>0</v>
      </c>
      <c r="D5168" s="2" t="str">
        <f t="shared" ca="1"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 ca="1">'Revenues 9-14'!C149</f>
        <v>0</v>
      </c>
      <c r="D5171" s="2" t="str">
        <f t="shared" ca="1"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 ca="1">'Revenues 9-14'!C152</f>
        <v>0</v>
      </c>
      <c r="D5175" s="2" t="str">
        <f t="shared" ca="1" si="79"/>
        <v>Error?</v>
      </c>
    </row>
    <row r="5176" spans="1:4" x14ac:dyDescent="0.2">
      <c r="A5176" s="10">
        <v>5115</v>
      </c>
      <c r="D5176" s="2" t="str">
        <f t="shared" si="79"/>
        <v>OK</v>
      </c>
    </row>
    <row r="5177" spans="1:4" x14ac:dyDescent="0.2">
      <c r="A5177" s="5">
        <v>5116</v>
      </c>
      <c r="B5177" s="138">
        <f ca="1">'Revenues 9-14'!C153</f>
        <v>0</v>
      </c>
      <c r="D5177" s="2" t="str">
        <f t="shared" ca="1" si="79"/>
        <v>Error?</v>
      </c>
    </row>
    <row r="5178" spans="1:4" x14ac:dyDescent="0.2">
      <c r="A5178" s="5">
        <v>5117</v>
      </c>
      <c r="B5178" s="138">
        <f ca="1">'Revenues 9-14'!C155</f>
        <v>0</v>
      </c>
      <c r="C5178" s="2" t="s">
        <v>573</v>
      </c>
      <c r="D5178" s="2" t="str">
        <f t="shared" ca="1"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 ca="1">'Revenues 9-14'!C156</f>
        <v>0</v>
      </c>
      <c r="D5181" s="2" t="str">
        <f t="shared" ca="1"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 ca="1">'Revenues 9-14'!C157</f>
        <v>0</v>
      </c>
      <c r="D5187" s="2" t="str">
        <f t="shared" ca="1"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 ca="1">'Revenues 9-14'!C158</f>
        <v>0</v>
      </c>
      <c r="D5194" s="2" t="str">
        <f t="shared" ca="1" si="80"/>
        <v>Error?</v>
      </c>
    </row>
    <row r="5195" spans="1:5" x14ac:dyDescent="0.2">
      <c r="A5195" s="10">
        <v>5134</v>
      </c>
      <c r="D5195" s="2" t="str">
        <f t="shared" si="80"/>
        <v>OK</v>
      </c>
    </row>
    <row r="5196" spans="1:5" x14ac:dyDescent="0.2">
      <c r="A5196" s="5">
        <v>5135</v>
      </c>
      <c r="B5196" s="138">
        <f ca="1">'Revenues 9-14'!C159</f>
        <v>92808</v>
      </c>
      <c r="D5196" s="2" t="str">
        <f t="shared" ca="1"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1939</v>
      </c>
    </row>
    <row r="5200" spans="1:5" x14ac:dyDescent="0.2">
      <c r="A5200" s="10">
        <v>5139</v>
      </c>
      <c r="D5200" s="2" t="str">
        <f t="shared" si="80"/>
        <v>OK</v>
      </c>
      <c r="E5200" s="4" t="s">
        <v>1939</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 ca="1">'Revenues 9-14'!C169</f>
        <v>93452</v>
      </c>
      <c r="C5214" s="2" t="s">
        <v>573</v>
      </c>
      <c r="D5214" s="2" t="str">
        <f t="shared" ca="1"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 ca="1">'Revenues 9-14'!C170</f>
        <v>432605</v>
      </c>
      <c r="C5223" s="2" t="s">
        <v>573</v>
      </c>
      <c r="D5223" s="2" t="str">
        <f t="shared" ca="1" si="80"/>
        <v>Error?</v>
      </c>
    </row>
    <row r="5224" spans="1:4" x14ac:dyDescent="0.2">
      <c r="A5224" s="5">
        <v>5163</v>
      </c>
      <c r="B5224" s="138">
        <f ca="1">'Revenues 9-14'!C173</f>
        <v>0</v>
      </c>
      <c r="D5224" s="2" t="str">
        <f t="shared" ca="1" si="80"/>
        <v>Error?</v>
      </c>
    </row>
    <row r="5225" spans="1:4" x14ac:dyDescent="0.2">
      <c r="A5225" s="5">
        <v>5164</v>
      </c>
      <c r="B5225" s="138">
        <f ca="1">'Revenues 9-14'!C175</f>
        <v>0</v>
      </c>
      <c r="C5225" s="2" t="s">
        <v>573</v>
      </c>
      <c r="D5225" s="2" t="str">
        <f t="shared" ca="1"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 ca="1">'Revenues 9-14'!C177</f>
        <v>0</v>
      </c>
      <c r="D5230" s="2" t="str">
        <f t="shared" ca="1" si="80"/>
        <v>Error?</v>
      </c>
    </row>
    <row r="5231" spans="1:4" x14ac:dyDescent="0.2">
      <c r="A5231" s="5">
        <v>5170</v>
      </c>
      <c r="B5231" s="138">
        <f ca="1">'Revenues 9-14'!C178</f>
        <v>0</v>
      </c>
      <c r="D5231" s="2" t="str">
        <f t="shared" ca="1" si="80"/>
        <v>Error?</v>
      </c>
    </row>
    <row r="5232" spans="1:4" x14ac:dyDescent="0.2">
      <c r="A5232" s="5">
        <v>5171</v>
      </c>
      <c r="B5232" s="138">
        <f ca="1">'Revenues 9-14'!C181</f>
        <v>23992</v>
      </c>
      <c r="C5232" s="2" t="s">
        <v>573</v>
      </c>
      <c r="D5232" s="2" t="str">
        <f t="shared" ca="1" si="80"/>
        <v>Error?</v>
      </c>
    </row>
    <row r="5233" spans="1:4" x14ac:dyDescent="0.2">
      <c r="A5233" s="5">
        <v>5172</v>
      </c>
      <c r="B5233" s="138">
        <f ca="1">'Revenues 9-14'!C184</f>
        <v>0</v>
      </c>
      <c r="D5233" s="2" t="str">
        <f t="shared" ca="1"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 ca="1">'Revenues 9-14'!C191</f>
        <v>28270</v>
      </c>
      <c r="D5239" s="2" t="str">
        <f t="shared" ca="1" si="80"/>
        <v>Error?</v>
      </c>
    </row>
    <row r="5240" spans="1:4" x14ac:dyDescent="0.2">
      <c r="A5240" s="5">
        <v>5179</v>
      </c>
      <c r="B5240" s="138">
        <f ca="1">'Revenues 9-14'!C192</f>
        <v>0</v>
      </c>
      <c r="D5240" s="2" t="str">
        <f t="shared" ca="1" si="80"/>
        <v>Error?</v>
      </c>
    </row>
    <row r="5241" spans="1:4" x14ac:dyDescent="0.2">
      <c r="A5241" s="5">
        <v>5180</v>
      </c>
      <c r="B5241" s="138">
        <f ca="1">'Revenues 9-14'!C193</f>
        <v>6130</v>
      </c>
      <c r="D5241" s="2" t="str">
        <f t="shared" ca="1" si="80"/>
        <v>Error?</v>
      </c>
    </row>
    <row r="5242" spans="1:4" x14ac:dyDescent="0.2">
      <c r="A5242" s="5">
        <v>5181</v>
      </c>
      <c r="B5242" s="138">
        <f ca="1">'Revenues 9-14'!C194</f>
        <v>0</v>
      </c>
      <c r="D5242" s="2" t="str">
        <f t="shared" ca="1" si="80"/>
        <v>Error?</v>
      </c>
    </row>
    <row r="5243" spans="1:4" x14ac:dyDescent="0.2">
      <c r="A5243" s="5">
        <v>5182</v>
      </c>
      <c r="B5243" s="138">
        <f ca="1">'Revenues 9-14'!C195</f>
        <v>0</v>
      </c>
      <c r="D5243" s="2" t="str">
        <f t="shared" ca="1"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 ca="1">'Revenues 9-14'!C198</f>
        <v>34400</v>
      </c>
      <c r="C5246" s="2" t="s">
        <v>573</v>
      </c>
      <c r="D5246" s="2" t="str">
        <f t="shared" ca="1" si="80"/>
        <v>Error?</v>
      </c>
    </row>
    <row r="5247" spans="1:4" x14ac:dyDescent="0.2">
      <c r="A5247" s="5">
        <v>5186</v>
      </c>
      <c r="B5247" s="138">
        <f ca="1">'Revenues 9-14'!C200</f>
        <v>37345</v>
      </c>
      <c r="D5247" s="2" t="str">
        <f t="shared" ref="D5247:D5310" ca="1" si="81">IF(ISBLANK(B5247),"OK",IF(A5247-B5247=0,"OK","Error?"))</f>
        <v>Error?</v>
      </c>
    </row>
    <row r="5248" spans="1:4" x14ac:dyDescent="0.2">
      <c r="A5248" s="5">
        <v>5187</v>
      </c>
      <c r="B5248" s="138">
        <f ca="1">'Revenues 9-14'!C201</f>
        <v>0</v>
      </c>
      <c r="D5248" s="2" t="str">
        <f t="shared" ca="1"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1939</v>
      </c>
    </row>
    <row r="5255" spans="1:5" x14ac:dyDescent="0.2">
      <c r="A5255" s="5">
        <v>5194</v>
      </c>
      <c r="B5255" s="138">
        <f ca="1">'Revenues 9-14'!C202</f>
        <v>0</v>
      </c>
      <c r="D5255" s="2" t="str">
        <f t="shared" ca="1" si="81"/>
        <v>Error?</v>
      </c>
    </row>
    <row r="5256" spans="1:5" x14ac:dyDescent="0.2">
      <c r="A5256" s="5">
        <v>5195</v>
      </c>
      <c r="B5256" s="138">
        <f ca="1">'Revenues 9-14'!C206</f>
        <v>10000</v>
      </c>
      <c r="D5256" s="2" t="str">
        <f t="shared" ca="1"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 ca="1">'Revenues 9-14'!C204</f>
        <v>37345</v>
      </c>
      <c r="C5260" s="2" t="s">
        <v>573</v>
      </c>
      <c r="D5260" s="2" t="str">
        <f t="shared" ca="1"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 ca="1">'Revenues 9-14'!C211</f>
        <v>0</v>
      </c>
      <c r="D5274" s="2" t="str">
        <f t="shared" ca="1" si="81"/>
        <v>Error?</v>
      </c>
    </row>
    <row r="5275" spans="1:4" x14ac:dyDescent="0.2">
      <c r="A5275" s="5">
        <v>5214</v>
      </c>
      <c r="B5275" s="138">
        <f ca="1">'Revenues 9-14'!C212</f>
        <v>0</v>
      </c>
      <c r="D5275" s="2" t="str">
        <f t="shared" ca="1"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 ca="1">'Revenues 9-14'!C213</f>
        <v>0</v>
      </c>
      <c r="D5278" s="2" t="str">
        <f t="shared" ca="1" si="81"/>
        <v>Error?</v>
      </c>
    </row>
    <row r="5279" spans="1:4" x14ac:dyDescent="0.2">
      <c r="A5279" s="5">
        <v>5218</v>
      </c>
      <c r="B5279" s="138">
        <f ca="1">'Revenues 9-14'!C214</f>
        <v>11788</v>
      </c>
      <c r="D5279" s="2" t="str">
        <f t="shared" ca="1" si="81"/>
        <v>Error?</v>
      </c>
    </row>
    <row r="5280" spans="1:4" x14ac:dyDescent="0.2">
      <c r="A5280" s="5">
        <v>5219</v>
      </c>
      <c r="B5280" s="138">
        <f ca="1">'Revenues 9-14'!C215</f>
        <v>0</v>
      </c>
      <c r="D5280" s="2" t="str">
        <f t="shared" ca="1"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 ca="1">'Revenues 9-14'!C217</f>
        <v>11788</v>
      </c>
      <c r="C5286" s="2" t="s">
        <v>573</v>
      </c>
      <c r="D5286" s="2" t="str">
        <f t="shared" ca="1"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 ca="1">'Revenues 9-14'!C219</f>
        <v>0</v>
      </c>
      <c r="D5301" s="2" t="str">
        <f t="shared" ca="1"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 ca="1">'Revenues 9-14'!C221</f>
        <v>0</v>
      </c>
      <c r="C5304" s="2" t="s">
        <v>573</v>
      </c>
      <c r="D5304" s="2" t="str">
        <f t="shared" ca="1"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 ca="1">'Revenues 9-14'!C222</f>
        <v>0</v>
      </c>
      <c r="D5310" s="2" t="str">
        <f t="shared" ca="1" si="81"/>
        <v>Error?</v>
      </c>
    </row>
    <row r="5311" spans="1:4" x14ac:dyDescent="0.2">
      <c r="A5311" s="10">
        <v>5250</v>
      </c>
      <c r="D5311" s="2" t="str">
        <f t="shared" ref="D5311:D5374" si="82">IF(ISBLANK(B5311),"OK",IF(A5311-B5311=0,"OK","Error?"))</f>
        <v>OK</v>
      </c>
    </row>
    <row r="5312" spans="1:4" x14ac:dyDescent="0.2">
      <c r="A5312" s="5">
        <v>5251</v>
      </c>
      <c r="B5312" s="138">
        <f ca="1">'Revenues 9-14'!C255</f>
        <v>0</v>
      </c>
      <c r="D5312" s="2" t="str">
        <f t="shared" ca="1" si="82"/>
        <v>Error?</v>
      </c>
    </row>
    <row r="5313" spans="1:5" x14ac:dyDescent="0.2">
      <c r="A5313" s="10">
        <v>5252</v>
      </c>
      <c r="D5313" s="2" t="str">
        <f t="shared" si="82"/>
        <v>OK</v>
      </c>
      <c r="E5313" s="4" t="s">
        <v>1939</v>
      </c>
    </row>
    <row r="5314" spans="1:5" x14ac:dyDescent="0.2">
      <c r="A5314" s="10">
        <v>5253</v>
      </c>
      <c r="D5314" s="2" t="str">
        <f t="shared" si="82"/>
        <v>OK</v>
      </c>
    </row>
    <row r="5315" spans="1:5" x14ac:dyDescent="0.2">
      <c r="A5315" s="5">
        <v>5254</v>
      </c>
      <c r="B5315" s="138">
        <f ca="1">'Revenues 9-14'!C257</f>
        <v>0</v>
      </c>
      <c r="D5315" s="2" t="str">
        <f t="shared" ca="1" si="82"/>
        <v>Error?</v>
      </c>
    </row>
    <row r="5316" spans="1:5" x14ac:dyDescent="0.2">
      <c r="A5316" s="10">
        <v>5255</v>
      </c>
      <c r="D5316" s="2" t="str">
        <f t="shared" si="82"/>
        <v>OK</v>
      </c>
    </row>
    <row r="5317" spans="1:5" x14ac:dyDescent="0.2">
      <c r="A5317" s="5">
        <v>5256</v>
      </c>
      <c r="B5317" s="138">
        <f ca="1">'Revenues 9-14'!C258</f>
        <v>0</v>
      </c>
      <c r="D5317" s="2" t="str">
        <f t="shared" ca="1"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 ca="1">'Revenues 9-14'!C266</f>
        <v>96819</v>
      </c>
      <c r="C5320" s="2" t="s">
        <v>573</v>
      </c>
      <c r="D5320" s="2" t="str">
        <f t="shared" ca="1"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 ca="1">'Revenues 9-14'!C267</f>
        <v>120811</v>
      </c>
      <c r="C5326" s="2" t="s">
        <v>573</v>
      </c>
      <c r="D5326" s="2" t="str">
        <f t="shared" ca="1" si="82"/>
        <v>Error?</v>
      </c>
    </row>
    <row r="5327" spans="1:5" x14ac:dyDescent="0.2">
      <c r="A5327" s="5">
        <v>5266</v>
      </c>
      <c r="B5327" s="138">
        <f ca="1">'Revenues 9-14'!C268</f>
        <v>1669155</v>
      </c>
      <c r="C5327" s="2" t="s">
        <v>573</v>
      </c>
      <c r="D5327" s="2" t="str">
        <f t="shared" ca="1" si="82"/>
        <v>Error?</v>
      </c>
    </row>
    <row r="5328" spans="1:5" x14ac:dyDescent="0.2">
      <c r="A5328" s="5">
        <v>5267</v>
      </c>
      <c r="B5328" s="138">
        <f ca="1">'Revenues 9-14'!D5</f>
        <v>101034</v>
      </c>
      <c r="D5328" s="2" t="str">
        <f t="shared" ca="1" si="82"/>
        <v>Error?</v>
      </c>
    </row>
    <row r="5329" spans="1:4" x14ac:dyDescent="0.2">
      <c r="A5329" s="10">
        <v>5268</v>
      </c>
      <c r="D5329" s="2" t="str">
        <f t="shared" si="82"/>
        <v>OK</v>
      </c>
    </row>
    <row r="5330" spans="1:4" x14ac:dyDescent="0.2">
      <c r="A5330" s="5">
        <v>5269</v>
      </c>
      <c r="B5330" s="138">
        <f ca="1">'Revenues 9-14'!D6</f>
        <v>0</v>
      </c>
      <c r="D5330" s="2" t="str">
        <f t="shared" ca="1" si="82"/>
        <v>Error?</v>
      </c>
    </row>
    <row r="5331" spans="1:4" x14ac:dyDescent="0.2">
      <c r="A5331" s="5">
        <v>5270</v>
      </c>
      <c r="B5331" s="138">
        <f ca="1">'Revenues 9-14'!D7</f>
        <v>0</v>
      </c>
      <c r="D5331" s="2" t="str">
        <f t="shared" ca="1" si="82"/>
        <v>Error?</v>
      </c>
    </row>
    <row r="5332" spans="1:4" x14ac:dyDescent="0.2">
      <c r="A5332" s="5">
        <v>5271</v>
      </c>
      <c r="B5332" s="138">
        <f ca="1">'Revenues 9-14'!D9</f>
        <v>0</v>
      </c>
      <c r="D5332" s="2" t="str">
        <f t="shared" ca="1" si="82"/>
        <v>Error?</v>
      </c>
    </row>
    <row r="5333" spans="1:4" x14ac:dyDescent="0.2">
      <c r="A5333" s="5">
        <v>5272</v>
      </c>
      <c r="B5333" s="138">
        <f ca="1">'Revenues 9-14'!D11</f>
        <v>0</v>
      </c>
      <c r="D5333" s="2" t="str">
        <f t="shared" ca="1" si="82"/>
        <v>Error?</v>
      </c>
    </row>
    <row r="5334" spans="1:4" x14ac:dyDescent="0.2">
      <c r="A5334" s="5">
        <v>5273</v>
      </c>
      <c r="B5334" s="138">
        <f ca="1">'Revenues 9-14'!D12</f>
        <v>101034</v>
      </c>
      <c r="C5334" s="2" t="s">
        <v>573</v>
      </c>
      <c r="D5334" s="2" t="str">
        <f t="shared" ca="1" si="82"/>
        <v>Error?</v>
      </c>
    </row>
    <row r="5335" spans="1:4" x14ac:dyDescent="0.2">
      <c r="A5335" s="5">
        <v>5274</v>
      </c>
      <c r="B5335" s="138">
        <f ca="1">'Revenues 9-14'!D14</f>
        <v>0</v>
      </c>
      <c r="D5335" s="2" t="str">
        <f t="shared" ca="1" si="82"/>
        <v>Error?</v>
      </c>
    </row>
    <row r="5336" spans="1:4" x14ac:dyDescent="0.2">
      <c r="A5336" s="5">
        <v>5275</v>
      </c>
      <c r="B5336" s="138">
        <f ca="1">'Revenues 9-14'!D15</f>
        <v>0</v>
      </c>
      <c r="D5336" s="2" t="str">
        <f t="shared" ca="1" si="82"/>
        <v>Error?</v>
      </c>
    </row>
    <row r="5337" spans="1:4" x14ac:dyDescent="0.2">
      <c r="A5337" s="5">
        <v>5276</v>
      </c>
      <c r="B5337" s="138">
        <f ca="1">'Revenues 9-14'!D16</f>
        <v>44527</v>
      </c>
      <c r="D5337" s="2" t="str">
        <f t="shared" ca="1" si="82"/>
        <v>Error?</v>
      </c>
    </row>
    <row r="5338" spans="1:4" x14ac:dyDescent="0.2">
      <c r="A5338" s="5">
        <v>5277</v>
      </c>
      <c r="B5338" s="138">
        <f ca="1">'Revenues 9-14'!D17</f>
        <v>0</v>
      </c>
      <c r="D5338" s="2" t="str">
        <f t="shared" ca="1" si="82"/>
        <v>Error?</v>
      </c>
    </row>
    <row r="5339" spans="1:4" x14ac:dyDescent="0.2">
      <c r="A5339" s="5">
        <v>5278</v>
      </c>
      <c r="B5339" s="138">
        <f ca="1">'Revenues 9-14'!D18</f>
        <v>44527</v>
      </c>
      <c r="C5339" s="2" t="s">
        <v>573</v>
      </c>
      <c r="D5339" s="2" t="str">
        <f t="shared" ca="1" si="82"/>
        <v>Error?</v>
      </c>
    </row>
    <row r="5340" spans="1:4" x14ac:dyDescent="0.2">
      <c r="A5340" s="5">
        <v>5279</v>
      </c>
      <c r="B5340" s="138">
        <f ca="1">'Revenues 9-14'!D65</f>
        <v>0</v>
      </c>
      <c r="D5340" s="2" t="str">
        <f t="shared" ca="1" si="82"/>
        <v>Error?</v>
      </c>
    </row>
    <row r="5341" spans="1:4" x14ac:dyDescent="0.2">
      <c r="A5341" s="5">
        <v>5280</v>
      </c>
      <c r="B5341" s="138">
        <f ca="1">'Revenues 9-14'!D66</f>
        <v>0</v>
      </c>
      <c r="D5341" s="2" t="str">
        <f t="shared" ca="1" si="82"/>
        <v>Error?</v>
      </c>
    </row>
    <row r="5342" spans="1:4" x14ac:dyDescent="0.2">
      <c r="A5342" s="5">
        <v>5281</v>
      </c>
      <c r="B5342" s="138">
        <f ca="1">'Revenues 9-14'!D67</f>
        <v>0</v>
      </c>
      <c r="C5342" s="2" t="s">
        <v>573</v>
      </c>
      <c r="D5342" s="2" t="str">
        <f t="shared" ca="1" si="82"/>
        <v>Error?</v>
      </c>
    </row>
    <row r="5343" spans="1:4" x14ac:dyDescent="0.2">
      <c r="A5343" s="5">
        <v>5282</v>
      </c>
      <c r="B5343" s="138">
        <f ca="1">'Revenues 9-14'!D77</f>
        <v>0</v>
      </c>
      <c r="D5343" s="2" t="str">
        <f t="shared" ca="1" si="82"/>
        <v>Error?</v>
      </c>
    </row>
    <row r="5344" spans="1:4" x14ac:dyDescent="0.2">
      <c r="A5344" s="5">
        <v>5283</v>
      </c>
      <c r="B5344" s="138">
        <f ca="1">'Revenues 9-14'!D78</f>
        <v>0</v>
      </c>
      <c r="D5344" s="2" t="str">
        <f t="shared" ca="1" si="82"/>
        <v>Error?</v>
      </c>
    </row>
    <row r="5345" spans="1:4" x14ac:dyDescent="0.2">
      <c r="A5345" s="5">
        <v>5284</v>
      </c>
      <c r="B5345" s="138">
        <f ca="1">'Revenues 9-14'!D79</f>
        <v>4975</v>
      </c>
      <c r="D5345" s="2" t="str">
        <f t="shared" ca="1" si="82"/>
        <v>Error?</v>
      </c>
    </row>
    <row r="5346" spans="1:4" x14ac:dyDescent="0.2">
      <c r="A5346" s="5">
        <v>5285</v>
      </c>
      <c r="B5346" s="138">
        <f ca="1">'Revenues 9-14'!D80</f>
        <v>0</v>
      </c>
      <c r="D5346" s="2" t="str">
        <f t="shared" ca="1" si="82"/>
        <v>Error?</v>
      </c>
    </row>
    <row r="5347" spans="1:4" x14ac:dyDescent="0.2">
      <c r="A5347" s="5">
        <v>5286</v>
      </c>
      <c r="B5347" s="138">
        <f ca="1">'Revenues 9-14'!D81</f>
        <v>0</v>
      </c>
      <c r="D5347" s="2" t="str">
        <f t="shared" ca="1" si="82"/>
        <v>Error?</v>
      </c>
    </row>
    <row r="5348" spans="1:4" x14ac:dyDescent="0.2">
      <c r="A5348" s="5">
        <v>5287</v>
      </c>
      <c r="B5348" s="138">
        <f ca="1">'Revenues 9-14'!D82</f>
        <v>4975</v>
      </c>
      <c r="C5348" s="2" t="s">
        <v>573</v>
      </c>
      <c r="D5348" s="2" t="str">
        <f t="shared" ca="1" si="82"/>
        <v>Error?</v>
      </c>
    </row>
    <row r="5349" spans="1:4" x14ac:dyDescent="0.2">
      <c r="A5349" s="5">
        <v>5288</v>
      </c>
      <c r="B5349" s="138">
        <f ca="1">'Revenues 9-14'!D95</f>
        <v>0</v>
      </c>
      <c r="D5349" s="2" t="str">
        <f t="shared" ca="1" si="82"/>
        <v>Error?</v>
      </c>
    </row>
    <row r="5350" spans="1:4" x14ac:dyDescent="0.2">
      <c r="A5350" s="5">
        <v>5289</v>
      </c>
      <c r="B5350" s="138">
        <f ca="1">'Revenues 9-14'!D96</f>
        <v>15000</v>
      </c>
      <c r="D5350" s="2" t="str">
        <f t="shared" ca="1" si="82"/>
        <v>Error?</v>
      </c>
    </row>
    <row r="5351" spans="1:4" x14ac:dyDescent="0.2">
      <c r="A5351" s="5">
        <v>5290</v>
      </c>
      <c r="B5351" s="138">
        <f ca="1">'Revenues 9-14'!D98</f>
        <v>0</v>
      </c>
      <c r="D5351" s="2" t="str">
        <f t="shared" ca="1" si="82"/>
        <v>Error?</v>
      </c>
    </row>
    <row r="5352" spans="1:4" x14ac:dyDescent="0.2">
      <c r="A5352" s="5">
        <v>5291</v>
      </c>
      <c r="B5352" s="138">
        <f ca="1">'Revenues 9-14'!D99</f>
        <v>0</v>
      </c>
      <c r="D5352" s="2" t="str">
        <f t="shared" ca="1" si="82"/>
        <v>Error?</v>
      </c>
    </row>
    <row r="5353" spans="1:4" x14ac:dyDescent="0.2">
      <c r="A5353" s="5">
        <v>5292</v>
      </c>
      <c r="B5353" s="138">
        <f ca="1">'Revenues 9-14'!D104</f>
        <v>0</v>
      </c>
      <c r="D5353" s="2" t="str">
        <f t="shared" ca="1" si="82"/>
        <v>Error?</v>
      </c>
    </row>
    <row r="5354" spans="1:4" x14ac:dyDescent="0.2">
      <c r="A5354" s="5">
        <v>5293</v>
      </c>
      <c r="B5354" s="138">
        <f ca="1">'Revenues 9-14'!D107</f>
        <v>1005</v>
      </c>
      <c r="D5354" s="2" t="str">
        <f t="shared" ca="1" si="82"/>
        <v>Error?</v>
      </c>
    </row>
    <row r="5355" spans="1:4" x14ac:dyDescent="0.2">
      <c r="A5355" s="5">
        <v>5294</v>
      </c>
      <c r="B5355" s="138">
        <f ca="1">'Revenues 9-14'!D108</f>
        <v>16005</v>
      </c>
      <c r="C5355" s="2" t="s">
        <v>573</v>
      </c>
      <c r="D5355" s="2" t="str">
        <f t="shared" ca="1" si="82"/>
        <v>Error?</v>
      </c>
    </row>
    <row r="5356" spans="1:4" x14ac:dyDescent="0.2">
      <c r="A5356" s="5">
        <v>5295</v>
      </c>
      <c r="B5356" s="138">
        <f ca="1">'Revenues 9-14'!D109</f>
        <v>166541</v>
      </c>
      <c r="C5356" s="2" t="s">
        <v>573</v>
      </c>
      <c r="D5356" s="2" t="str">
        <f t="shared" ca="1" si="82"/>
        <v>Error?</v>
      </c>
    </row>
    <row r="5357" spans="1:4" x14ac:dyDescent="0.2">
      <c r="A5357" s="5">
        <v>5296</v>
      </c>
      <c r="B5357" s="138">
        <f ca="1">'Revenues 9-14'!D111</f>
        <v>0</v>
      </c>
      <c r="D5357" s="2" t="str">
        <f t="shared" ca="1" si="82"/>
        <v>Error?</v>
      </c>
    </row>
    <row r="5358" spans="1:4" x14ac:dyDescent="0.2">
      <c r="A5358" s="5">
        <v>5297</v>
      </c>
      <c r="B5358" s="138">
        <f ca="1">'Revenues 9-14'!D112</f>
        <v>0</v>
      </c>
      <c r="D5358" s="2" t="str">
        <f t="shared" ca="1" si="82"/>
        <v>Error?</v>
      </c>
    </row>
    <row r="5359" spans="1:4" x14ac:dyDescent="0.2">
      <c r="A5359" s="5">
        <v>5298</v>
      </c>
      <c r="B5359" s="138">
        <f ca="1">'Revenues 9-14'!D113</f>
        <v>0</v>
      </c>
      <c r="D5359" s="2" t="str">
        <f t="shared" ca="1" si="82"/>
        <v>Error?</v>
      </c>
    </row>
    <row r="5360" spans="1:4" x14ac:dyDescent="0.2">
      <c r="A5360" s="5">
        <v>5299</v>
      </c>
      <c r="B5360" s="138">
        <f ca="1">'Revenues 9-14'!D114</f>
        <v>0</v>
      </c>
      <c r="C5360" s="2" t="s">
        <v>573</v>
      </c>
      <c r="D5360" s="2" t="str">
        <f t="shared" ca="1" si="82"/>
        <v>Error?</v>
      </c>
    </row>
    <row r="5361" spans="1:4" x14ac:dyDescent="0.2">
      <c r="A5361" s="5">
        <v>5300</v>
      </c>
      <c r="B5361" s="138">
        <f ca="1">'Revenues 9-14'!D117</f>
        <v>81801</v>
      </c>
      <c r="D5361" s="2" t="str">
        <f t="shared" ca="1" si="82"/>
        <v>Error?</v>
      </c>
    </row>
    <row r="5362" spans="1:4" x14ac:dyDescent="0.2">
      <c r="A5362" s="5">
        <v>5301</v>
      </c>
      <c r="B5362" s="138">
        <f ca="1">'Revenues 9-14'!D119</f>
        <v>0</v>
      </c>
      <c r="D5362" s="2" t="str">
        <f t="shared" ca="1"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 ca="1">'Revenues 9-14'!D122</f>
        <v>81801</v>
      </c>
      <c r="C5367" s="2" t="s">
        <v>573</v>
      </c>
      <c r="D5367" s="2" t="str">
        <f t="shared" ca="1" si="82"/>
        <v>Error?</v>
      </c>
    </row>
    <row r="5368" spans="1:4" x14ac:dyDescent="0.2">
      <c r="A5368" s="5">
        <v>5307</v>
      </c>
      <c r="B5368" s="138">
        <f ca="1">'Revenues 9-14'!D127</f>
        <v>0</v>
      </c>
      <c r="D5368" s="2" t="str">
        <f t="shared" ca="1" si="82"/>
        <v>Error?</v>
      </c>
    </row>
    <row r="5369" spans="1:4" x14ac:dyDescent="0.2">
      <c r="A5369" s="5">
        <v>5308</v>
      </c>
      <c r="B5369" s="138">
        <f ca="1">'Revenues 9-14'!D132</f>
        <v>0</v>
      </c>
      <c r="C5369" s="2" t="s">
        <v>573</v>
      </c>
      <c r="D5369" s="2" t="str">
        <f t="shared" ca="1" si="82"/>
        <v>Error?</v>
      </c>
    </row>
    <row r="5370" spans="1:4" x14ac:dyDescent="0.2">
      <c r="A5370" s="5">
        <v>5309</v>
      </c>
      <c r="B5370" s="138">
        <f ca="1">'Revenues 9-14'!D134</f>
        <v>0</v>
      </c>
      <c r="D5370" s="2" t="str">
        <f t="shared" ca="1"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 ca="1">'Revenues 9-14'!D135</f>
        <v>0</v>
      </c>
      <c r="D5374" s="2" t="str">
        <f t="shared" ca="1" si="82"/>
        <v>Error?</v>
      </c>
    </row>
    <row r="5375" spans="1:4" x14ac:dyDescent="0.2">
      <c r="A5375" s="5">
        <v>5314</v>
      </c>
      <c r="B5375" s="138">
        <f ca="1">'Revenues 9-14'!D136</f>
        <v>0</v>
      </c>
      <c r="D5375" s="2" t="str">
        <f t="shared" ref="D5375:D5438" ca="1"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 ca="1">'Revenues 9-14'!D141</f>
        <v>0</v>
      </c>
      <c r="C5383" s="2" t="s">
        <v>573</v>
      </c>
      <c r="D5383" s="2" t="str">
        <f t="shared" ca="1" si="83"/>
        <v>Error?</v>
      </c>
    </row>
    <row r="5384" spans="1:4" x14ac:dyDescent="0.2">
      <c r="A5384" s="5">
        <v>5323</v>
      </c>
      <c r="B5384" s="138">
        <f ca="1">'Revenues 9-14'!D148</f>
        <v>0</v>
      </c>
      <c r="D5384" s="2" t="str">
        <f t="shared" ca="1"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 ca="1">'Revenues 9-14'!D149</f>
        <v>0</v>
      </c>
      <c r="D5387" s="2" t="str">
        <f t="shared" ca="1"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 ca="1">'Revenues 9-14'!D152</f>
        <v>0</v>
      </c>
      <c r="D5391" s="2" t="str">
        <f t="shared" ca="1" si="83"/>
        <v>Error?</v>
      </c>
    </row>
    <row r="5392" spans="1:4" x14ac:dyDescent="0.2">
      <c r="A5392" s="10">
        <v>5331</v>
      </c>
      <c r="D5392" s="2" t="str">
        <f t="shared" si="83"/>
        <v>OK</v>
      </c>
    </row>
    <row r="5393" spans="1:4" x14ac:dyDescent="0.2">
      <c r="A5393" s="5">
        <v>5332</v>
      </c>
      <c r="B5393" s="138">
        <f ca="1">'Revenues 9-14'!D153</f>
        <v>0</v>
      </c>
      <c r="D5393" s="2" t="str">
        <f t="shared" ca="1" si="83"/>
        <v>Error?</v>
      </c>
    </row>
    <row r="5394" spans="1:4" x14ac:dyDescent="0.2">
      <c r="A5394" s="5">
        <v>5333</v>
      </c>
      <c r="B5394" s="138">
        <f ca="1">'Revenues 9-14'!D155</f>
        <v>0</v>
      </c>
      <c r="C5394" s="2" t="s">
        <v>573</v>
      </c>
      <c r="D5394" s="2" t="str">
        <f t="shared" ca="1" si="83"/>
        <v>Error?</v>
      </c>
    </row>
    <row r="5395" spans="1:4" x14ac:dyDescent="0.2">
      <c r="A5395" s="5">
        <v>5334</v>
      </c>
      <c r="B5395" s="138">
        <f ca="1">'Revenues 9-14'!D157</f>
        <v>0</v>
      </c>
      <c r="D5395" s="2" t="str">
        <f t="shared" ca="1"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 ca="1">'Revenues 9-14'!D159</f>
        <v>0</v>
      </c>
      <c r="D5401" s="2" t="str">
        <f t="shared" ca="1"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 ca="1">'Revenues 9-14'!D169</f>
        <v>0</v>
      </c>
      <c r="C5412" s="2" t="s">
        <v>573</v>
      </c>
      <c r="D5412" s="2" t="str">
        <f t="shared" ca="1"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 ca="1">'Revenues 9-14'!D170</f>
        <v>81801</v>
      </c>
      <c r="C5421" s="2" t="s">
        <v>573</v>
      </c>
      <c r="D5421" s="2" t="str">
        <f t="shared" ca="1" si="83"/>
        <v>Error?</v>
      </c>
    </row>
    <row r="5422" spans="1:4" x14ac:dyDescent="0.2">
      <c r="A5422" s="5">
        <v>5361</v>
      </c>
      <c r="B5422" s="138">
        <f ca="1">'Revenues 9-14'!D173</f>
        <v>0</v>
      </c>
      <c r="D5422" s="2" t="str">
        <f t="shared" ca="1" si="83"/>
        <v>Error?</v>
      </c>
    </row>
    <row r="5423" spans="1:4" x14ac:dyDescent="0.2">
      <c r="A5423" s="5">
        <v>5362</v>
      </c>
      <c r="B5423" s="138">
        <f ca="1">'Revenues 9-14'!D175</f>
        <v>0</v>
      </c>
      <c r="C5423" s="2" t="s">
        <v>573</v>
      </c>
      <c r="D5423" s="2" t="str">
        <f t="shared" ca="1" si="83"/>
        <v>Error?</v>
      </c>
    </row>
    <row r="5424" spans="1:4" x14ac:dyDescent="0.2">
      <c r="A5424" s="5">
        <v>5363</v>
      </c>
      <c r="B5424" s="138">
        <f ca="1">'Revenues 9-14'!D178</f>
        <v>0</v>
      </c>
      <c r="D5424" s="2" t="str">
        <f t="shared" ca="1" si="83"/>
        <v>Error?</v>
      </c>
    </row>
    <row r="5425" spans="1:5" x14ac:dyDescent="0.2">
      <c r="A5425" s="5">
        <v>5364</v>
      </c>
      <c r="B5425" s="138">
        <f ca="1">'Revenues 9-14'!D181</f>
        <v>0</v>
      </c>
      <c r="C5425" s="2" t="s">
        <v>573</v>
      </c>
      <c r="D5425" s="2" t="str">
        <f t="shared" ca="1" si="83"/>
        <v>Error?</v>
      </c>
    </row>
    <row r="5426" spans="1:5" x14ac:dyDescent="0.2">
      <c r="A5426" s="5">
        <v>5365</v>
      </c>
      <c r="B5426" s="138">
        <f ca="1">'Revenues 9-14'!D184</f>
        <v>0</v>
      </c>
      <c r="D5426" s="2" t="str">
        <f t="shared" ca="1"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 ca="1">'Revenues 9-14'!D200</f>
        <v>0</v>
      </c>
      <c r="D5431" s="2" t="str">
        <f t="shared" ca="1" si="83"/>
        <v>Error?</v>
      </c>
    </row>
    <row r="5432" spans="1:5" x14ac:dyDescent="0.2">
      <c r="A5432" s="5">
        <v>5371</v>
      </c>
      <c r="B5432" s="138">
        <f ca="1">'Revenues 9-14'!D201</f>
        <v>0</v>
      </c>
      <c r="D5432" s="2" t="str">
        <f t="shared" ca="1"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1939</v>
      </c>
    </row>
    <row r="5439" spans="1:5" x14ac:dyDescent="0.2">
      <c r="A5439" s="5">
        <v>5378</v>
      </c>
      <c r="B5439" s="138">
        <f ca="1">'Revenues 9-14'!D202</f>
        <v>0</v>
      </c>
      <c r="D5439" s="2" t="str">
        <f t="shared" ref="D5439:D5502" ca="1" si="84">IF(ISBLANK(B5439),"OK",IF(A5439-B5439=0,"OK","Error?"))</f>
        <v>Error?</v>
      </c>
    </row>
    <row r="5440" spans="1:5" x14ac:dyDescent="0.2">
      <c r="A5440" s="5">
        <v>5379</v>
      </c>
      <c r="B5440" s="138">
        <f ca="1">'Revenues 9-14'!D206</f>
        <v>0</v>
      </c>
      <c r="D5440" s="2" t="str">
        <f t="shared" ca="1"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 ca="1">'Revenues 9-14'!D204</f>
        <v>0</v>
      </c>
      <c r="C5444" s="2" t="s">
        <v>573</v>
      </c>
      <c r="D5444" s="2" t="str">
        <f t="shared" ca="1"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 ca="1">'Revenues 9-14'!D211</f>
        <v>0</v>
      </c>
      <c r="D5458" s="2" t="str">
        <f t="shared" ca="1" si="84"/>
        <v>Error?</v>
      </c>
    </row>
    <row r="5459" spans="1:4" x14ac:dyDescent="0.2">
      <c r="A5459" s="5">
        <v>5398</v>
      </c>
      <c r="B5459" s="138">
        <f ca="1">'Revenues 9-14'!D212</f>
        <v>0</v>
      </c>
      <c r="D5459" s="2" t="str">
        <f t="shared" ca="1"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 ca="1">'Revenues 9-14'!D213</f>
        <v>0</v>
      </c>
      <c r="D5462" s="2" t="str">
        <f t="shared" ca="1" si="84"/>
        <v>Error?</v>
      </c>
    </row>
    <row r="5463" spans="1:4" x14ac:dyDescent="0.2">
      <c r="A5463" s="5">
        <v>5402</v>
      </c>
      <c r="B5463" s="138">
        <f ca="1">'Revenues 9-14'!D214</f>
        <v>0</v>
      </c>
      <c r="D5463" s="2" t="str">
        <f t="shared" ca="1" si="84"/>
        <v>Error?</v>
      </c>
    </row>
    <row r="5464" spans="1:4" x14ac:dyDescent="0.2">
      <c r="A5464" s="5">
        <v>5403</v>
      </c>
      <c r="B5464" s="138">
        <f ca="1">'Revenues 9-14'!D215</f>
        <v>0</v>
      </c>
      <c r="D5464" s="2" t="str">
        <f t="shared" ca="1"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 ca="1">'Revenues 9-14'!D217</f>
        <v>0</v>
      </c>
      <c r="C5470" s="2" t="s">
        <v>573</v>
      </c>
      <c r="D5470" s="2" t="str">
        <f t="shared" ca="1"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 ca="1">'Revenues 9-14'!D219</f>
        <v>0</v>
      </c>
      <c r="D5485" s="2" t="str">
        <f t="shared" ca="1"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 ca="1">'Revenues 9-14'!D221</f>
        <v>0</v>
      </c>
      <c r="C5488" s="2" t="s">
        <v>573</v>
      </c>
      <c r="D5488" s="2" t="str">
        <f t="shared" ca="1"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 ca="1">'Revenues 9-14'!D222</f>
        <v>0</v>
      </c>
      <c r="D5494" s="2" t="str">
        <f t="shared" ca="1" si="84"/>
        <v>Error?</v>
      </c>
    </row>
    <row r="5495" spans="1:4" x14ac:dyDescent="0.2">
      <c r="A5495" s="10">
        <v>5434</v>
      </c>
      <c r="D5495" s="2" t="str">
        <f t="shared" si="84"/>
        <v>OK</v>
      </c>
    </row>
    <row r="5496" spans="1:4" x14ac:dyDescent="0.2">
      <c r="A5496" s="5">
        <v>5435</v>
      </c>
      <c r="B5496" s="138">
        <f ca="1">'Revenues 9-14'!D257</f>
        <v>0</v>
      </c>
      <c r="D5496" s="2" t="str">
        <f t="shared" ca="1" si="84"/>
        <v>Error?</v>
      </c>
    </row>
    <row r="5497" spans="1:4" x14ac:dyDescent="0.2">
      <c r="A5497" s="10">
        <v>5436</v>
      </c>
      <c r="D5497" s="2" t="str">
        <f t="shared" si="84"/>
        <v>OK</v>
      </c>
    </row>
    <row r="5498" spans="1:4" x14ac:dyDescent="0.2">
      <c r="A5498" s="5">
        <v>5437</v>
      </c>
      <c r="B5498" s="138">
        <f ca="1">'Revenues 9-14'!D258</f>
        <v>0</v>
      </c>
      <c r="D5498" s="2" t="str">
        <f t="shared" ca="1"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 ca="1">'Revenues 9-14'!D266</f>
        <v>0</v>
      </c>
      <c r="C5501" s="2" t="s">
        <v>573</v>
      </c>
      <c r="D5501" s="2" t="str">
        <f t="shared" ca="1"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 ca="1">'Revenues 9-14'!D267</f>
        <v>0</v>
      </c>
      <c r="C5507" s="2" t="s">
        <v>573</v>
      </c>
      <c r="D5507" s="2" t="str">
        <f t="shared" ca="1" si="85"/>
        <v>Error?</v>
      </c>
    </row>
    <row r="5508" spans="1:4" x14ac:dyDescent="0.2">
      <c r="A5508" s="5">
        <v>5447</v>
      </c>
      <c r="B5508" s="138">
        <f ca="1">'Revenues 9-14'!D268</f>
        <v>248342</v>
      </c>
      <c r="C5508" s="2" t="s">
        <v>573</v>
      </c>
      <c r="D5508" s="2" t="str">
        <f t="shared" ca="1" si="85"/>
        <v>Error?</v>
      </c>
    </row>
    <row r="5509" spans="1:4" x14ac:dyDescent="0.2">
      <c r="A5509" s="5">
        <v>5448</v>
      </c>
      <c r="B5509" s="138">
        <f ca="1">'Revenues 9-14'!E5</f>
        <v>0</v>
      </c>
      <c r="D5509" s="2" t="str">
        <f t="shared" ca="1" si="85"/>
        <v>Error?</v>
      </c>
    </row>
    <row r="5510" spans="1:4" x14ac:dyDescent="0.2">
      <c r="A5510" s="10">
        <v>5449</v>
      </c>
      <c r="D5510" s="2" t="str">
        <f t="shared" si="85"/>
        <v>OK</v>
      </c>
    </row>
    <row r="5511" spans="1:4" x14ac:dyDescent="0.2">
      <c r="A5511" s="5">
        <v>5450</v>
      </c>
      <c r="B5511" s="138">
        <f ca="1">'Revenues 9-14'!E9</f>
        <v>0</v>
      </c>
      <c r="D5511" s="2" t="str">
        <f t="shared" ca="1" si="85"/>
        <v>Error?</v>
      </c>
    </row>
    <row r="5512" spans="1:4" x14ac:dyDescent="0.2">
      <c r="A5512" s="5">
        <v>5451</v>
      </c>
      <c r="B5512" s="138">
        <f ca="1">'Revenues 9-14'!E11</f>
        <v>0</v>
      </c>
      <c r="D5512" s="2" t="str">
        <f t="shared" ca="1" si="85"/>
        <v>Error?</v>
      </c>
    </row>
    <row r="5513" spans="1:4" x14ac:dyDescent="0.2">
      <c r="A5513" s="5">
        <v>5452</v>
      </c>
      <c r="B5513" s="138">
        <f ca="1">'Revenues 9-14'!E12</f>
        <v>0</v>
      </c>
      <c r="C5513" s="2" t="s">
        <v>573</v>
      </c>
      <c r="D5513" s="2" t="str">
        <f t="shared" ca="1" si="85"/>
        <v>Error?</v>
      </c>
    </row>
    <row r="5514" spans="1:4" x14ac:dyDescent="0.2">
      <c r="A5514" s="5">
        <v>5453</v>
      </c>
      <c r="B5514" s="138">
        <f ca="1">'Revenues 9-14'!E14</f>
        <v>0</v>
      </c>
      <c r="D5514" s="2" t="str">
        <f t="shared" ca="1" si="85"/>
        <v>Error?</v>
      </c>
    </row>
    <row r="5515" spans="1:4" x14ac:dyDescent="0.2">
      <c r="A5515" s="5">
        <v>5454</v>
      </c>
      <c r="B5515" s="138">
        <f ca="1">'Revenues 9-14'!E15</f>
        <v>0</v>
      </c>
      <c r="D5515" s="2" t="str">
        <f t="shared" ca="1" si="85"/>
        <v>Error?</v>
      </c>
    </row>
    <row r="5516" spans="1:4" x14ac:dyDescent="0.2">
      <c r="A5516" s="5">
        <v>5455</v>
      </c>
      <c r="B5516" s="138">
        <f ca="1">'Revenues 9-14'!E16</f>
        <v>0</v>
      </c>
      <c r="D5516" s="2" t="str">
        <f t="shared" ca="1" si="85"/>
        <v>Error?</v>
      </c>
    </row>
    <row r="5517" spans="1:4" x14ac:dyDescent="0.2">
      <c r="A5517" s="5">
        <v>5456</v>
      </c>
      <c r="B5517" s="138">
        <f ca="1">'Revenues 9-14'!E17</f>
        <v>0</v>
      </c>
      <c r="D5517" s="2" t="str">
        <f t="shared" ca="1" si="85"/>
        <v>Error?</v>
      </c>
    </row>
    <row r="5518" spans="1:4" x14ac:dyDescent="0.2">
      <c r="A5518" s="5">
        <v>5457</v>
      </c>
      <c r="B5518" s="138">
        <f ca="1">'Revenues 9-14'!E18</f>
        <v>0</v>
      </c>
      <c r="C5518" s="2" t="s">
        <v>573</v>
      </c>
      <c r="D5518" s="2" t="str">
        <f t="shared" ca="1" si="85"/>
        <v>Error?</v>
      </c>
    </row>
    <row r="5519" spans="1:4" x14ac:dyDescent="0.2">
      <c r="A5519" s="5">
        <v>5458</v>
      </c>
      <c r="B5519" s="138">
        <f ca="1">'Revenues 9-14'!E65</f>
        <v>0</v>
      </c>
      <c r="D5519" s="2" t="str">
        <f t="shared" ca="1" si="85"/>
        <v>Error?</v>
      </c>
    </row>
    <row r="5520" spans="1:4" x14ac:dyDescent="0.2">
      <c r="A5520" s="5">
        <v>5459</v>
      </c>
      <c r="B5520" s="138">
        <f ca="1">'Revenues 9-14'!E66</f>
        <v>0</v>
      </c>
      <c r="D5520" s="2" t="str">
        <f t="shared" ca="1" si="85"/>
        <v>Error?</v>
      </c>
    </row>
    <row r="5521" spans="1:4" x14ac:dyDescent="0.2">
      <c r="A5521" s="5">
        <v>5460</v>
      </c>
      <c r="B5521" s="138">
        <f ca="1">'Revenues 9-14'!E67</f>
        <v>0</v>
      </c>
      <c r="C5521" s="2" t="s">
        <v>573</v>
      </c>
      <c r="D5521" s="2" t="str">
        <f t="shared" ca="1" si="85"/>
        <v>Error?</v>
      </c>
    </row>
    <row r="5522" spans="1:4" x14ac:dyDescent="0.2">
      <c r="A5522" s="5">
        <v>5461</v>
      </c>
      <c r="B5522" s="138">
        <f ca="1">'Revenues 9-14'!E96</f>
        <v>0</v>
      </c>
      <c r="D5522" s="2" t="str">
        <f t="shared" ca="1" si="85"/>
        <v>Error?</v>
      </c>
    </row>
    <row r="5523" spans="1:4" x14ac:dyDescent="0.2">
      <c r="A5523" s="5">
        <v>5462</v>
      </c>
      <c r="B5523" s="138">
        <f ca="1">'Revenues 9-14'!E99</f>
        <v>0</v>
      </c>
      <c r="D5523" s="2" t="str">
        <f t="shared" ca="1" si="85"/>
        <v>Error?</v>
      </c>
    </row>
    <row r="5524" spans="1:4" x14ac:dyDescent="0.2">
      <c r="A5524" s="5">
        <v>5463</v>
      </c>
      <c r="B5524" s="138">
        <f ca="1">'Revenues 9-14'!E104</f>
        <v>0</v>
      </c>
      <c r="D5524" s="2" t="str">
        <f t="shared" ca="1" si="85"/>
        <v>Error?</v>
      </c>
    </row>
    <row r="5525" spans="1:4" x14ac:dyDescent="0.2">
      <c r="A5525" s="5">
        <v>5464</v>
      </c>
      <c r="B5525" s="138">
        <f ca="1">'Revenues 9-14'!E107</f>
        <v>0</v>
      </c>
      <c r="D5525" s="2" t="str">
        <f t="shared" ca="1" si="85"/>
        <v>Error?</v>
      </c>
    </row>
    <row r="5526" spans="1:4" x14ac:dyDescent="0.2">
      <c r="A5526" s="5">
        <v>5465</v>
      </c>
      <c r="B5526" s="138">
        <f ca="1">'Revenues 9-14'!E108</f>
        <v>0</v>
      </c>
      <c r="C5526" s="2" t="s">
        <v>573</v>
      </c>
      <c r="D5526" s="2" t="str">
        <f t="shared" ca="1" si="85"/>
        <v>Error?</v>
      </c>
    </row>
    <row r="5527" spans="1:4" x14ac:dyDescent="0.2">
      <c r="A5527" s="5">
        <v>5466</v>
      </c>
      <c r="B5527" s="138">
        <f ca="1">'Revenues 9-14'!E109</f>
        <v>0</v>
      </c>
      <c r="C5527" s="2" t="s">
        <v>573</v>
      </c>
      <c r="D5527" s="2" t="str">
        <f t="shared" ca="1" si="85"/>
        <v>Error?</v>
      </c>
    </row>
    <row r="5528" spans="1:4" x14ac:dyDescent="0.2">
      <c r="A5528" s="5">
        <v>5467</v>
      </c>
      <c r="B5528" s="138">
        <f ca="1">'Revenues 9-14'!E117</f>
        <v>0</v>
      </c>
      <c r="D5528" s="2" t="str">
        <f t="shared" ca="1" si="85"/>
        <v>Error?</v>
      </c>
    </row>
    <row r="5529" spans="1:4" x14ac:dyDescent="0.2">
      <c r="A5529" s="5">
        <v>5468</v>
      </c>
      <c r="B5529" s="138">
        <f ca="1">'Revenues 9-14'!E119</f>
        <v>0</v>
      </c>
      <c r="D5529" s="2" t="str">
        <f t="shared" ca="1"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 ca="1">'Revenues 9-14'!E122</f>
        <v>0</v>
      </c>
      <c r="C5534" s="2" t="s">
        <v>573</v>
      </c>
      <c r="D5534" s="2" t="str">
        <f t="shared" ca="1"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 ca="1">'Revenues 9-14'!E169</f>
        <v>0</v>
      </c>
      <c r="C5537" s="2" t="s">
        <v>573</v>
      </c>
      <c r="D5537" s="2" t="str">
        <f t="shared" ca="1"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 ca="1">'Revenues 9-14'!E170</f>
        <v>0</v>
      </c>
      <c r="C5544" s="2" t="s">
        <v>573</v>
      </c>
      <c r="D5544" s="2" t="str">
        <f t="shared" ca="1"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 ca="1">'Revenues 9-14'!E268</f>
        <v>0</v>
      </c>
      <c r="C5552" s="2" t="s">
        <v>573</v>
      </c>
      <c r="D5552" s="2" t="str">
        <f t="shared" ca="1" si="85"/>
        <v>Error?</v>
      </c>
    </row>
    <row r="5553" spans="1:4" x14ac:dyDescent="0.2">
      <c r="A5553" s="5">
        <v>5492</v>
      </c>
      <c r="B5553" s="138">
        <f ca="1">'Revenues 9-14'!F5</f>
        <v>14364</v>
      </c>
      <c r="D5553" s="2" t="str">
        <f t="shared" ca="1" si="85"/>
        <v>Error?</v>
      </c>
    </row>
    <row r="5554" spans="1:4" x14ac:dyDescent="0.2">
      <c r="A5554" s="10">
        <v>5493</v>
      </c>
      <c r="D5554" s="2" t="str">
        <f t="shared" si="85"/>
        <v>OK</v>
      </c>
    </row>
    <row r="5555" spans="1:4" x14ac:dyDescent="0.2">
      <c r="A5555" s="5">
        <v>5494</v>
      </c>
      <c r="B5555" s="138">
        <f ca="1">'Revenues 9-14'!F7</f>
        <v>0</v>
      </c>
      <c r="D5555" s="2" t="str">
        <f t="shared" ca="1" si="85"/>
        <v>Error?</v>
      </c>
    </row>
    <row r="5556" spans="1:4" x14ac:dyDescent="0.2">
      <c r="A5556" s="5">
        <v>5495</v>
      </c>
      <c r="B5556" s="138">
        <f ca="1">'Revenues 9-14'!F11</f>
        <v>0</v>
      </c>
      <c r="D5556" s="2" t="str">
        <f t="shared" ca="1" si="85"/>
        <v>Error?</v>
      </c>
    </row>
    <row r="5557" spans="1:4" x14ac:dyDescent="0.2">
      <c r="A5557" s="5">
        <v>5496</v>
      </c>
      <c r="B5557" s="138">
        <f ca="1">'Revenues 9-14'!F12</f>
        <v>14364</v>
      </c>
      <c r="C5557" s="2" t="s">
        <v>573</v>
      </c>
      <c r="D5557" s="2" t="str">
        <f t="shared" ca="1" si="85"/>
        <v>Error?</v>
      </c>
    </row>
    <row r="5558" spans="1:4" x14ac:dyDescent="0.2">
      <c r="A5558" s="5">
        <v>5497</v>
      </c>
      <c r="B5558" s="138">
        <f ca="1">'Revenues 9-14'!F14</f>
        <v>0</v>
      </c>
      <c r="D5558" s="2" t="str">
        <f t="shared" ca="1" si="85"/>
        <v>Error?</v>
      </c>
    </row>
    <row r="5559" spans="1:4" x14ac:dyDescent="0.2">
      <c r="A5559" s="5">
        <v>5498</v>
      </c>
      <c r="B5559" s="138">
        <f ca="1">'Revenues 9-14'!F15</f>
        <v>0</v>
      </c>
      <c r="D5559" s="2" t="str">
        <f t="shared" ca="1" si="85"/>
        <v>Error?</v>
      </c>
    </row>
    <row r="5560" spans="1:4" x14ac:dyDescent="0.2">
      <c r="A5560" s="5">
        <v>5499</v>
      </c>
      <c r="B5560" s="138">
        <f ca="1">'Revenues 9-14'!F16</f>
        <v>15254</v>
      </c>
      <c r="D5560" s="2" t="str">
        <f t="shared" ca="1" si="85"/>
        <v>Error?</v>
      </c>
    </row>
    <row r="5561" spans="1:4" x14ac:dyDescent="0.2">
      <c r="A5561" s="5">
        <v>5500</v>
      </c>
      <c r="B5561" s="138">
        <f ca="1">'Revenues 9-14'!F17</f>
        <v>0</v>
      </c>
      <c r="D5561" s="2" t="str">
        <f t="shared" ca="1" si="85"/>
        <v>Error?</v>
      </c>
    </row>
    <row r="5562" spans="1:4" x14ac:dyDescent="0.2">
      <c r="A5562" s="5">
        <v>5501</v>
      </c>
      <c r="B5562" s="138">
        <f ca="1">'Revenues 9-14'!F18</f>
        <v>15254</v>
      </c>
      <c r="C5562" s="2" t="s">
        <v>573</v>
      </c>
      <c r="D5562" s="2" t="str">
        <f t="shared" ca="1" si="85"/>
        <v>Error?</v>
      </c>
    </row>
    <row r="5563" spans="1:4" x14ac:dyDescent="0.2">
      <c r="A5563" s="5">
        <v>5502</v>
      </c>
      <c r="B5563" s="138">
        <f ca="1">'Revenues 9-14'!F42</f>
        <v>0</v>
      </c>
      <c r="D5563" s="2" t="str">
        <f t="shared" ca="1" si="85"/>
        <v>Error?</v>
      </c>
    </row>
    <row r="5564" spans="1:4" x14ac:dyDescent="0.2">
      <c r="A5564" s="5">
        <v>5503</v>
      </c>
      <c r="B5564" s="138">
        <f ca="1">'Revenues 9-14'!F43</f>
        <v>0</v>
      </c>
      <c r="D5564" s="2" t="str">
        <f t="shared" ca="1" si="85"/>
        <v>Error?</v>
      </c>
    </row>
    <row r="5565" spans="1:4" x14ac:dyDescent="0.2">
      <c r="A5565" s="5">
        <v>5504</v>
      </c>
      <c r="B5565" s="138">
        <f ca="1">'Revenues 9-14'!F44</f>
        <v>0</v>
      </c>
      <c r="D5565" s="2" t="str">
        <f t="shared" ca="1" si="85"/>
        <v>Error?</v>
      </c>
    </row>
    <row r="5566" spans="1:4" x14ac:dyDescent="0.2">
      <c r="A5566" s="5">
        <v>5505</v>
      </c>
      <c r="B5566" s="138">
        <f ca="1">'Revenues 9-14'!F45</f>
        <v>0</v>
      </c>
      <c r="D5566" s="2" t="str">
        <f t="shared" ca="1" si="85"/>
        <v>Error?</v>
      </c>
    </row>
    <row r="5567" spans="1:4" x14ac:dyDescent="0.2">
      <c r="A5567" s="5">
        <v>5506</v>
      </c>
      <c r="B5567" s="138">
        <f ca="1">'Revenues 9-14'!F47</f>
        <v>0</v>
      </c>
      <c r="D5567" s="2" t="str">
        <f t="shared" ref="D5567:D5630" ca="1" si="86">IF(ISBLANK(B5567),"OK",IF(A5567-B5567=0,"OK","Error?"))</f>
        <v>Error?</v>
      </c>
    </row>
    <row r="5568" spans="1:4" x14ac:dyDescent="0.2">
      <c r="A5568" s="5">
        <v>5507</v>
      </c>
      <c r="B5568" s="138">
        <f ca="1">'Revenues 9-14'!F48</f>
        <v>0</v>
      </c>
      <c r="D5568" s="2" t="str">
        <f t="shared" ca="1" si="86"/>
        <v>Error?</v>
      </c>
    </row>
    <row r="5569" spans="1:4" x14ac:dyDescent="0.2">
      <c r="A5569" s="5">
        <v>5508</v>
      </c>
      <c r="B5569" s="138">
        <f ca="1">'Revenues 9-14'!F49</f>
        <v>0</v>
      </c>
      <c r="D5569" s="2" t="str">
        <f t="shared" ca="1" si="86"/>
        <v>Error?</v>
      </c>
    </row>
    <row r="5570" spans="1:4" x14ac:dyDescent="0.2">
      <c r="A5570" s="5">
        <v>5509</v>
      </c>
      <c r="B5570" s="138">
        <f ca="1">'Revenues 9-14'!F51</f>
        <v>0</v>
      </c>
      <c r="D5570" s="2" t="str">
        <f t="shared" ca="1" si="86"/>
        <v>Error?</v>
      </c>
    </row>
    <row r="5571" spans="1:4" x14ac:dyDescent="0.2">
      <c r="A5571" s="5">
        <v>5510</v>
      </c>
      <c r="B5571" s="138">
        <f ca="1">'Revenues 9-14'!F52</f>
        <v>0</v>
      </c>
      <c r="D5571" s="2" t="str">
        <f t="shared" ca="1" si="86"/>
        <v>Error?</v>
      </c>
    </row>
    <row r="5572" spans="1:4" x14ac:dyDescent="0.2">
      <c r="A5572" s="5">
        <v>5511</v>
      </c>
      <c r="B5572" s="138">
        <f ca="1">'Revenues 9-14'!F53</f>
        <v>0</v>
      </c>
      <c r="D5572" s="2" t="str">
        <f t="shared" ca="1" si="86"/>
        <v>Error?</v>
      </c>
    </row>
    <row r="5573" spans="1:4" x14ac:dyDescent="0.2">
      <c r="A5573" s="5">
        <v>5512</v>
      </c>
      <c r="B5573" s="138">
        <f ca="1">'Revenues 9-14'!F55</f>
        <v>0</v>
      </c>
      <c r="D5573" s="2" t="str">
        <f t="shared" ca="1" si="86"/>
        <v>Error?</v>
      </c>
    </row>
    <row r="5574" spans="1:4" x14ac:dyDescent="0.2">
      <c r="A5574" s="5">
        <v>5513</v>
      </c>
      <c r="B5574" s="138">
        <f ca="1">'Revenues 9-14'!F56</f>
        <v>6875</v>
      </c>
      <c r="D5574" s="2" t="str">
        <f t="shared" ca="1" si="86"/>
        <v>Error?</v>
      </c>
    </row>
    <row r="5575" spans="1:4" x14ac:dyDescent="0.2">
      <c r="A5575" s="5">
        <v>5514</v>
      </c>
      <c r="B5575" s="138">
        <f ca="1">'Revenues 9-14'!F57</f>
        <v>0</v>
      </c>
      <c r="D5575" s="2" t="str">
        <f t="shared" ca="1" si="86"/>
        <v>Error?</v>
      </c>
    </row>
    <row r="5576" spans="1:4" x14ac:dyDescent="0.2">
      <c r="A5576" s="5">
        <v>5515</v>
      </c>
      <c r="B5576" s="138">
        <f ca="1">'Revenues 9-14'!F59</f>
        <v>0</v>
      </c>
      <c r="D5576" s="2" t="str">
        <f t="shared" ca="1" si="86"/>
        <v>Error?</v>
      </c>
    </row>
    <row r="5577" spans="1:4" x14ac:dyDescent="0.2">
      <c r="A5577" s="5">
        <v>5516</v>
      </c>
      <c r="B5577" s="138">
        <f ca="1">'Revenues 9-14'!F60</f>
        <v>0</v>
      </c>
      <c r="D5577" s="2" t="str">
        <f t="shared" ca="1" si="86"/>
        <v>Error?</v>
      </c>
    </row>
    <row r="5578" spans="1:4" x14ac:dyDescent="0.2">
      <c r="A5578" s="5">
        <v>5517</v>
      </c>
      <c r="B5578" s="138">
        <f ca="1">'Revenues 9-14'!F61</f>
        <v>0</v>
      </c>
      <c r="D5578" s="2" t="str">
        <f t="shared" ca="1" si="86"/>
        <v>Error?</v>
      </c>
    </row>
    <row r="5579" spans="1:4" x14ac:dyDescent="0.2">
      <c r="A5579" s="5">
        <v>5518</v>
      </c>
      <c r="B5579" s="138">
        <f ca="1">'Revenues 9-14'!F63</f>
        <v>6875</v>
      </c>
      <c r="C5579" s="2" t="s">
        <v>573</v>
      </c>
      <c r="D5579" s="2" t="str">
        <f t="shared" ca="1" si="86"/>
        <v>Error?</v>
      </c>
    </row>
    <row r="5580" spans="1:4" x14ac:dyDescent="0.2">
      <c r="A5580" s="5">
        <v>5519</v>
      </c>
      <c r="B5580" s="138">
        <f ca="1">'Revenues 9-14'!F65</f>
        <v>1933</v>
      </c>
      <c r="D5580" s="2" t="str">
        <f t="shared" ca="1" si="86"/>
        <v>Error?</v>
      </c>
    </row>
    <row r="5581" spans="1:4" x14ac:dyDescent="0.2">
      <c r="A5581" s="5">
        <v>5520</v>
      </c>
      <c r="B5581" s="138">
        <f ca="1">'Revenues 9-14'!F66</f>
        <v>0</v>
      </c>
      <c r="D5581" s="2" t="str">
        <f t="shared" ca="1" si="86"/>
        <v>Error?</v>
      </c>
    </row>
    <row r="5582" spans="1:4" x14ac:dyDescent="0.2">
      <c r="A5582" s="5">
        <v>5521</v>
      </c>
      <c r="B5582" s="138">
        <f ca="1">'Revenues 9-14'!F67</f>
        <v>1933</v>
      </c>
      <c r="C5582" s="2" t="s">
        <v>573</v>
      </c>
      <c r="D5582" s="2" t="str">
        <f t="shared" ca="1" si="86"/>
        <v>Error?</v>
      </c>
    </row>
    <row r="5583" spans="1:4" x14ac:dyDescent="0.2">
      <c r="A5583" s="5">
        <v>5522</v>
      </c>
      <c r="B5583" s="138">
        <f ca="1">'Revenues 9-14'!F96</f>
        <v>0</v>
      </c>
      <c r="D5583" s="2" t="str">
        <f t="shared" ca="1" si="86"/>
        <v>Error?</v>
      </c>
    </row>
    <row r="5584" spans="1:4" x14ac:dyDescent="0.2">
      <c r="A5584" s="5">
        <v>5523</v>
      </c>
      <c r="B5584" s="138">
        <f ca="1">'Revenues 9-14'!F98</f>
        <v>0</v>
      </c>
      <c r="D5584" s="2" t="str">
        <f t="shared" ca="1" si="86"/>
        <v>Error?</v>
      </c>
    </row>
    <row r="5585" spans="1:4" x14ac:dyDescent="0.2">
      <c r="A5585" s="5">
        <v>5524</v>
      </c>
      <c r="B5585" s="138">
        <f ca="1">'Revenues 9-14'!F99</f>
        <v>0</v>
      </c>
      <c r="D5585" s="2" t="str">
        <f t="shared" ca="1" si="86"/>
        <v>Error?</v>
      </c>
    </row>
    <row r="5586" spans="1:4" x14ac:dyDescent="0.2">
      <c r="A5586" s="5">
        <v>5525</v>
      </c>
      <c r="B5586" s="138">
        <f ca="1">'Revenues 9-14'!F107</f>
        <v>0</v>
      </c>
      <c r="D5586" s="2" t="str">
        <f t="shared" ca="1" si="86"/>
        <v>Error?</v>
      </c>
    </row>
    <row r="5587" spans="1:4" x14ac:dyDescent="0.2">
      <c r="A5587" s="5">
        <v>5526</v>
      </c>
      <c r="B5587" s="138">
        <f ca="1">'Revenues 9-14'!F108</f>
        <v>0</v>
      </c>
      <c r="C5587" s="2" t="s">
        <v>573</v>
      </c>
      <c r="D5587" s="2" t="str">
        <f t="shared" ca="1" si="86"/>
        <v>Error?</v>
      </c>
    </row>
    <row r="5588" spans="1:4" x14ac:dyDescent="0.2">
      <c r="A5588" s="5">
        <v>5527</v>
      </c>
      <c r="B5588" s="138">
        <f ca="1">'Revenues 9-14'!F109</f>
        <v>38426</v>
      </c>
      <c r="C5588" s="2" t="s">
        <v>573</v>
      </c>
      <c r="D5588" s="2" t="str">
        <f t="shared" ca="1" si="86"/>
        <v>Error?</v>
      </c>
    </row>
    <row r="5589" spans="1:4" x14ac:dyDescent="0.2">
      <c r="A5589" s="5">
        <v>5528</v>
      </c>
      <c r="B5589" s="138">
        <f ca="1">'Revenues 9-14'!F111</f>
        <v>0</v>
      </c>
      <c r="D5589" s="2" t="str">
        <f t="shared" ca="1" si="86"/>
        <v>Error?</v>
      </c>
    </row>
    <row r="5590" spans="1:4" x14ac:dyDescent="0.2">
      <c r="A5590" s="5">
        <v>5529</v>
      </c>
      <c r="B5590" s="138">
        <f ca="1">'Revenues 9-14'!F112</f>
        <v>0</v>
      </c>
      <c r="D5590" s="2" t="str">
        <f t="shared" ca="1" si="86"/>
        <v>Error?</v>
      </c>
    </row>
    <row r="5591" spans="1:4" x14ac:dyDescent="0.2">
      <c r="A5591" s="5">
        <v>5530</v>
      </c>
      <c r="B5591" s="138">
        <f ca="1">'Revenues 9-14'!F113</f>
        <v>0</v>
      </c>
      <c r="D5591" s="2" t="str">
        <f t="shared" ca="1" si="86"/>
        <v>Error?</v>
      </c>
    </row>
    <row r="5592" spans="1:4" x14ac:dyDescent="0.2">
      <c r="A5592" s="5">
        <v>5531</v>
      </c>
      <c r="B5592" s="138">
        <f ca="1">'Revenues 9-14'!F114</f>
        <v>0</v>
      </c>
      <c r="C5592" s="2" t="s">
        <v>573</v>
      </c>
      <c r="D5592" s="2" t="str">
        <f t="shared" ca="1" si="86"/>
        <v>Error?</v>
      </c>
    </row>
    <row r="5593" spans="1:4" x14ac:dyDescent="0.2">
      <c r="A5593" s="5">
        <v>5532</v>
      </c>
      <c r="B5593" s="138">
        <f ca="1">'Revenues 9-14'!F117</f>
        <v>93943</v>
      </c>
      <c r="D5593" s="2" t="str">
        <f t="shared" ca="1" si="86"/>
        <v>Error?</v>
      </c>
    </row>
    <row r="5594" spans="1:4" x14ac:dyDescent="0.2">
      <c r="A5594" s="5">
        <v>5533</v>
      </c>
      <c r="B5594" s="138">
        <f ca="1">'Revenues 9-14'!F119</f>
        <v>0</v>
      </c>
      <c r="D5594" s="2" t="str">
        <f t="shared" ca="1"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 ca="1">'Revenues 9-14'!F122</f>
        <v>93943</v>
      </c>
      <c r="C5599" s="2" t="s">
        <v>573</v>
      </c>
      <c r="D5599" s="2" t="str">
        <f t="shared" ca="1" si="86"/>
        <v>Error?</v>
      </c>
    </row>
    <row r="5600" spans="1:4" x14ac:dyDescent="0.2">
      <c r="A5600" s="5">
        <v>5539</v>
      </c>
      <c r="B5600" s="138">
        <f ca="1">'Revenues 9-14'!F125</f>
        <v>0</v>
      </c>
      <c r="D5600" s="2" t="str">
        <f t="shared" ca="1" si="86"/>
        <v>Error?</v>
      </c>
    </row>
    <row r="5601" spans="1:4" x14ac:dyDescent="0.2">
      <c r="A5601" s="5">
        <v>5540</v>
      </c>
      <c r="B5601" s="138">
        <f ca="1">'Revenues 9-14'!F126</f>
        <v>0</v>
      </c>
      <c r="D5601" s="2" t="str">
        <f t="shared" ca="1" si="86"/>
        <v>Error?</v>
      </c>
    </row>
    <row r="5602" spans="1:4" x14ac:dyDescent="0.2">
      <c r="A5602" s="5">
        <v>5541</v>
      </c>
      <c r="B5602" s="138">
        <f ca="1">'Revenues 9-14'!F127</f>
        <v>0</v>
      </c>
      <c r="D5602" s="2" t="str">
        <f t="shared" ca="1" si="86"/>
        <v>Error?</v>
      </c>
    </row>
    <row r="5603" spans="1:4" x14ac:dyDescent="0.2">
      <c r="A5603" s="10">
        <v>5542</v>
      </c>
      <c r="D5603" s="2" t="str">
        <f t="shared" si="86"/>
        <v>OK</v>
      </c>
    </row>
    <row r="5604" spans="1:4" x14ac:dyDescent="0.2">
      <c r="A5604" s="5">
        <v>5543</v>
      </c>
      <c r="B5604" s="138">
        <f ca="1">'Revenues 9-14'!F128</f>
        <v>0</v>
      </c>
      <c r="D5604" s="2" t="str">
        <f t="shared" ca="1" si="86"/>
        <v>Error?</v>
      </c>
    </row>
    <row r="5605" spans="1:4" x14ac:dyDescent="0.2">
      <c r="A5605" s="10">
        <v>5544</v>
      </c>
      <c r="D5605" s="2" t="str">
        <f t="shared" si="86"/>
        <v>OK</v>
      </c>
    </row>
    <row r="5606" spans="1:4" x14ac:dyDescent="0.2">
      <c r="A5606" s="5">
        <v>5545</v>
      </c>
      <c r="B5606" s="138">
        <f ca="1">'Revenues 9-14'!F129</f>
        <v>0</v>
      </c>
      <c r="D5606" s="2" t="str">
        <f t="shared" ca="1"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 ca="1">'Revenues 9-14'!F130</f>
        <v>0</v>
      </c>
      <c r="D5609" s="2" t="str">
        <f t="shared" ca="1"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 ca="1">'Revenues 9-14'!F132</f>
        <v>0</v>
      </c>
      <c r="C5614" s="2" t="s">
        <v>573</v>
      </c>
      <c r="D5614" s="2" t="str">
        <f t="shared" ca="1" si="86"/>
        <v>Error?</v>
      </c>
    </row>
    <row r="5615" spans="1:4" x14ac:dyDescent="0.2">
      <c r="A5615" s="5">
        <v>5554</v>
      </c>
      <c r="B5615" s="138">
        <f ca="1">'Revenues 9-14'!F152</f>
        <v>41248</v>
      </c>
      <c r="D5615" s="2" t="str">
        <f t="shared" ca="1" si="86"/>
        <v>Error?</v>
      </c>
    </row>
    <row r="5616" spans="1:4" x14ac:dyDescent="0.2">
      <c r="A5616" s="10">
        <v>5555</v>
      </c>
      <c r="D5616" s="2" t="str">
        <f t="shared" si="86"/>
        <v>OK</v>
      </c>
    </row>
    <row r="5617" spans="1:5" x14ac:dyDescent="0.2">
      <c r="A5617" s="5">
        <v>5556</v>
      </c>
      <c r="B5617" s="138">
        <f ca="1">'Revenues 9-14'!F153</f>
        <v>28194</v>
      </c>
      <c r="D5617" s="2" t="str">
        <f t="shared" ca="1" si="86"/>
        <v>Error?</v>
      </c>
    </row>
    <row r="5618" spans="1:5" x14ac:dyDescent="0.2">
      <c r="A5618" s="5">
        <v>5557</v>
      </c>
      <c r="B5618" s="138">
        <f ca="1">'Revenues 9-14'!F155</f>
        <v>69442</v>
      </c>
      <c r="C5618" s="2" t="s">
        <v>573</v>
      </c>
      <c r="D5618" s="2" t="str">
        <f t="shared" ca="1" si="86"/>
        <v>Error?</v>
      </c>
    </row>
    <row r="5619" spans="1:5" x14ac:dyDescent="0.2">
      <c r="A5619" s="5">
        <v>5558</v>
      </c>
      <c r="B5619" s="138">
        <f ca="1">'Revenues 9-14'!F157</f>
        <v>0</v>
      </c>
      <c r="D5619" s="2" t="str">
        <f t="shared" ca="1"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 ca="1">'Revenues 9-14'!F158</f>
        <v>0</v>
      </c>
      <c r="D5625" s="2" t="str">
        <f t="shared" ca="1" si="86"/>
        <v>Error?</v>
      </c>
    </row>
    <row r="5626" spans="1:5" x14ac:dyDescent="0.2">
      <c r="A5626" s="10">
        <v>5565</v>
      </c>
      <c r="D5626" s="2" t="str">
        <f t="shared" si="86"/>
        <v>OK</v>
      </c>
    </row>
    <row r="5627" spans="1:5" x14ac:dyDescent="0.2">
      <c r="A5627" s="5">
        <v>5566</v>
      </c>
      <c r="B5627" s="138">
        <f ca="1">'Revenues 9-14'!F159</f>
        <v>0</v>
      </c>
      <c r="D5627" s="2" t="str">
        <f t="shared" ca="1"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1939</v>
      </c>
    </row>
    <row r="5631" spans="1:5" x14ac:dyDescent="0.2">
      <c r="A5631" s="10">
        <v>5570</v>
      </c>
      <c r="D5631" s="2" t="str">
        <f t="shared" ref="D5631:D5694" si="87">IF(ISBLANK(B5631),"OK",IF(A5631-B5631=0,"OK","Error?"))</f>
        <v>OK</v>
      </c>
      <c r="E5631" s="4" t="s">
        <v>1939</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 ca="1">'Revenues 9-14'!F169</f>
        <v>69442</v>
      </c>
      <c r="C5644" s="2" t="s">
        <v>573</v>
      </c>
      <c r="D5644" s="2" t="str">
        <f t="shared" ca="1"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 ca="1">'Revenues 9-14'!F170</f>
        <v>163385</v>
      </c>
      <c r="C5653" s="2" t="s">
        <v>573</v>
      </c>
      <c r="D5653" s="2" t="str">
        <f t="shared" ca="1" si="87"/>
        <v>Error?</v>
      </c>
    </row>
    <row r="5654" spans="1:4" x14ac:dyDescent="0.2">
      <c r="A5654" s="5">
        <v>5593</v>
      </c>
      <c r="B5654" s="138">
        <f ca="1">'Revenues 9-14'!F173</f>
        <v>0</v>
      </c>
      <c r="D5654" s="2" t="str">
        <f t="shared" ca="1" si="87"/>
        <v>Error?</v>
      </c>
    </row>
    <row r="5655" spans="1:4" x14ac:dyDescent="0.2">
      <c r="A5655" s="5">
        <v>5594</v>
      </c>
      <c r="B5655" s="138">
        <f ca="1">'Revenues 9-14'!F175</f>
        <v>0</v>
      </c>
      <c r="C5655" s="2" t="s">
        <v>573</v>
      </c>
      <c r="D5655" s="2" t="str">
        <f t="shared" ca="1"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 ca="1">'Revenues 9-14'!F181</f>
        <v>0</v>
      </c>
      <c r="C5658" s="2" t="s">
        <v>573</v>
      </c>
      <c r="D5658" s="2" t="str">
        <f t="shared" ca="1" si="87"/>
        <v>Error?</v>
      </c>
    </row>
    <row r="5659" spans="1:4" x14ac:dyDescent="0.2">
      <c r="A5659" s="5">
        <v>5598</v>
      </c>
      <c r="B5659" s="138">
        <f ca="1">'Revenues 9-14'!F184</f>
        <v>0</v>
      </c>
      <c r="D5659" s="2" t="str">
        <f t="shared" ca="1"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 ca="1">'Revenues 9-14'!F200</f>
        <v>0</v>
      </c>
      <c r="D5664" s="2" t="str">
        <f t="shared" ca="1" si="87"/>
        <v>Error?</v>
      </c>
    </row>
    <row r="5665" spans="1:5" x14ac:dyDescent="0.2">
      <c r="A5665" s="5">
        <v>5604</v>
      </c>
      <c r="B5665" s="138">
        <f ca="1">'Revenues 9-14'!F201</f>
        <v>0</v>
      </c>
      <c r="D5665" s="2" t="str">
        <f t="shared" ca="1"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1939</v>
      </c>
    </row>
    <row r="5672" spans="1:5" x14ac:dyDescent="0.2">
      <c r="A5672" s="5">
        <v>5611</v>
      </c>
      <c r="B5672" s="138">
        <f ca="1">'Revenues 9-14'!F202</f>
        <v>0</v>
      </c>
      <c r="D5672" s="2" t="str">
        <f t="shared" ca="1" si="87"/>
        <v>Error?</v>
      </c>
    </row>
    <row r="5673" spans="1:5" x14ac:dyDescent="0.2">
      <c r="A5673" s="5">
        <v>5612</v>
      </c>
      <c r="B5673" s="138">
        <f ca="1">'Revenues 9-14'!F206</f>
        <v>0</v>
      </c>
      <c r="D5673" s="2" t="str">
        <f t="shared" ca="1"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 ca="1">'Revenues 9-14'!F204</f>
        <v>0</v>
      </c>
      <c r="C5677" s="2" t="s">
        <v>573</v>
      </c>
      <c r="D5677" s="2" t="str">
        <f t="shared" ca="1"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 ca="1">'Revenues 9-14'!F211</f>
        <v>0</v>
      </c>
      <c r="D5691" s="2" t="str">
        <f t="shared" ca="1" si="87"/>
        <v>Error?</v>
      </c>
    </row>
    <row r="5692" spans="1:4" x14ac:dyDescent="0.2">
      <c r="A5692" s="5">
        <v>5631</v>
      </c>
      <c r="B5692" s="138">
        <f ca="1">'Revenues 9-14'!F212</f>
        <v>0</v>
      </c>
      <c r="D5692" s="2" t="str">
        <f t="shared" ca="1"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 ca="1">'Revenues 9-14'!F213</f>
        <v>0</v>
      </c>
      <c r="D5695" s="2" t="str">
        <f t="shared" ref="D5695:D5758" ca="1" si="88">IF(ISBLANK(B5695),"OK",IF(A5695-B5695=0,"OK","Error?"))</f>
        <v>Error?</v>
      </c>
    </row>
    <row r="5696" spans="1:4" x14ac:dyDescent="0.2">
      <c r="A5696" s="5">
        <v>5635</v>
      </c>
      <c r="B5696" s="138">
        <f ca="1">'Revenues 9-14'!F214</f>
        <v>0</v>
      </c>
      <c r="D5696" s="2" t="str">
        <f t="shared" ca="1" si="88"/>
        <v>Error?</v>
      </c>
    </row>
    <row r="5697" spans="1:5" x14ac:dyDescent="0.2">
      <c r="A5697" s="5">
        <v>5636</v>
      </c>
      <c r="B5697" s="138">
        <f ca="1">'Revenues 9-14'!F215</f>
        <v>0</v>
      </c>
      <c r="D5697" s="2" t="str">
        <f t="shared" ca="1"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 ca="1">'Revenues 9-14'!F217</f>
        <v>0</v>
      </c>
      <c r="C5703" s="2" t="s">
        <v>573</v>
      </c>
      <c r="D5703" s="2" t="str">
        <f t="shared" ca="1" si="88"/>
        <v>Error?</v>
      </c>
    </row>
    <row r="5704" spans="1:5" x14ac:dyDescent="0.2">
      <c r="A5704" s="10">
        <v>5643</v>
      </c>
      <c r="D5704" s="2" t="str">
        <f t="shared" si="88"/>
        <v>OK</v>
      </c>
    </row>
    <row r="5705" spans="1:5" x14ac:dyDescent="0.2">
      <c r="A5705" s="5">
        <v>5644</v>
      </c>
      <c r="B5705" s="138">
        <f ca="1">'Revenues 9-14'!F255</f>
        <v>0</v>
      </c>
      <c r="D5705" s="2" t="str">
        <f t="shared" ca="1" si="88"/>
        <v>Error?</v>
      </c>
    </row>
    <row r="5706" spans="1:5" x14ac:dyDescent="0.2">
      <c r="A5706" s="10">
        <v>5645</v>
      </c>
      <c r="D5706" s="2" t="str">
        <f t="shared" si="88"/>
        <v>OK</v>
      </c>
      <c r="E5706" s="4" t="s">
        <v>1939</v>
      </c>
    </row>
    <row r="5707" spans="1:5" x14ac:dyDescent="0.2">
      <c r="A5707" s="10">
        <v>5646</v>
      </c>
      <c r="D5707" s="2" t="str">
        <f t="shared" si="88"/>
        <v>OK</v>
      </c>
    </row>
    <row r="5708" spans="1:5" x14ac:dyDescent="0.2">
      <c r="A5708" s="5">
        <v>5647</v>
      </c>
      <c r="B5708" s="138">
        <f ca="1">'Revenues 9-14'!F257</f>
        <v>0</v>
      </c>
      <c r="D5708" s="2" t="str">
        <f t="shared" ca="1" si="88"/>
        <v>Error?</v>
      </c>
    </row>
    <row r="5709" spans="1:5" x14ac:dyDescent="0.2">
      <c r="A5709" s="10">
        <v>5648</v>
      </c>
      <c r="D5709" s="2" t="str">
        <f t="shared" si="88"/>
        <v>OK</v>
      </c>
    </row>
    <row r="5710" spans="1:5" x14ac:dyDescent="0.2">
      <c r="A5710" s="5">
        <v>5649</v>
      </c>
      <c r="B5710" s="138">
        <f ca="1">'Revenues 9-14'!F258</f>
        <v>0</v>
      </c>
      <c r="D5710" s="2" t="str">
        <f t="shared" ca="1"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 ca="1">'Revenues 9-14'!F266</f>
        <v>0</v>
      </c>
      <c r="C5713" s="2" t="s">
        <v>573</v>
      </c>
      <c r="D5713" s="2" t="str">
        <f t="shared" ca="1"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 ca="1">'Revenues 9-14'!F267</f>
        <v>0</v>
      </c>
      <c r="C5719" s="2" t="s">
        <v>573</v>
      </c>
      <c r="D5719" s="2" t="str">
        <f t="shared" ca="1" si="88"/>
        <v>Error?</v>
      </c>
    </row>
    <row r="5720" spans="1:4" x14ac:dyDescent="0.2">
      <c r="A5720" s="5">
        <v>5659</v>
      </c>
      <c r="B5720" s="138">
        <f ca="1">'Revenues 9-14'!F268</f>
        <v>201811</v>
      </c>
      <c r="C5720" s="2" t="s">
        <v>573</v>
      </c>
      <c r="D5720" s="2" t="str">
        <f t="shared" ca="1" si="88"/>
        <v>Error?</v>
      </c>
    </row>
    <row r="5721" spans="1:4" x14ac:dyDescent="0.2">
      <c r="A5721" s="5">
        <v>5660</v>
      </c>
      <c r="B5721" s="138">
        <f ca="1">'Revenues 9-14'!G5</f>
        <v>4457</v>
      </c>
      <c r="D5721" s="2" t="str">
        <f t="shared" ca="1" si="88"/>
        <v>Error?</v>
      </c>
    </row>
    <row r="5722" spans="1:4" x14ac:dyDescent="0.2">
      <c r="A5722" s="5">
        <v>5661</v>
      </c>
      <c r="B5722" s="138">
        <f ca="1">'Revenues 9-14'!G7</f>
        <v>0</v>
      </c>
      <c r="D5722" s="2" t="str">
        <f t="shared" ca="1" si="88"/>
        <v>Error?</v>
      </c>
    </row>
    <row r="5723" spans="1:4" x14ac:dyDescent="0.2">
      <c r="A5723" s="5">
        <v>5662</v>
      </c>
      <c r="B5723" s="138">
        <f ca="1">'Revenues 9-14'!G8</f>
        <v>4956</v>
      </c>
      <c r="D5723" s="2" t="str">
        <f t="shared" ca="1" si="88"/>
        <v>Error?</v>
      </c>
    </row>
    <row r="5724" spans="1:4" x14ac:dyDescent="0.2">
      <c r="A5724" s="5">
        <v>5663</v>
      </c>
      <c r="B5724" s="138">
        <f ca="1">'Revenues 9-14'!G11</f>
        <v>0</v>
      </c>
      <c r="D5724" s="2" t="str">
        <f t="shared" ca="1" si="88"/>
        <v>Error?</v>
      </c>
    </row>
    <row r="5725" spans="1:4" x14ac:dyDescent="0.2">
      <c r="A5725" s="5">
        <v>5664</v>
      </c>
      <c r="B5725" s="138">
        <f ca="1">'Revenues 9-14'!G12</f>
        <v>9413</v>
      </c>
      <c r="C5725" s="2" t="s">
        <v>573</v>
      </c>
      <c r="D5725" s="2" t="str">
        <f t="shared" ca="1" si="88"/>
        <v>Error?</v>
      </c>
    </row>
    <row r="5726" spans="1:4" x14ac:dyDescent="0.2">
      <c r="A5726" s="5">
        <v>5665</v>
      </c>
      <c r="B5726" s="138">
        <f ca="1">'Revenues 9-14'!G14</f>
        <v>0</v>
      </c>
      <c r="D5726" s="2" t="str">
        <f t="shared" ca="1" si="88"/>
        <v>Error?</v>
      </c>
    </row>
    <row r="5727" spans="1:4" x14ac:dyDescent="0.2">
      <c r="A5727" s="5">
        <v>5666</v>
      </c>
      <c r="B5727" s="138">
        <f ca="1">'Revenues 9-14'!G15</f>
        <v>0</v>
      </c>
      <c r="D5727" s="2" t="str">
        <f t="shared" ca="1" si="88"/>
        <v>Error?</v>
      </c>
    </row>
    <row r="5728" spans="1:4" x14ac:dyDescent="0.2">
      <c r="A5728" s="5">
        <v>5667</v>
      </c>
      <c r="B5728" s="138">
        <f ca="1">'Revenues 9-14'!G16</f>
        <v>7856</v>
      </c>
      <c r="D5728" s="2" t="str">
        <f t="shared" ca="1" si="88"/>
        <v>Error?</v>
      </c>
    </row>
    <row r="5729" spans="1:4" x14ac:dyDescent="0.2">
      <c r="A5729" s="5">
        <v>5668</v>
      </c>
      <c r="B5729" s="138">
        <f ca="1">'Revenues 9-14'!G17</f>
        <v>0</v>
      </c>
      <c r="D5729" s="2" t="str">
        <f t="shared" ca="1" si="88"/>
        <v>Error?</v>
      </c>
    </row>
    <row r="5730" spans="1:4" x14ac:dyDescent="0.2">
      <c r="A5730" s="5">
        <v>5669</v>
      </c>
      <c r="B5730" s="138">
        <f ca="1">'Revenues 9-14'!G18</f>
        <v>7856</v>
      </c>
      <c r="C5730" s="2" t="s">
        <v>573</v>
      </c>
      <c r="D5730" s="2" t="str">
        <f t="shared" ca="1" si="88"/>
        <v>Error?</v>
      </c>
    </row>
    <row r="5731" spans="1:4" x14ac:dyDescent="0.2">
      <c r="A5731" s="5">
        <v>5670</v>
      </c>
      <c r="B5731" s="138">
        <f ca="1">'Revenues 9-14'!G65</f>
        <v>515</v>
      </c>
      <c r="D5731" s="2" t="str">
        <f t="shared" ca="1" si="88"/>
        <v>Error?</v>
      </c>
    </row>
    <row r="5732" spans="1:4" x14ac:dyDescent="0.2">
      <c r="A5732" s="5">
        <v>5671</v>
      </c>
      <c r="B5732" s="138">
        <f ca="1">'Revenues 9-14'!G66</f>
        <v>0</v>
      </c>
      <c r="D5732" s="2" t="str">
        <f t="shared" ca="1" si="88"/>
        <v>Error?</v>
      </c>
    </row>
    <row r="5733" spans="1:4" x14ac:dyDescent="0.2">
      <c r="A5733" s="5">
        <v>5672</v>
      </c>
      <c r="B5733" s="138">
        <f ca="1">'Revenues 9-14'!G67</f>
        <v>515</v>
      </c>
      <c r="C5733" s="2" t="s">
        <v>573</v>
      </c>
      <c r="D5733" s="2" t="str">
        <f t="shared" ca="1" si="88"/>
        <v>Error?</v>
      </c>
    </row>
    <row r="5734" spans="1:4" x14ac:dyDescent="0.2">
      <c r="A5734" s="5">
        <v>5673</v>
      </c>
      <c r="B5734" s="138">
        <f ca="1">'Revenues 9-14'!G96</f>
        <v>0</v>
      </c>
      <c r="D5734" s="2" t="str">
        <f t="shared" ca="1" si="88"/>
        <v>Error?</v>
      </c>
    </row>
    <row r="5735" spans="1:4" x14ac:dyDescent="0.2">
      <c r="A5735" s="5">
        <v>5674</v>
      </c>
      <c r="B5735" s="138">
        <f ca="1">'Revenues 9-14'!G99</f>
        <v>0</v>
      </c>
      <c r="D5735" s="2" t="str">
        <f t="shared" ca="1" si="88"/>
        <v>Error?</v>
      </c>
    </row>
    <row r="5736" spans="1:4" x14ac:dyDescent="0.2">
      <c r="A5736" s="5">
        <v>5675</v>
      </c>
      <c r="B5736" s="138">
        <f ca="1">'Revenues 9-14'!G107</f>
        <v>0</v>
      </c>
      <c r="D5736" s="2" t="str">
        <f t="shared" ca="1" si="88"/>
        <v>Error?</v>
      </c>
    </row>
    <row r="5737" spans="1:4" x14ac:dyDescent="0.2">
      <c r="A5737" s="5">
        <v>5676</v>
      </c>
      <c r="B5737" s="138">
        <f ca="1">'Revenues 9-14'!G108</f>
        <v>0</v>
      </c>
      <c r="C5737" s="2" t="s">
        <v>573</v>
      </c>
      <c r="D5737" s="2" t="str">
        <f t="shared" ca="1" si="88"/>
        <v>Error?</v>
      </c>
    </row>
    <row r="5738" spans="1:4" x14ac:dyDescent="0.2">
      <c r="A5738" s="5">
        <v>5677</v>
      </c>
      <c r="B5738" s="138">
        <f ca="1">'Revenues 9-14'!G111</f>
        <v>0</v>
      </c>
      <c r="D5738" s="2" t="str">
        <f t="shared" ca="1" si="88"/>
        <v>Error?</v>
      </c>
    </row>
    <row r="5739" spans="1:4" x14ac:dyDescent="0.2">
      <c r="A5739" s="5">
        <v>5678</v>
      </c>
      <c r="B5739" s="138">
        <f ca="1">'Revenues 9-14'!G112</f>
        <v>0</v>
      </c>
      <c r="D5739" s="2" t="str">
        <f t="shared" ca="1" si="88"/>
        <v>Error?</v>
      </c>
    </row>
    <row r="5740" spans="1:4" x14ac:dyDescent="0.2">
      <c r="A5740" s="5">
        <v>5679</v>
      </c>
      <c r="B5740" s="138">
        <f ca="1">'Revenues 9-14'!G113</f>
        <v>0</v>
      </c>
      <c r="D5740" s="2" t="str">
        <f t="shared" ca="1" si="88"/>
        <v>Error?</v>
      </c>
    </row>
    <row r="5741" spans="1:4" x14ac:dyDescent="0.2">
      <c r="A5741" s="5">
        <v>5680</v>
      </c>
      <c r="B5741" s="138">
        <f ca="1">'Revenues 9-14'!G114</f>
        <v>0</v>
      </c>
      <c r="C5741" s="2" t="s">
        <v>573</v>
      </c>
      <c r="D5741" s="2" t="str">
        <f t="shared" ca="1" si="88"/>
        <v>Error?</v>
      </c>
    </row>
    <row r="5742" spans="1:4" x14ac:dyDescent="0.2">
      <c r="A5742" s="5">
        <v>5681</v>
      </c>
      <c r="B5742" s="138">
        <f ca="1">'Revenues 9-14'!G117</f>
        <v>0</v>
      </c>
      <c r="D5742" s="2" t="str">
        <f t="shared" ca="1" si="88"/>
        <v>Error?</v>
      </c>
    </row>
    <row r="5743" spans="1:4" x14ac:dyDescent="0.2">
      <c r="A5743" s="5">
        <v>5682</v>
      </c>
      <c r="B5743" s="138">
        <f ca="1">'Revenues 9-14'!G119</f>
        <v>0</v>
      </c>
      <c r="D5743" s="2" t="str">
        <f t="shared" ca="1"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 ca="1">'Revenues 9-14'!G122</f>
        <v>0</v>
      </c>
      <c r="C5748" s="2" t="s">
        <v>573</v>
      </c>
      <c r="D5748" s="2" t="str">
        <f t="shared" ca="1" si="88"/>
        <v>Error?</v>
      </c>
    </row>
    <row r="5749" spans="1:4" x14ac:dyDescent="0.2">
      <c r="A5749" s="5">
        <v>5688</v>
      </c>
      <c r="B5749" s="138">
        <f ca="1">'Revenues 9-14'!G134</f>
        <v>0</v>
      </c>
      <c r="D5749" s="2" t="str">
        <f t="shared" ca="1"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 ca="1">'Revenues 9-14'!G141</f>
        <v>0</v>
      </c>
      <c r="C5752" s="2" t="s">
        <v>573</v>
      </c>
      <c r="D5752" s="2" t="str">
        <f t="shared" ca="1" si="88"/>
        <v>Error?</v>
      </c>
    </row>
    <row r="5753" spans="1:4" x14ac:dyDescent="0.2">
      <c r="A5753" s="10">
        <v>5692</v>
      </c>
      <c r="D5753" s="2" t="str">
        <f t="shared" si="88"/>
        <v>OK</v>
      </c>
    </row>
    <row r="5754" spans="1:4" x14ac:dyDescent="0.2">
      <c r="A5754" s="5">
        <v>5693</v>
      </c>
      <c r="B5754" s="138">
        <f ca="1">'Revenues 9-14'!G143</f>
        <v>0</v>
      </c>
      <c r="D5754" s="2" t="str">
        <f t="shared" ca="1" si="88"/>
        <v>Error?</v>
      </c>
    </row>
    <row r="5755" spans="1:4" x14ac:dyDescent="0.2">
      <c r="A5755" s="5">
        <v>5694</v>
      </c>
      <c r="B5755" s="138">
        <f ca="1">'Revenues 9-14'!G144</f>
        <v>0</v>
      </c>
      <c r="D5755" s="2" t="str">
        <f t="shared" ca="1" si="88"/>
        <v>Error?</v>
      </c>
    </row>
    <row r="5756" spans="1:4" x14ac:dyDescent="0.2">
      <c r="A5756" s="5">
        <v>5695</v>
      </c>
      <c r="B5756" s="138">
        <f ca="1">'Revenues 9-14'!G145</f>
        <v>0</v>
      </c>
      <c r="C5756" s="2" t="s">
        <v>573</v>
      </c>
      <c r="D5756" s="2" t="str">
        <f t="shared" ca="1" si="88"/>
        <v>Error?</v>
      </c>
    </row>
    <row r="5757" spans="1:4" x14ac:dyDescent="0.2">
      <c r="A5757" s="5">
        <v>5696</v>
      </c>
      <c r="B5757" s="138">
        <f ca="1">'Revenues 9-14'!G157</f>
        <v>0</v>
      </c>
      <c r="D5757" s="2" t="str">
        <f t="shared" ca="1"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 ca="1">'Revenues 9-14'!G158</f>
        <v>0</v>
      </c>
      <c r="D5763" s="2" t="str">
        <f t="shared" ca="1" si="89"/>
        <v>Error?</v>
      </c>
    </row>
    <row r="5764" spans="1:5" x14ac:dyDescent="0.2">
      <c r="A5764" s="10">
        <v>5703</v>
      </c>
      <c r="D5764" s="2" t="str">
        <f t="shared" si="89"/>
        <v>OK</v>
      </c>
    </row>
    <row r="5765" spans="1:5" x14ac:dyDescent="0.2">
      <c r="A5765" s="5">
        <v>5704</v>
      </c>
      <c r="B5765" s="138">
        <f ca="1">'Revenues 9-14'!G159</f>
        <v>0</v>
      </c>
      <c r="D5765" s="2" t="str">
        <f t="shared" ca="1" si="89"/>
        <v>Error?</v>
      </c>
    </row>
    <row r="5766" spans="1:5" x14ac:dyDescent="0.2">
      <c r="A5766" s="10">
        <v>5705</v>
      </c>
      <c r="D5766" s="2" t="str">
        <f t="shared" si="89"/>
        <v>OK</v>
      </c>
    </row>
    <row r="5767" spans="1:5" x14ac:dyDescent="0.2">
      <c r="A5767" s="10">
        <v>5706</v>
      </c>
      <c r="D5767" s="2" t="str">
        <f t="shared" si="89"/>
        <v>OK</v>
      </c>
      <c r="E5767" s="4" t="s">
        <v>1939</v>
      </c>
    </row>
    <row r="5768" spans="1:5" x14ac:dyDescent="0.2">
      <c r="A5768" s="10">
        <v>5707</v>
      </c>
      <c r="D5768" s="2" t="str">
        <f t="shared" si="89"/>
        <v>OK</v>
      </c>
      <c r="E5768" s="4" t="s">
        <v>1939</v>
      </c>
    </row>
    <row r="5769" spans="1:5" x14ac:dyDescent="0.2">
      <c r="A5769" s="10">
        <v>5708</v>
      </c>
      <c r="D5769" s="2" t="str">
        <f t="shared" si="89"/>
        <v>OK</v>
      </c>
    </row>
    <row r="5770" spans="1:5" x14ac:dyDescent="0.2">
      <c r="A5770" s="5">
        <v>5709</v>
      </c>
      <c r="B5770" s="138">
        <f ca="1">'Revenues 9-14'!G169</f>
        <v>0</v>
      </c>
      <c r="C5770" s="2" t="s">
        <v>573</v>
      </c>
      <c r="D5770" s="2" t="str">
        <f t="shared" ca="1"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 ca="1">'Revenues 9-14'!G170</f>
        <v>0</v>
      </c>
      <c r="C5778" s="2" t="s">
        <v>573</v>
      </c>
      <c r="D5778" s="2" t="str">
        <f t="shared" ca="1" si="89"/>
        <v>Error?</v>
      </c>
    </row>
    <row r="5779" spans="1:4" x14ac:dyDescent="0.2">
      <c r="A5779" s="5">
        <v>5718</v>
      </c>
      <c r="B5779" s="138">
        <f ca="1">'Revenues 9-14'!G173</f>
        <v>0</v>
      </c>
      <c r="D5779" s="2" t="str">
        <f t="shared" ca="1" si="89"/>
        <v>Error?</v>
      </c>
    </row>
    <row r="5780" spans="1:4" x14ac:dyDescent="0.2">
      <c r="A5780" s="5">
        <v>5719</v>
      </c>
      <c r="B5780" s="138">
        <f ca="1">'Revenues 9-14'!G175</f>
        <v>0</v>
      </c>
      <c r="C5780" s="2" t="s">
        <v>573</v>
      </c>
      <c r="D5780" s="2" t="str">
        <f t="shared" ca="1"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 ca="1">'Revenues 9-14'!G181</f>
        <v>0</v>
      </c>
      <c r="C5784" s="2" t="s">
        <v>573</v>
      </c>
      <c r="D5784" s="2" t="str">
        <f t="shared" ca="1" si="89"/>
        <v>Error?</v>
      </c>
    </row>
    <row r="5785" spans="1:4" x14ac:dyDescent="0.2">
      <c r="A5785" s="5">
        <v>5724</v>
      </c>
      <c r="B5785" s="138">
        <f ca="1">'Revenues 9-14'!G184</f>
        <v>0</v>
      </c>
      <c r="D5785" s="2" t="str">
        <f t="shared" ca="1"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 ca="1">'Revenues 9-14'!G200</f>
        <v>0</v>
      </c>
      <c r="D5790" s="2" t="str">
        <f t="shared" ca="1" si="89"/>
        <v>Error?</v>
      </c>
    </row>
    <row r="5791" spans="1:4" x14ac:dyDescent="0.2">
      <c r="A5791" s="5">
        <v>5730</v>
      </c>
      <c r="B5791" s="138">
        <f ca="1">'Revenues 9-14'!G201</f>
        <v>0</v>
      </c>
      <c r="D5791" s="2" t="str">
        <f t="shared" ca="1"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1939</v>
      </c>
    </row>
    <row r="5798" spans="1:5" x14ac:dyDescent="0.2">
      <c r="A5798" s="5">
        <v>5737</v>
      </c>
      <c r="B5798" s="138">
        <f ca="1">'Revenues 9-14'!G202</f>
        <v>0</v>
      </c>
      <c r="D5798" s="2" t="str">
        <f t="shared" ca="1" si="89"/>
        <v>Error?</v>
      </c>
    </row>
    <row r="5799" spans="1:5" x14ac:dyDescent="0.2">
      <c r="A5799" s="5">
        <v>5738</v>
      </c>
      <c r="B5799" s="138">
        <f ca="1">'Revenues 9-14'!G206</f>
        <v>0</v>
      </c>
      <c r="D5799" s="2" t="str">
        <f t="shared" ca="1"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 ca="1">'Revenues 9-14'!G204</f>
        <v>0</v>
      </c>
      <c r="C5803" s="2" t="s">
        <v>573</v>
      </c>
      <c r="D5803" s="2" t="str">
        <f t="shared" ca="1"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 ca="1">'Revenues 9-14'!G211</f>
        <v>0</v>
      </c>
      <c r="D5817" s="2" t="str">
        <f t="shared" ca="1" si="89"/>
        <v>Error?</v>
      </c>
    </row>
    <row r="5818" spans="1:4" x14ac:dyDescent="0.2">
      <c r="A5818" s="5">
        <v>5757</v>
      </c>
      <c r="B5818" s="138">
        <f ca="1">'Revenues 9-14'!G212</f>
        <v>0</v>
      </c>
      <c r="D5818" s="2" t="str">
        <f t="shared" ca="1"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 ca="1">'Revenues 9-14'!G213</f>
        <v>0</v>
      </c>
      <c r="D5821" s="2" t="str">
        <f t="shared" ca="1" si="89"/>
        <v>Error?</v>
      </c>
    </row>
    <row r="5822" spans="1:4" x14ac:dyDescent="0.2">
      <c r="A5822" s="5">
        <v>5761</v>
      </c>
      <c r="B5822" s="138">
        <f ca="1">'Revenues 9-14'!G214</f>
        <v>0</v>
      </c>
      <c r="D5822" s="2" t="str">
        <f t="shared" ca="1" si="89"/>
        <v>Error?</v>
      </c>
    </row>
    <row r="5823" spans="1:4" x14ac:dyDescent="0.2">
      <c r="A5823" s="5">
        <v>5762</v>
      </c>
      <c r="B5823" s="138">
        <f ca="1">'Revenues 9-14'!G215</f>
        <v>0</v>
      </c>
      <c r="D5823" s="2" t="str">
        <f t="shared" ref="D5823:D5886" ca="1"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 ca="1">'Revenues 9-14'!G217</f>
        <v>0</v>
      </c>
      <c r="C5829" s="2" t="s">
        <v>573</v>
      </c>
      <c r="D5829" s="2" t="str">
        <f t="shared" ca="1"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 ca="1">'Revenues 9-14'!G219</f>
        <v>0</v>
      </c>
      <c r="D5844" s="2" t="str">
        <f t="shared" ca="1"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 ca="1">'Revenues 9-14'!G221</f>
        <v>0</v>
      </c>
      <c r="C5847" s="2" t="s">
        <v>573</v>
      </c>
      <c r="D5847" s="2" t="str">
        <f t="shared" ca="1"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 ca="1">'Revenues 9-14'!G222</f>
        <v>0</v>
      </c>
      <c r="D5853" s="2" t="str">
        <f t="shared" ca="1" si="90"/>
        <v>Error?</v>
      </c>
    </row>
    <row r="5854" spans="1:5" x14ac:dyDescent="0.2">
      <c r="A5854" s="10">
        <v>5793</v>
      </c>
      <c r="D5854" s="2" t="str">
        <f t="shared" si="90"/>
        <v>OK</v>
      </c>
    </row>
    <row r="5855" spans="1:5" x14ac:dyDescent="0.2">
      <c r="A5855" s="5">
        <v>5794</v>
      </c>
      <c r="B5855" s="138">
        <f ca="1">'Revenues 9-14'!G255</f>
        <v>0</v>
      </c>
      <c r="D5855" s="2" t="str">
        <f t="shared" ca="1" si="90"/>
        <v>Error?</v>
      </c>
    </row>
    <row r="5856" spans="1:5" x14ac:dyDescent="0.2">
      <c r="A5856" s="10">
        <v>5795</v>
      </c>
      <c r="D5856" s="2" t="str">
        <f t="shared" si="90"/>
        <v>OK</v>
      </c>
      <c r="E5856" s="4" t="s">
        <v>1939</v>
      </c>
    </row>
    <row r="5857" spans="1:4" x14ac:dyDescent="0.2">
      <c r="A5857" s="10">
        <v>5796</v>
      </c>
      <c r="D5857" s="2" t="str">
        <f t="shared" si="90"/>
        <v>OK</v>
      </c>
    </row>
    <row r="5858" spans="1:4" x14ac:dyDescent="0.2">
      <c r="A5858" s="5">
        <v>5797</v>
      </c>
      <c r="B5858" s="138">
        <f ca="1">'Revenues 9-14'!G257</f>
        <v>0</v>
      </c>
      <c r="D5858" s="2" t="str">
        <f t="shared" ca="1" si="90"/>
        <v>Error?</v>
      </c>
    </row>
    <row r="5859" spans="1:4" x14ac:dyDescent="0.2">
      <c r="A5859" s="10">
        <v>5798</v>
      </c>
      <c r="D5859" s="2" t="str">
        <f t="shared" si="90"/>
        <v>OK</v>
      </c>
    </row>
    <row r="5860" spans="1:4" x14ac:dyDescent="0.2">
      <c r="A5860" s="5">
        <v>5799</v>
      </c>
      <c r="B5860" s="138">
        <f ca="1">'Revenues 9-14'!G258</f>
        <v>0</v>
      </c>
      <c r="D5860" s="2" t="str">
        <f t="shared" ca="1"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 ca="1">'Revenues 9-14'!G266</f>
        <v>0</v>
      </c>
      <c r="C5863" s="2" t="s">
        <v>573</v>
      </c>
      <c r="D5863" s="2" t="str">
        <f t="shared" ca="1"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 ca="1">'Revenues 9-14'!G267</f>
        <v>0</v>
      </c>
      <c r="C5869" s="2" t="s">
        <v>573</v>
      </c>
      <c r="D5869" s="2" t="str">
        <f t="shared" ca="1" si="90"/>
        <v>Error?</v>
      </c>
    </row>
    <row r="5870" spans="1:4" x14ac:dyDescent="0.2">
      <c r="A5870" s="5">
        <v>5809</v>
      </c>
      <c r="B5870" s="138">
        <f ca="1">'Revenues 9-14'!G268</f>
        <v>17784</v>
      </c>
      <c r="C5870" s="2" t="s">
        <v>573</v>
      </c>
      <c r="D5870" s="2" t="str">
        <f t="shared" ca="1" si="90"/>
        <v>Error?</v>
      </c>
    </row>
    <row r="5871" spans="1:4" x14ac:dyDescent="0.2">
      <c r="A5871" s="5">
        <v>5810</v>
      </c>
      <c r="B5871" s="138">
        <f ca="1">'Revenues 9-14'!H5</f>
        <v>0</v>
      </c>
      <c r="D5871" s="2" t="str">
        <f t="shared" ca="1" si="90"/>
        <v>Error?</v>
      </c>
    </row>
    <row r="5872" spans="1:4" x14ac:dyDescent="0.2">
      <c r="A5872" s="5">
        <v>5811</v>
      </c>
      <c r="B5872" s="138">
        <f ca="1">'Revenues 9-14'!H11</f>
        <v>0</v>
      </c>
      <c r="D5872" s="2" t="str">
        <f t="shared" ca="1" si="90"/>
        <v>Error?</v>
      </c>
    </row>
    <row r="5873" spans="1:4" x14ac:dyDescent="0.2">
      <c r="A5873" s="5">
        <v>5812</v>
      </c>
      <c r="B5873" s="138">
        <f ca="1">'Revenues 9-14'!H12</f>
        <v>0</v>
      </c>
      <c r="C5873" s="2" t="s">
        <v>573</v>
      </c>
      <c r="D5873" s="2" t="str">
        <f t="shared" ca="1" si="90"/>
        <v>Error?</v>
      </c>
    </row>
    <row r="5874" spans="1:4" x14ac:dyDescent="0.2">
      <c r="A5874" s="5">
        <v>5813</v>
      </c>
      <c r="B5874" s="138">
        <f ca="1">'Revenues 9-14'!H14</f>
        <v>0</v>
      </c>
      <c r="D5874" s="2" t="str">
        <f t="shared" ca="1" si="90"/>
        <v>Error?</v>
      </c>
    </row>
    <row r="5875" spans="1:4" x14ac:dyDescent="0.2">
      <c r="A5875" s="5">
        <v>5814</v>
      </c>
      <c r="B5875" s="138">
        <f ca="1">'Revenues 9-14'!H15</f>
        <v>0</v>
      </c>
      <c r="D5875" s="2" t="str">
        <f t="shared" ca="1" si="90"/>
        <v>Error?</v>
      </c>
    </row>
    <row r="5876" spans="1:4" x14ac:dyDescent="0.2">
      <c r="A5876" s="5">
        <v>5815</v>
      </c>
      <c r="B5876" s="138">
        <f ca="1">'Revenues 9-14'!H16</f>
        <v>0</v>
      </c>
      <c r="D5876" s="2" t="str">
        <f t="shared" ca="1" si="90"/>
        <v>Error?</v>
      </c>
    </row>
    <row r="5877" spans="1:4" x14ac:dyDescent="0.2">
      <c r="A5877" s="5">
        <v>5816</v>
      </c>
      <c r="B5877" s="138">
        <f ca="1">'Revenues 9-14'!H17</f>
        <v>0</v>
      </c>
      <c r="D5877" s="2" t="str">
        <f t="shared" ca="1" si="90"/>
        <v>Error?</v>
      </c>
    </row>
    <row r="5878" spans="1:4" x14ac:dyDescent="0.2">
      <c r="A5878" s="5">
        <v>5817</v>
      </c>
      <c r="B5878" s="138">
        <f ca="1">'Revenues 9-14'!H18</f>
        <v>0</v>
      </c>
      <c r="C5878" s="2" t="s">
        <v>573</v>
      </c>
      <c r="D5878" s="2" t="str">
        <f t="shared" ca="1" si="90"/>
        <v>Error?</v>
      </c>
    </row>
    <row r="5879" spans="1:4" x14ac:dyDescent="0.2">
      <c r="A5879" s="5">
        <v>5818</v>
      </c>
      <c r="B5879" s="138">
        <f ca="1">'Revenues 9-14'!H65</f>
        <v>0</v>
      </c>
      <c r="D5879" s="2" t="str">
        <f t="shared" ca="1" si="90"/>
        <v>Error?</v>
      </c>
    </row>
    <row r="5880" spans="1:4" x14ac:dyDescent="0.2">
      <c r="A5880" s="5">
        <v>5819</v>
      </c>
      <c r="B5880" s="138">
        <f ca="1">'Revenues 9-14'!H66</f>
        <v>0</v>
      </c>
      <c r="D5880" s="2" t="str">
        <f t="shared" ca="1" si="90"/>
        <v>Error?</v>
      </c>
    </row>
    <row r="5881" spans="1:4" x14ac:dyDescent="0.2">
      <c r="A5881" s="5">
        <v>5820</v>
      </c>
      <c r="B5881" s="138">
        <f ca="1">'Revenues 9-14'!H67</f>
        <v>0</v>
      </c>
      <c r="C5881" s="2" t="s">
        <v>573</v>
      </c>
      <c r="D5881" s="2" t="str">
        <f t="shared" ca="1" si="90"/>
        <v>Error?</v>
      </c>
    </row>
    <row r="5882" spans="1:4" x14ac:dyDescent="0.2">
      <c r="A5882" s="5">
        <v>5821</v>
      </c>
      <c r="B5882" s="138">
        <f ca="1">'Revenues 9-14'!H96</f>
        <v>0</v>
      </c>
      <c r="D5882" s="2" t="str">
        <f t="shared" ca="1" si="90"/>
        <v>Error?</v>
      </c>
    </row>
    <row r="5883" spans="1:4" x14ac:dyDescent="0.2">
      <c r="A5883" s="5">
        <v>5822</v>
      </c>
      <c r="B5883" s="138">
        <f ca="1">'Revenues 9-14'!H99</f>
        <v>0</v>
      </c>
      <c r="D5883" s="2" t="str">
        <f t="shared" ca="1" si="90"/>
        <v>Error?</v>
      </c>
    </row>
    <row r="5884" spans="1:4" x14ac:dyDescent="0.2">
      <c r="A5884" s="5">
        <v>5823</v>
      </c>
      <c r="B5884" s="138">
        <f ca="1">'Revenues 9-14'!H104</f>
        <v>0</v>
      </c>
      <c r="D5884" s="2" t="str">
        <f t="shared" ca="1" si="90"/>
        <v>Error?</v>
      </c>
    </row>
    <row r="5885" spans="1:4" x14ac:dyDescent="0.2">
      <c r="A5885" s="5">
        <v>5824</v>
      </c>
      <c r="B5885" s="138">
        <f ca="1">'Revenues 9-14'!H107</f>
        <v>0</v>
      </c>
      <c r="D5885" s="2" t="str">
        <f t="shared" ca="1" si="90"/>
        <v>Error?</v>
      </c>
    </row>
    <row r="5886" spans="1:4" x14ac:dyDescent="0.2">
      <c r="A5886" s="5">
        <v>5825</v>
      </c>
      <c r="B5886" s="138">
        <f ca="1">'Revenues 9-14'!H108</f>
        <v>0</v>
      </c>
      <c r="C5886" s="2" t="s">
        <v>573</v>
      </c>
      <c r="D5886" s="2" t="str">
        <f t="shared" ca="1" si="90"/>
        <v>Error?</v>
      </c>
    </row>
    <row r="5887" spans="1:4" x14ac:dyDescent="0.2">
      <c r="A5887" s="5">
        <v>5826</v>
      </c>
      <c r="B5887" s="138">
        <f ca="1">'Revenues 9-14'!H117</f>
        <v>0</v>
      </c>
      <c r="D5887" s="2" t="str">
        <f t="shared" ref="D5887:D5950" ca="1" si="91">IF(ISBLANK(B5887),"OK",IF(A5887-B5887=0,"OK","Error?"))</f>
        <v>Error?</v>
      </c>
    </row>
    <row r="5888" spans="1:4" x14ac:dyDescent="0.2">
      <c r="A5888" s="5">
        <v>5827</v>
      </c>
      <c r="B5888" s="138">
        <f ca="1">'Revenues 9-14'!H119</f>
        <v>0</v>
      </c>
      <c r="D5888" s="2" t="str">
        <f t="shared" ca="1"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 ca="1">'Revenues 9-14'!H122</f>
        <v>0</v>
      </c>
      <c r="C5893" s="2" t="s">
        <v>573</v>
      </c>
      <c r="D5893" s="2" t="str">
        <f t="shared" ca="1"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 ca="1">'Revenues 9-14'!H169</f>
        <v>53964</v>
      </c>
      <c r="C5899" s="2" t="s">
        <v>573</v>
      </c>
      <c r="D5899" s="2" t="str">
        <f t="shared" ca="1"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 ca="1">'Revenues 9-14'!H170</f>
        <v>53964</v>
      </c>
      <c r="C5906" s="2" t="s">
        <v>573</v>
      </c>
      <c r="D5906" s="2" t="str">
        <f t="shared" ca="1" si="91"/>
        <v>Error?</v>
      </c>
    </row>
    <row r="5907" spans="1:4" x14ac:dyDescent="0.2">
      <c r="A5907" s="5">
        <v>5846</v>
      </c>
      <c r="B5907" s="138">
        <f ca="1">'Revenues 9-14'!H178</f>
        <v>0</v>
      </c>
      <c r="D5907" s="2" t="str">
        <f t="shared" ca="1" si="91"/>
        <v>Error?</v>
      </c>
    </row>
    <row r="5908" spans="1:4" x14ac:dyDescent="0.2">
      <c r="A5908" s="5">
        <v>5847</v>
      </c>
      <c r="B5908" s="138">
        <f ca="1">'Revenues 9-14'!H181</f>
        <v>0</v>
      </c>
      <c r="C5908" s="2" t="s">
        <v>573</v>
      </c>
      <c r="D5908" s="2" t="str">
        <f t="shared" ca="1"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 ca="1">'Revenues 9-14'!H267</f>
        <v>0</v>
      </c>
      <c r="C5914" s="2" t="s">
        <v>573</v>
      </c>
      <c r="D5914" s="2" t="str">
        <f t="shared" ca="1" si="91"/>
        <v>Error?</v>
      </c>
    </row>
    <row r="5915" spans="1:4" x14ac:dyDescent="0.2">
      <c r="A5915" s="5">
        <v>5854</v>
      </c>
      <c r="B5915" s="138">
        <f ca="1">'Revenues 9-14'!H268</f>
        <v>53964</v>
      </c>
      <c r="C5915" s="2" t="s">
        <v>573</v>
      </c>
      <c r="D5915" s="2" t="str">
        <f t="shared" ca="1" si="91"/>
        <v>Error?</v>
      </c>
    </row>
    <row r="5916" spans="1:4" x14ac:dyDescent="0.2">
      <c r="A5916" s="5">
        <v>5855</v>
      </c>
      <c r="B5916" s="138">
        <f ca="1">'Revenues 9-14'!I5</f>
        <v>11244</v>
      </c>
      <c r="D5916" s="2" t="str">
        <f t="shared" ca="1" si="91"/>
        <v>Error?</v>
      </c>
    </row>
    <row r="5917" spans="1:4" x14ac:dyDescent="0.2">
      <c r="A5917" s="5">
        <v>5856</v>
      </c>
      <c r="B5917" s="138">
        <f ca="1">'Revenues 9-14'!I11</f>
        <v>0</v>
      </c>
      <c r="D5917" s="2" t="str">
        <f t="shared" ca="1" si="91"/>
        <v>Error?</v>
      </c>
    </row>
    <row r="5918" spans="1:4" x14ac:dyDescent="0.2">
      <c r="A5918" s="5">
        <v>5857</v>
      </c>
      <c r="B5918" s="138">
        <f ca="1">'Revenues 9-14'!I12</f>
        <v>11244</v>
      </c>
      <c r="C5918" s="2" t="s">
        <v>573</v>
      </c>
      <c r="D5918" s="2" t="str">
        <f t="shared" ca="1" si="91"/>
        <v>Error?</v>
      </c>
    </row>
    <row r="5919" spans="1:4" x14ac:dyDescent="0.2">
      <c r="A5919" s="5">
        <v>5858</v>
      </c>
      <c r="B5919" s="138">
        <f ca="1">'Revenues 9-14'!I14</f>
        <v>0</v>
      </c>
      <c r="D5919" s="2" t="str">
        <f t="shared" ca="1" si="91"/>
        <v>Error?</v>
      </c>
    </row>
    <row r="5920" spans="1:4" x14ac:dyDescent="0.2">
      <c r="A5920" s="5">
        <v>5859</v>
      </c>
      <c r="B5920" s="138">
        <f ca="1">'Revenues 9-14'!I15</f>
        <v>0</v>
      </c>
      <c r="D5920" s="2" t="str">
        <f t="shared" ca="1" si="91"/>
        <v>Error?</v>
      </c>
    </row>
    <row r="5921" spans="1:4" x14ac:dyDescent="0.2">
      <c r="A5921" s="5">
        <v>5860</v>
      </c>
      <c r="B5921" s="138">
        <f ca="1">'Revenues 9-14'!I16</f>
        <v>0</v>
      </c>
      <c r="D5921" s="2" t="str">
        <f t="shared" ca="1" si="91"/>
        <v>Error?</v>
      </c>
    </row>
    <row r="5922" spans="1:4" x14ac:dyDescent="0.2">
      <c r="A5922" s="5">
        <v>5861</v>
      </c>
      <c r="B5922" s="138">
        <f ca="1">'Revenues 9-14'!I17</f>
        <v>0</v>
      </c>
      <c r="D5922" s="2" t="str">
        <f t="shared" ca="1" si="91"/>
        <v>Error?</v>
      </c>
    </row>
    <row r="5923" spans="1:4" x14ac:dyDescent="0.2">
      <c r="A5923" s="5">
        <v>5862</v>
      </c>
      <c r="B5923" s="138">
        <f ca="1">'Revenues 9-14'!I18</f>
        <v>0</v>
      </c>
      <c r="C5923" s="2" t="s">
        <v>573</v>
      </c>
      <c r="D5923" s="2" t="str">
        <f t="shared" ca="1" si="91"/>
        <v>Error?</v>
      </c>
    </row>
    <row r="5924" spans="1:4" x14ac:dyDescent="0.2">
      <c r="A5924" s="5">
        <v>5863</v>
      </c>
      <c r="B5924" s="138">
        <f ca="1">'Revenues 9-14'!I65</f>
        <v>251</v>
      </c>
      <c r="D5924" s="2" t="str">
        <f t="shared" ca="1" si="91"/>
        <v>Error?</v>
      </c>
    </row>
    <row r="5925" spans="1:4" x14ac:dyDescent="0.2">
      <c r="A5925" s="5">
        <v>5864</v>
      </c>
      <c r="B5925" s="138">
        <f ca="1">'Revenues 9-14'!I66</f>
        <v>0</v>
      </c>
      <c r="D5925" s="2" t="str">
        <f t="shared" ca="1" si="91"/>
        <v>Error?</v>
      </c>
    </row>
    <row r="5926" spans="1:4" x14ac:dyDescent="0.2">
      <c r="A5926" s="5">
        <v>5865</v>
      </c>
      <c r="B5926" s="138">
        <f ca="1">'Revenues 9-14'!I67</f>
        <v>251</v>
      </c>
      <c r="C5926" s="2" t="s">
        <v>573</v>
      </c>
      <c r="D5926" s="2" t="str">
        <f t="shared" ca="1" si="91"/>
        <v>Error?</v>
      </c>
    </row>
    <row r="5927" spans="1:4" x14ac:dyDescent="0.2">
      <c r="A5927" s="5">
        <v>5866</v>
      </c>
      <c r="B5927" s="138">
        <f ca="1">'Revenues 9-14'!I96</f>
        <v>0</v>
      </c>
      <c r="D5927" s="2" t="str">
        <f t="shared" ca="1" si="91"/>
        <v>Error?</v>
      </c>
    </row>
    <row r="5928" spans="1:4" x14ac:dyDescent="0.2">
      <c r="A5928" s="10">
        <v>5867</v>
      </c>
      <c r="D5928" s="2" t="str">
        <f t="shared" si="91"/>
        <v>OK</v>
      </c>
    </row>
    <row r="5929" spans="1:4" x14ac:dyDescent="0.2">
      <c r="A5929" s="5">
        <v>5868</v>
      </c>
      <c r="B5929" s="138">
        <f ca="1">'Revenues 9-14'!I107</f>
        <v>0</v>
      </c>
      <c r="D5929" s="2" t="str">
        <f t="shared" ca="1" si="91"/>
        <v>Error?</v>
      </c>
    </row>
    <row r="5930" spans="1:4" x14ac:dyDescent="0.2">
      <c r="A5930" s="5">
        <v>5869</v>
      </c>
      <c r="B5930" s="138">
        <f ca="1">'Revenues 9-14'!I108</f>
        <v>0</v>
      </c>
      <c r="C5930" s="2" t="s">
        <v>573</v>
      </c>
      <c r="D5930" s="2" t="str">
        <f t="shared" ca="1"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 ca="1">'Revenues 9-14'!I268</f>
        <v>11495</v>
      </c>
      <c r="C5946" s="2" t="s">
        <v>573</v>
      </c>
      <c r="D5946" s="2" t="str">
        <f t="shared" ca="1"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 ca="1">'Revenues 9-14'!K5</f>
        <v>0</v>
      </c>
      <c r="D5985" s="2" t="str">
        <f t="shared" ca="1" si="92"/>
        <v>Error?</v>
      </c>
    </row>
    <row r="5986" spans="1:4" x14ac:dyDescent="0.2">
      <c r="A5986" s="5">
        <v>5925</v>
      </c>
      <c r="B5986" s="138">
        <f ca="1">'Revenues 9-14'!K11</f>
        <v>0</v>
      </c>
      <c r="D5986" s="2" t="str">
        <f t="shared" ca="1" si="92"/>
        <v>Error?</v>
      </c>
    </row>
    <row r="5987" spans="1:4" x14ac:dyDescent="0.2">
      <c r="A5987" s="5">
        <v>5926</v>
      </c>
      <c r="B5987" s="138">
        <f ca="1">'Revenues 9-14'!K12</f>
        <v>0</v>
      </c>
      <c r="C5987" s="2" t="s">
        <v>573</v>
      </c>
      <c r="D5987" s="2" t="str">
        <f t="shared" ca="1" si="92"/>
        <v>Error?</v>
      </c>
    </row>
    <row r="5988" spans="1:4" x14ac:dyDescent="0.2">
      <c r="A5988" s="5">
        <v>5927</v>
      </c>
      <c r="B5988" s="138">
        <f ca="1">'Revenues 9-14'!K14</f>
        <v>0</v>
      </c>
      <c r="D5988" s="2" t="str">
        <f t="shared" ca="1" si="92"/>
        <v>Error?</v>
      </c>
    </row>
    <row r="5989" spans="1:4" x14ac:dyDescent="0.2">
      <c r="A5989" s="5">
        <v>5928</v>
      </c>
      <c r="B5989" s="138">
        <f ca="1">'Revenues 9-14'!K15</f>
        <v>0</v>
      </c>
      <c r="D5989" s="2" t="str">
        <f t="shared" ca="1" si="92"/>
        <v>Error?</v>
      </c>
    </row>
    <row r="5990" spans="1:4" x14ac:dyDescent="0.2">
      <c r="A5990" s="5">
        <v>5929</v>
      </c>
      <c r="B5990" s="138">
        <f ca="1">'Revenues 9-14'!K16</f>
        <v>0</v>
      </c>
      <c r="D5990" s="2" t="str">
        <f t="shared" ca="1" si="92"/>
        <v>Error?</v>
      </c>
    </row>
    <row r="5991" spans="1:4" x14ac:dyDescent="0.2">
      <c r="A5991" s="5">
        <v>5930</v>
      </c>
      <c r="B5991" s="138">
        <f ca="1">'Revenues 9-14'!K17</f>
        <v>0</v>
      </c>
      <c r="D5991" s="2" t="str">
        <f t="shared" ca="1" si="92"/>
        <v>Error?</v>
      </c>
    </row>
    <row r="5992" spans="1:4" x14ac:dyDescent="0.2">
      <c r="A5992" s="5">
        <v>5931</v>
      </c>
      <c r="B5992" s="138">
        <f ca="1">'Revenues 9-14'!K18</f>
        <v>0</v>
      </c>
      <c r="C5992" s="2" t="s">
        <v>573</v>
      </c>
      <c r="D5992" s="2" t="str">
        <f t="shared" ca="1" si="92"/>
        <v>Error?</v>
      </c>
    </row>
    <row r="5993" spans="1:4" x14ac:dyDescent="0.2">
      <c r="A5993" s="5">
        <v>5932</v>
      </c>
      <c r="B5993" s="138">
        <f ca="1">'Revenues 9-14'!K65</f>
        <v>0</v>
      </c>
      <c r="D5993" s="2" t="str">
        <f t="shared" ca="1" si="92"/>
        <v>Error?</v>
      </c>
    </row>
    <row r="5994" spans="1:4" x14ac:dyDescent="0.2">
      <c r="A5994" s="5">
        <v>5933</v>
      </c>
      <c r="B5994" s="138">
        <f ca="1">'Revenues 9-14'!K66</f>
        <v>0</v>
      </c>
      <c r="D5994" s="2" t="str">
        <f t="shared" ca="1" si="92"/>
        <v>Error?</v>
      </c>
    </row>
    <row r="5995" spans="1:4" x14ac:dyDescent="0.2">
      <c r="A5995" s="5">
        <v>5934</v>
      </c>
      <c r="B5995" s="138">
        <f ca="1">'Revenues 9-14'!K67</f>
        <v>0</v>
      </c>
      <c r="C5995" s="2" t="s">
        <v>573</v>
      </c>
      <c r="D5995" s="2" t="str">
        <f t="shared" ca="1" si="92"/>
        <v>Error?</v>
      </c>
    </row>
    <row r="5996" spans="1:4" x14ac:dyDescent="0.2">
      <c r="A5996" s="5">
        <v>5935</v>
      </c>
      <c r="B5996" s="138">
        <f ca="1">'Revenues 9-14'!K96</f>
        <v>0</v>
      </c>
      <c r="D5996" s="2" t="str">
        <f t="shared" ca="1" si="92"/>
        <v>Error?</v>
      </c>
    </row>
    <row r="5997" spans="1:4" x14ac:dyDescent="0.2">
      <c r="A5997" s="5">
        <v>5936</v>
      </c>
      <c r="B5997" s="138">
        <f ca="1">'Revenues 9-14'!K99</f>
        <v>0</v>
      </c>
      <c r="D5997" s="2" t="str">
        <f t="shared" ca="1" si="92"/>
        <v>Error?</v>
      </c>
    </row>
    <row r="5998" spans="1:4" x14ac:dyDescent="0.2">
      <c r="A5998" s="5">
        <v>5937</v>
      </c>
      <c r="B5998" s="138">
        <f ca="1">'Revenues 9-14'!K107</f>
        <v>0</v>
      </c>
      <c r="D5998" s="2" t="str">
        <f t="shared" ca="1" si="92"/>
        <v>Error?</v>
      </c>
    </row>
    <row r="5999" spans="1:4" x14ac:dyDescent="0.2">
      <c r="A5999" s="5">
        <v>5938</v>
      </c>
      <c r="B5999" s="138">
        <f ca="1">'Revenues 9-14'!K108</f>
        <v>0</v>
      </c>
      <c r="C5999" s="2" t="s">
        <v>573</v>
      </c>
      <c r="D5999" s="2" t="str">
        <f t="shared" ca="1" si="92"/>
        <v>Error?</v>
      </c>
    </row>
    <row r="6000" spans="1:4" x14ac:dyDescent="0.2">
      <c r="A6000" s="5">
        <v>5939</v>
      </c>
      <c r="B6000" s="138">
        <f ca="1">'Revenues 9-14'!K117</f>
        <v>0</v>
      </c>
      <c r="D6000" s="2" t="str">
        <f t="shared" ca="1" si="92"/>
        <v>Error?</v>
      </c>
    </row>
    <row r="6001" spans="1:4" x14ac:dyDescent="0.2">
      <c r="A6001" s="5">
        <v>5940</v>
      </c>
      <c r="B6001" s="138">
        <f ca="1">'Revenues 9-14'!K119</f>
        <v>0</v>
      </c>
      <c r="D6001" s="2" t="str">
        <f t="shared" ca="1"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 ca="1">'Revenues 9-14'!K122</f>
        <v>0</v>
      </c>
      <c r="C6006" s="2" t="s">
        <v>573</v>
      </c>
      <c r="D6006" s="2" t="str">
        <f t="shared" ca="1"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 ca="1">'Revenues 9-14'!K170</f>
        <v>0</v>
      </c>
      <c r="C6014" s="2" t="s">
        <v>573</v>
      </c>
      <c r="D6014" s="2" t="str">
        <f t="shared" ca="1" si="92"/>
        <v>Error?</v>
      </c>
    </row>
    <row r="6015" spans="1:4" x14ac:dyDescent="0.2">
      <c r="A6015" s="10">
        <v>5954</v>
      </c>
      <c r="D6015" s="2" t="str">
        <f t="shared" ref="D6015:D6078" si="93">IF(ISBLANK(B6015),"OK",IF(A6015-B6015=0,"OK","Error?"))</f>
        <v>OK</v>
      </c>
    </row>
    <row r="6016" spans="1:4" x14ac:dyDescent="0.2">
      <c r="A6016" s="5">
        <v>5955</v>
      </c>
      <c r="B6016" s="138">
        <f ca="1">'Revenues 9-14'!K181</f>
        <v>0</v>
      </c>
      <c r="C6016" s="2" t="s">
        <v>573</v>
      </c>
      <c r="D6016" s="2" t="str">
        <f t="shared" ca="1"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 ca="1">'Revenues 9-14'!K267</f>
        <v>0</v>
      </c>
      <c r="C6022" s="2" t="s">
        <v>573</v>
      </c>
      <c r="D6022" s="2" t="str">
        <f t="shared" ca="1" si="93"/>
        <v>Error?</v>
      </c>
    </row>
    <row r="6023" spans="1:5" x14ac:dyDescent="0.2">
      <c r="A6023" s="5">
        <v>5962</v>
      </c>
      <c r="B6023" s="138">
        <f ca="1">'Revenues 9-14'!K268</f>
        <v>0</v>
      </c>
      <c r="C6023" s="2" t="s">
        <v>573</v>
      </c>
      <c r="D6023" s="2" t="str">
        <f t="shared" ca="1" si="93"/>
        <v>Error?</v>
      </c>
    </row>
    <row r="6024" spans="1:5" x14ac:dyDescent="0.2">
      <c r="A6024" s="5">
        <v>5963</v>
      </c>
      <c r="B6024" s="138">
        <f ca="1">'Revenues 9-14'!G109</f>
        <v>17784</v>
      </c>
      <c r="C6024" s="2" t="s">
        <v>573</v>
      </c>
      <c r="D6024" s="2" t="str">
        <f t="shared" ca="1" si="93"/>
        <v>Error?</v>
      </c>
    </row>
    <row r="6025" spans="1:5" x14ac:dyDescent="0.2">
      <c r="A6025" s="5">
        <v>5964</v>
      </c>
      <c r="B6025" s="138">
        <f ca="1">'Revenues 9-14'!H109</f>
        <v>0</v>
      </c>
      <c r="C6025" s="2" t="s">
        <v>573</v>
      </c>
      <c r="D6025" s="2" t="str">
        <f t="shared" ca="1" si="93"/>
        <v>Error?</v>
      </c>
    </row>
    <row r="6026" spans="1:5" x14ac:dyDescent="0.2">
      <c r="A6026" s="5">
        <v>5965</v>
      </c>
      <c r="B6026" s="138">
        <f ca="1">'Revenues 9-14'!I109</f>
        <v>11495</v>
      </c>
      <c r="C6026" s="2" t="s">
        <v>573</v>
      </c>
      <c r="D6026" s="2" t="str">
        <f t="shared" ca="1" si="93"/>
        <v>Error?</v>
      </c>
    </row>
    <row r="6027" spans="1:5" x14ac:dyDescent="0.2">
      <c r="A6027" s="10">
        <v>5966</v>
      </c>
      <c r="C6027" s="2" t="s">
        <v>573</v>
      </c>
      <c r="D6027" s="2" t="str">
        <f t="shared" si="93"/>
        <v>OK</v>
      </c>
    </row>
    <row r="6028" spans="1:5" x14ac:dyDescent="0.2">
      <c r="A6028" s="5">
        <v>5967</v>
      </c>
      <c r="B6028" s="138">
        <f ca="1">'Revenues 9-14'!K109</f>
        <v>0</v>
      </c>
      <c r="C6028" s="2" t="s">
        <v>573</v>
      </c>
      <c r="D6028" s="2" t="str">
        <f t="shared" ca="1"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 ca="1">'Revenues 9-14'!C69</f>
        <v>11594</v>
      </c>
      <c r="D6031" s="2" t="str">
        <f t="shared" ca="1" si="93"/>
        <v>Error?</v>
      </c>
    </row>
    <row r="6032" spans="1:5" x14ac:dyDescent="0.2">
      <c r="A6032" s="5">
        <v>5971</v>
      </c>
      <c r="B6032" s="138">
        <f ca="1">'Acct Summary 7-8'!G15</f>
        <v>0</v>
      </c>
      <c r="C6032" s="2" t="s">
        <v>573</v>
      </c>
      <c r="D6032" s="2" t="str">
        <f t="shared" ca="1"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6163.76</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111.2</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 ca="1">'Assets-Liab 5-6'!C7</f>
        <v>0</v>
      </c>
      <c r="D6081" s="2" t="str">
        <f t="shared" ca="1" si="94"/>
        <v>Error?</v>
      </c>
      <c r="E6081" s="2" t="s">
        <v>190</v>
      </c>
    </row>
    <row r="6082" spans="1:5" x14ac:dyDescent="0.2">
      <c r="A6082">
        <v>6021</v>
      </c>
      <c r="B6082" s="138">
        <f ca="1">'Assets-Liab 5-6'!D7</f>
        <v>0</v>
      </c>
      <c r="D6082" s="2" t="str">
        <f t="shared" ca="1" si="94"/>
        <v>Error?</v>
      </c>
      <c r="E6082" s="2" t="s">
        <v>190</v>
      </c>
    </row>
    <row r="6083" spans="1:5" x14ac:dyDescent="0.2">
      <c r="A6083">
        <v>6022</v>
      </c>
      <c r="B6083" s="138">
        <f ca="1">'Assets-Liab 5-6'!E7</f>
        <v>0</v>
      </c>
      <c r="D6083" s="2" t="str">
        <f t="shared" ca="1" si="94"/>
        <v>Error?</v>
      </c>
      <c r="E6083" s="2" t="s">
        <v>190</v>
      </c>
    </row>
    <row r="6084" spans="1:5" x14ac:dyDescent="0.2">
      <c r="A6084">
        <v>6023</v>
      </c>
      <c r="B6084" s="138">
        <f ca="1">'Assets-Liab 5-6'!F7</f>
        <v>0</v>
      </c>
      <c r="D6084" s="2" t="str">
        <f t="shared" ca="1" si="94"/>
        <v>Error?</v>
      </c>
      <c r="E6084" s="2" t="s">
        <v>190</v>
      </c>
    </row>
    <row r="6085" spans="1:5" x14ac:dyDescent="0.2">
      <c r="A6085">
        <v>6024</v>
      </c>
      <c r="B6085" s="138">
        <f ca="1">'Assets-Liab 5-6'!G7</f>
        <v>0</v>
      </c>
      <c r="D6085" s="2" t="str">
        <f t="shared" ca="1" si="94"/>
        <v>Error?</v>
      </c>
      <c r="E6085" s="2" t="s">
        <v>190</v>
      </c>
    </row>
    <row r="6086" spans="1:5" x14ac:dyDescent="0.2">
      <c r="A6086">
        <v>6025</v>
      </c>
      <c r="B6086" s="138">
        <f ca="1">'Assets-Liab 5-6'!H7</f>
        <v>0</v>
      </c>
      <c r="D6086" s="2" t="str">
        <f t="shared" ca="1" si="94"/>
        <v>Error?</v>
      </c>
      <c r="E6086" s="2" t="s">
        <v>190</v>
      </c>
    </row>
    <row r="6087" spans="1:5" x14ac:dyDescent="0.2">
      <c r="A6087">
        <v>6026</v>
      </c>
      <c r="B6087" s="138">
        <f ca="1">'Assets-Liab 5-6'!I7</f>
        <v>0</v>
      </c>
      <c r="D6087" s="2" t="str">
        <f t="shared" ca="1" si="94"/>
        <v>Error?</v>
      </c>
      <c r="E6087" s="2" t="s">
        <v>190</v>
      </c>
    </row>
    <row r="6088" spans="1:5" x14ac:dyDescent="0.2">
      <c r="A6088">
        <v>6027</v>
      </c>
      <c r="B6088" s="138">
        <f ca="1">'Assets-Liab 5-6'!J7</f>
        <v>0</v>
      </c>
      <c r="D6088" s="2" t="str">
        <f t="shared" ca="1" si="94"/>
        <v>Error?</v>
      </c>
      <c r="E6088" s="2" t="s">
        <v>190</v>
      </c>
    </row>
    <row r="6089" spans="1:5" x14ac:dyDescent="0.2">
      <c r="A6089">
        <v>6028</v>
      </c>
      <c r="B6089" s="138">
        <f ca="1">'Assets-Liab 5-6'!K7</f>
        <v>0</v>
      </c>
      <c r="D6089" s="2" t="str">
        <f t="shared" ca="1" si="94"/>
        <v>Error?</v>
      </c>
      <c r="E6089" s="2" t="s">
        <v>190</v>
      </c>
    </row>
    <row r="6090" spans="1:5" x14ac:dyDescent="0.2">
      <c r="A6090">
        <v>6029</v>
      </c>
      <c r="B6090" s="138">
        <f ca="1">'Assets-Liab 5-6'!C8</f>
        <v>0</v>
      </c>
      <c r="D6090" s="2" t="str">
        <f t="shared" ca="1" si="94"/>
        <v>Error?</v>
      </c>
      <c r="E6090" s="2" t="s">
        <v>190</v>
      </c>
    </row>
    <row r="6091" spans="1:5" x14ac:dyDescent="0.2">
      <c r="A6091">
        <v>6030</v>
      </c>
      <c r="B6091" s="138">
        <f ca="1">'Assets-Liab 5-6'!D8</f>
        <v>0</v>
      </c>
      <c r="D6091" s="2" t="str">
        <f t="shared" ca="1" si="94"/>
        <v>Error?</v>
      </c>
      <c r="E6091" s="2" t="s">
        <v>190</v>
      </c>
    </row>
    <row r="6092" spans="1:5" x14ac:dyDescent="0.2">
      <c r="A6092">
        <v>6031</v>
      </c>
      <c r="B6092" s="138">
        <f ca="1">'Assets-Liab 5-6'!E8</f>
        <v>0</v>
      </c>
      <c r="D6092" s="2" t="str">
        <f t="shared" ca="1" si="94"/>
        <v>Error?</v>
      </c>
      <c r="E6092" s="2" t="s">
        <v>190</v>
      </c>
    </row>
    <row r="6093" spans="1:5" x14ac:dyDescent="0.2">
      <c r="A6093">
        <v>6032</v>
      </c>
      <c r="B6093" s="138">
        <f ca="1">'Assets-Liab 5-6'!F8</f>
        <v>0</v>
      </c>
      <c r="D6093" s="2" t="str">
        <f t="shared" ca="1" si="94"/>
        <v>Error?</v>
      </c>
      <c r="E6093" s="2" t="s">
        <v>190</v>
      </c>
    </row>
    <row r="6094" spans="1:5" x14ac:dyDescent="0.2">
      <c r="A6094">
        <v>6033</v>
      </c>
      <c r="B6094" s="138">
        <f ca="1">'Assets-Liab 5-6'!G8</f>
        <v>0</v>
      </c>
      <c r="D6094" s="2" t="str">
        <f t="shared" ca="1" si="94"/>
        <v>Error?</v>
      </c>
      <c r="E6094" s="2" t="s">
        <v>190</v>
      </c>
    </row>
    <row r="6095" spans="1:5" x14ac:dyDescent="0.2">
      <c r="A6095">
        <v>6034</v>
      </c>
      <c r="B6095" s="138">
        <f ca="1">'Assets-Liab 5-6'!H8</f>
        <v>0</v>
      </c>
      <c r="D6095" s="2" t="str">
        <f t="shared" ca="1" si="94"/>
        <v>Error?</v>
      </c>
      <c r="E6095" s="2" t="s">
        <v>190</v>
      </c>
    </row>
    <row r="6096" spans="1:5" x14ac:dyDescent="0.2">
      <c r="A6096">
        <v>6035</v>
      </c>
      <c r="B6096" s="138">
        <f ca="1">'Assets-Liab 5-6'!I8</f>
        <v>0</v>
      </c>
      <c r="D6096" s="2" t="str">
        <f t="shared" ca="1" si="94"/>
        <v>Error?</v>
      </c>
      <c r="E6096" s="2" t="s">
        <v>190</v>
      </c>
    </row>
    <row r="6097" spans="1:5" x14ac:dyDescent="0.2">
      <c r="A6097">
        <v>6036</v>
      </c>
      <c r="B6097" s="138">
        <f ca="1">'Assets-Liab 5-6'!J8</f>
        <v>0</v>
      </c>
      <c r="D6097" s="2" t="str">
        <f t="shared" ca="1" si="94"/>
        <v>Error?</v>
      </c>
      <c r="E6097" s="2" t="s">
        <v>190</v>
      </c>
    </row>
    <row r="6098" spans="1:5" x14ac:dyDescent="0.2">
      <c r="A6098">
        <v>6037</v>
      </c>
      <c r="B6098" s="138">
        <f ca="1">'Assets-Liab 5-6'!K8</f>
        <v>0</v>
      </c>
      <c r="D6098" s="2" t="str">
        <f t="shared" ca="1" si="94"/>
        <v>Error?</v>
      </c>
      <c r="E6098" s="2" t="s">
        <v>190</v>
      </c>
    </row>
    <row r="6099" spans="1:5" x14ac:dyDescent="0.2">
      <c r="A6099">
        <v>6038</v>
      </c>
      <c r="B6099" s="138">
        <f ca="1">'Assets-Liab 5-6'!C9</f>
        <v>0</v>
      </c>
      <c r="D6099" s="2" t="str">
        <f t="shared" ca="1" si="94"/>
        <v>Error?</v>
      </c>
      <c r="E6099" s="2" t="s">
        <v>190</v>
      </c>
    </row>
    <row r="6100" spans="1:5" x14ac:dyDescent="0.2">
      <c r="A6100">
        <v>6039</v>
      </c>
      <c r="B6100" s="138">
        <f ca="1">'Assets-Liab 5-6'!D9</f>
        <v>0</v>
      </c>
      <c r="D6100" s="2" t="str">
        <f t="shared" ca="1" si="94"/>
        <v>Error?</v>
      </c>
      <c r="E6100" s="2" t="s">
        <v>190</v>
      </c>
    </row>
    <row r="6101" spans="1:5" x14ac:dyDescent="0.2">
      <c r="A6101">
        <v>6040</v>
      </c>
      <c r="B6101" s="138">
        <f ca="1">'Assets-Liab 5-6'!E9</f>
        <v>0</v>
      </c>
      <c r="D6101" s="2" t="str">
        <f t="shared" ca="1" si="94"/>
        <v>Error?</v>
      </c>
      <c r="E6101" s="2" t="s">
        <v>190</v>
      </c>
    </row>
    <row r="6102" spans="1:5" x14ac:dyDescent="0.2">
      <c r="A6102">
        <v>6041</v>
      </c>
      <c r="B6102" s="138">
        <f ca="1">'Assets-Liab 5-6'!F9</f>
        <v>0</v>
      </c>
      <c r="D6102" s="2" t="str">
        <f t="shared" ca="1" si="94"/>
        <v>Error?</v>
      </c>
      <c r="E6102" s="2" t="s">
        <v>190</v>
      </c>
    </row>
    <row r="6103" spans="1:5" x14ac:dyDescent="0.2">
      <c r="A6103">
        <f>A6102+1</f>
        <v>6042</v>
      </c>
      <c r="B6103" s="138">
        <f ca="1">'Assets-Liab 5-6'!G9</f>
        <v>0</v>
      </c>
      <c r="D6103" s="2" t="str">
        <f t="shared" ca="1" si="94"/>
        <v>Error?</v>
      </c>
      <c r="E6103" s="2" t="s">
        <v>190</v>
      </c>
    </row>
    <row r="6104" spans="1:5" x14ac:dyDescent="0.2">
      <c r="A6104">
        <v>6043</v>
      </c>
      <c r="B6104" s="138">
        <f ca="1">'Assets-Liab 5-6'!H9</f>
        <v>0</v>
      </c>
      <c r="D6104" s="2" t="str">
        <f t="shared" ca="1" si="94"/>
        <v>Error?</v>
      </c>
      <c r="E6104" s="2" t="s">
        <v>190</v>
      </c>
    </row>
    <row r="6105" spans="1:5" x14ac:dyDescent="0.2">
      <c r="A6105">
        <v>6044</v>
      </c>
      <c r="B6105" s="138">
        <f ca="1">'Assets-Liab 5-6'!I9</f>
        <v>0</v>
      </c>
      <c r="D6105" s="2" t="str">
        <f t="shared" ca="1" si="94"/>
        <v>Error?</v>
      </c>
      <c r="E6105" s="2" t="s">
        <v>190</v>
      </c>
    </row>
    <row r="6106" spans="1:5" x14ac:dyDescent="0.2">
      <c r="A6106">
        <v>6045</v>
      </c>
      <c r="B6106" s="138">
        <f ca="1">'Assets-Liab 5-6'!J9</f>
        <v>0</v>
      </c>
      <c r="D6106" s="2" t="str">
        <f t="shared" ca="1" si="94"/>
        <v>Error?</v>
      </c>
      <c r="E6106" s="2" t="s">
        <v>190</v>
      </c>
    </row>
    <row r="6107" spans="1:5" x14ac:dyDescent="0.2">
      <c r="A6107">
        <v>6046</v>
      </c>
      <c r="B6107" s="138">
        <f ca="1">'Assets-Liab 5-6'!K9</f>
        <v>0</v>
      </c>
      <c r="D6107" s="2" t="str">
        <f t="shared" ca="1" si="94"/>
        <v>Error?</v>
      </c>
      <c r="E6107" s="2" t="s">
        <v>190</v>
      </c>
    </row>
    <row r="6108" spans="1:5" x14ac:dyDescent="0.2">
      <c r="A6108">
        <v>6047</v>
      </c>
      <c r="B6108" s="138">
        <f>'Assets-Liab 5-6'!L9</f>
        <v>0</v>
      </c>
      <c r="D6108" s="2" t="str">
        <f t="shared" si="94"/>
        <v>Error?</v>
      </c>
      <c r="E6108" s="2" t="s">
        <v>190</v>
      </c>
    </row>
    <row r="6109" spans="1:5" x14ac:dyDescent="0.2">
      <c r="A6109">
        <v>6048</v>
      </c>
      <c r="B6109" s="138">
        <f ca="1">'Assets-Liab 5-6'!E10</f>
        <v>0</v>
      </c>
      <c r="D6109" s="2" t="str">
        <f t="shared" ca="1" si="94"/>
        <v>Error?</v>
      </c>
      <c r="E6109" s="2" t="s">
        <v>190</v>
      </c>
    </row>
    <row r="6110" spans="1:5" x14ac:dyDescent="0.2">
      <c r="A6110">
        <v>6049</v>
      </c>
      <c r="B6110" s="138">
        <f ca="1">'Assets-Liab 5-6'!G10</f>
        <v>0</v>
      </c>
      <c r="D6110" s="2" t="str">
        <f t="shared" ca="1" si="94"/>
        <v>Error?</v>
      </c>
      <c r="E6110" s="2" t="s">
        <v>190</v>
      </c>
    </row>
    <row r="6111" spans="1:5" x14ac:dyDescent="0.2">
      <c r="A6111">
        <v>6050</v>
      </c>
      <c r="B6111" s="138">
        <f ca="1">'Assets-Liab 5-6'!I10</f>
        <v>0</v>
      </c>
      <c r="D6111" s="2" t="str">
        <f t="shared" ca="1" si="94"/>
        <v>Error?</v>
      </c>
      <c r="E6111" s="2" t="s">
        <v>190</v>
      </c>
    </row>
    <row r="6112" spans="1:5" x14ac:dyDescent="0.2">
      <c r="A6112">
        <v>6051</v>
      </c>
      <c r="B6112" s="138">
        <f ca="1">'Assets-Liab 5-6'!J10</f>
        <v>0</v>
      </c>
      <c r="D6112" s="2" t="str">
        <f t="shared" ca="1" si="94"/>
        <v>Error?</v>
      </c>
      <c r="E6112" s="2" t="s">
        <v>190</v>
      </c>
    </row>
    <row r="6113" spans="1:5" x14ac:dyDescent="0.2">
      <c r="A6113">
        <v>6052</v>
      </c>
      <c r="B6113" s="138">
        <f ca="1">'Assets-Liab 5-6'!C11</f>
        <v>0</v>
      </c>
      <c r="D6113" s="2" t="str">
        <f t="shared" ca="1" si="94"/>
        <v>Error?</v>
      </c>
      <c r="E6113" s="2" t="s">
        <v>190</v>
      </c>
    </row>
    <row r="6114" spans="1:5" x14ac:dyDescent="0.2">
      <c r="A6114">
        <v>6053</v>
      </c>
      <c r="B6114" s="138">
        <f ca="1">'Assets-Liab 5-6'!D11</f>
        <v>0</v>
      </c>
      <c r="D6114" s="2" t="str">
        <f t="shared" ca="1" si="94"/>
        <v>Error?</v>
      </c>
      <c r="E6114" s="2" t="s">
        <v>190</v>
      </c>
    </row>
    <row r="6115" spans="1:5" x14ac:dyDescent="0.2">
      <c r="A6115">
        <v>6054</v>
      </c>
      <c r="B6115" s="138">
        <f ca="1">'Assets-Liab 5-6'!E11</f>
        <v>0</v>
      </c>
      <c r="D6115" s="2" t="str">
        <f t="shared" ca="1" si="94"/>
        <v>Error?</v>
      </c>
      <c r="E6115" s="2" t="s">
        <v>190</v>
      </c>
    </row>
    <row r="6116" spans="1:5" x14ac:dyDescent="0.2">
      <c r="A6116">
        <v>6055</v>
      </c>
      <c r="B6116" s="138">
        <f ca="1">'Assets-Liab 5-6'!F11</f>
        <v>0</v>
      </c>
      <c r="D6116" s="2" t="str">
        <f t="shared" ca="1" si="94"/>
        <v>Error?</v>
      </c>
      <c r="E6116" s="2" t="s">
        <v>190</v>
      </c>
    </row>
    <row r="6117" spans="1:5" x14ac:dyDescent="0.2">
      <c r="A6117">
        <v>6056</v>
      </c>
      <c r="B6117" s="138">
        <f ca="1">'Assets-Liab 5-6'!G11</f>
        <v>0</v>
      </c>
      <c r="D6117" s="2" t="str">
        <f t="shared" ca="1" si="94"/>
        <v>Error?</v>
      </c>
      <c r="E6117" s="2" t="s">
        <v>190</v>
      </c>
    </row>
    <row r="6118" spans="1:5" x14ac:dyDescent="0.2">
      <c r="A6118">
        <v>6057</v>
      </c>
      <c r="B6118" s="138">
        <f ca="1">'Assets-Liab 5-6'!H11</f>
        <v>0</v>
      </c>
      <c r="D6118" s="2" t="str">
        <f t="shared" ca="1" si="94"/>
        <v>Error?</v>
      </c>
      <c r="E6118" s="2" t="s">
        <v>190</v>
      </c>
    </row>
    <row r="6119" spans="1:5" x14ac:dyDescent="0.2">
      <c r="A6119">
        <v>6058</v>
      </c>
      <c r="B6119" s="138">
        <f ca="1">'Assets-Liab 5-6'!I11</f>
        <v>0</v>
      </c>
      <c r="D6119" s="2" t="str">
        <f t="shared" ca="1" si="94"/>
        <v>Error?</v>
      </c>
      <c r="E6119" s="2" t="s">
        <v>190</v>
      </c>
    </row>
    <row r="6120" spans="1:5" x14ac:dyDescent="0.2">
      <c r="A6120">
        <v>6059</v>
      </c>
      <c r="B6120" s="138">
        <f ca="1">'Assets-Liab 5-6'!J11</f>
        <v>2028</v>
      </c>
      <c r="D6120" s="2" t="str">
        <f t="shared" ca="1" si="94"/>
        <v>Error?</v>
      </c>
      <c r="E6120" s="2" t="s">
        <v>190</v>
      </c>
    </row>
    <row r="6121" spans="1:5" x14ac:dyDescent="0.2">
      <c r="A6121">
        <v>6060</v>
      </c>
      <c r="B6121" s="138">
        <f ca="1">'Assets-Liab 5-6'!K11</f>
        <v>0</v>
      </c>
      <c r="D6121" s="2" t="str">
        <f t="shared" ca="1" si="94"/>
        <v>Error?</v>
      </c>
      <c r="E6121" s="2" t="s">
        <v>190</v>
      </c>
    </row>
    <row r="6122" spans="1:5" x14ac:dyDescent="0.2">
      <c r="A6122">
        <v>6061</v>
      </c>
      <c r="B6122" s="138">
        <f>'Assets-Liab 5-6'!L11</f>
        <v>0</v>
      </c>
      <c r="D6122" s="2" t="str">
        <f t="shared" si="94"/>
        <v>Error?</v>
      </c>
      <c r="E6122" s="2" t="s">
        <v>190</v>
      </c>
    </row>
    <row r="6123" spans="1:5" x14ac:dyDescent="0.2">
      <c r="A6123">
        <v>6062</v>
      </c>
      <c r="B6123" s="138">
        <f ca="1">'Assets-Liab 5-6'!J12</f>
        <v>0</v>
      </c>
      <c r="D6123" s="2" t="str">
        <f t="shared" ca="1" si="94"/>
        <v>Error?</v>
      </c>
      <c r="E6123" s="2" t="s">
        <v>190</v>
      </c>
    </row>
    <row r="6124" spans="1:5" x14ac:dyDescent="0.2">
      <c r="A6124">
        <v>6063</v>
      </c>
      <c r="B6124" s="138">
        <f ca="1">'Assets-Liab 5-6'!J13</f>
        <v>104494</v>
      </c>
      <c r="D6124" s="2" t="str">
        <f t="shared" ca="1" si="94"/>
        <v>Error?</v>
      </c>
      <c r="E6124" s="2" t="s">
        <v>190</v>
      </c>
    </row>
    <row r="6125" spans="1:5" x14ac:dyDescent="0.2">
      <c r="A6125">
        <v>6064</v>
      </c>
      <c r="B6125" s="138">
        <f ca="1">'Assets-Liab 5-6'!C25</f>
        <v>0</v>
      </c>
      <c r="D6125" s="2" t="str">
        <f t="shared" ca="1" si="94"/>
        <v>Error?</v>
      </c>
      <c r="E6125" s="2" t="s">
        <v>190</v>
      </c>
    </row>
    <row r="6126" spans="1:5" x14ac:dyDescent="0.2">
      <c r="A6126">
        <v>6065</v>
      </c>
      <c r="B6126" s="138">
        <f ca="1">'Assets-Liab 5-6'!D25</f>
        <v>0</v>
      </c>
      <c r="D6126" s="2" t="str">
        <f t="shared" ca="1" si="94"/>
        <v>Error?</v>
      </c>
      <c r="E6126" s="2" t="s">
        <v>190</v>
      </c>
    </row>
    <row r="6127" spans="1:5" x14ac:dyDescent="0.2">
      <c r="A6127">
        <v>6066</v>
      </c>
      <c r="B6127" s="138">
        <f ca="1">'Assets-Liab 5-6'!E25</f>
        <v>0</v>
      </c>
      <c r="D6127" s="2" t="str">
        <f t="shared" ca="1" si="94"/>
        <v>Error?</v>
      </c>
      <c r="E6127" s="2" t="s">
        <v>190</v>
      </c>
    </row>
    <row r="6128" spans="1:5" x14ac:dyDescent="0.2">
      <c r="A6128">
        <v>6067</v>
      </c>
      <c r="B6128" s="138">
        <f ca="1">'Assets-Liab 5-6'!F25</f>
        <v>0</v>
      </c>
      <c r="D6128" s="2" t="str">
        <f t="shared" ca="1" si="94"/>
        <v>Error?</v>
      </c>
      <c r="E6128" s="2" t="s">
        <v>190</v>
      </c>
    </row>
    <row r="6129" spans="1:5" x14ac:dyDescent="0.2">
      <c r="A6129">
        <v>6068</v>
      </c>
      <c r="B6129" s="138">
        <f>'Assets-Liab 5-6'!G25</f>
        <v>37130</v>
      </c>
      <c r="D6129" s="2" t="str">
        <f t="shared" si="94"/>
        <v>Error?</v>
      </c>
      <c r="E6129" s="2" t="s">
        <v>190</v>
      </c>
    </row>
    <row r="6130" spans="1:5" x14ac:dyDescent="0.2">
      <c r="A6130">
        <v>6069</v>
      </c>
      <c r="B6130" s="138">
        <f ca="1">'Assets-Liab 5-6'!H25</f>
        <v>0</v>
      </c>
      <c r="D6130" s="2" t="str">
        <f t="shared" ca="1" si="94"/>
        <v>Error?</v>
      </c>
      <c r="E6130" s="2" t="s">
        <v>190</v>
      </c>
    </row>
    <row r="6131" spans="1:5" x14ac:dyDescent="0.2">
      <c r="A6131">
        <v>6070</v>
      </c>
      <c r="B6131" s="138">
        <f ca="1">'Assets-Liab 5-6'!J25</f>
        <v>0</v>
      </c>
      <c r="D6131" s="2" t="str">
        <f t="shared" ca="1" si="94"/>
        <v>Error?</v>
      </c>
      <c r="E6131" s="2" t="s">
        <v>190</v>
      </c>
    </row>
    <row r="6132" spans="1:5" x14ac:dyDescent="0.2">
      <c r="A6132">
        <v>6071</v>
      </c>
      <c r="B6132" s="138">
        <f ca="1">'Assets-Liab 5-6'!K25</f>
        <v>0</v>
      </c>
      <c r="D6132" s="2" t="str">
        <f t="shared" ca="1" si="94"/>
        <v>Error?</v>
      </c>
      <c r="E6132" s="2" t="s">
        <v>190</v>
      </c>
    </row>
    <row r="6133" spans="1:5" x14ac:dyDescent="0.2">
      <c r="A6133">
        <v>6072</v>
      </c>
      <c r="B6133" s="138">
        <f ca="1">'Assets-Liab 5-6'!C26</f>
        <v>0</v>
      </c>
      <c r="D6133" s="2" t="str">
        <f t="shared" ca="1" si="94"/>
        <v>Error?</v>
      </c>
      <c r="E6133" s="2" t="s">
        <v>190</v>
      </c>
    </row>
    <row r="6134" spans="1:5" x14ac:dyDescent="0.2">
      <c r="A6134">
        <v>6073</v>
      </c>
      <c r="B6134" s="138">
        <f ca="1">'Assets-Liab 5-6'!D26</f>
        <v>0</v>
      </c>
      <c r="D6134" s="2" t="str">
        <f t="shared" ca="1" si="94"/>
        <v>Error?</v>
      </c>
      <c r="E6134" s="2" t="s">
        <v>190</v>
      </c>
    </row>
    <row r="6135" spans="1:5" x14ac:dyDescent="0.2">
      <c r="A6135">
        <v>6074</v>
      </c>
      <c r="B6135" s="138">
        <f ca="1">'Assets-Liab 5-6'!E26</f>
        <v>0</v>
      </c>
      <c r="D6135" s="2" t="str">
        <f t="shared" ca="1" si="94"/>
        <v>Error?</v>
      </c>
      <c r="E6135" s="2" t="s">
        <v>190</v>
      </c>
    </row>
    <row r="6136" spans="1:5" x14ac:dyDescent="0.2">
      <c r="A6136">
        <v>6075</v>
      </c>
      <c r="B6136" s="138">
        <f ca="1">'Assets-Liab 5-6'!F26</f>
        <v>0</v>
      </c>
      <c r="D6136" s="2" t="str">
        <f t="shared" ca="1" si="94"/>
        <v>Error?</v>
      </c>
      <c r="E6136" s="2" t="s">
        <v>190</v>
      </c>
    </row>
    <row r="6137" spans="1:5" x14ac:dyDescent="0.2">
      <c r="A6137">
        <v>6076</v>
      </c>
      <c r="B6137" s="138">
        <f ca="1">'Assets-Liab 5-6'!G26</f>
        <v>0</v>
      </c>
      <c r="D6137" s="2" t="str">
        <f t="shared" ca="1" si="94"/>
        <v>Error?</v>
      </c>
      <c r="E6137" s="2" t="s">
        <v>190</v>
      </c>
    </row>
    <row r="6138" spans="1:5" x14ac:dyDescent="0.2">
      <c r="A6138">
        <v>6077</v>
      </c>
      <c r="B6138" s="138">
        <f ca="1">'Assets-Liab 5-6'!H26</f>
        <v>0</v>
      </c>
      <c r="D6138" s="2" t="str">
        <f t="shared" ca="1" si="94"/>
        <v>Error?</v>
      </c>
      <c r="E6138" s="2" t="s">
        <v>190</v>
      </c>
    </row>
    <row r="6139" spans="1:5" x14ac:dyDescent="0.2">
      <c r="A6139">
        <v>6078</v>
      </c>
      <c r="B6139" s="138">
        <f ca="1">'Assets-Liab 5-6'!I26</f>
        <v>0</v>
      </c>
      <c r="D6139" s="2" t="str">
        <f t="shared" ca="1" si="94"/>
        <v>Error?</v>
      </c>
      <c r="E6139" s="2" t="s">
        <v>190</v>
      </c>
    </row>
    <row r="6140" spans="1:5" x14ac:dyDescent="0.2">
      <c r="A6140">
        <v>6079</v>
      </c>
      <c r="B6140" s="138">
        <f ca="1">'Assets-Liab 5-6'!J26</f>
        <v>0</v>
      </c>
      <c r="D6140" s="2" t="str">
        <f t="shared" ca="1" si="94"/>
        <v>Error?</v>
      </c>
      <c r="E6140" s="2" t="s">
        <v>190</v>
      </c>
    </row>
    <row r="6141" spans="1:5" x14ac:dyDescent="0.2">
      <c r="A6141">
        <v>6080</v>
      </c>
      <c r="B6141" s="138">
        <f ca="1">'Assets-Liab 5-6'!K26</f>
        <v>0</v>
      </c>
      <c r="D6141" s="2" t="str">
        <f t="shared" ca="1" si="94"/>
        <v>Error?</v>
      </c>
      <c r="E6141" s="2" t="s">
        <v>190</v>
      </c>
    </row>
    <row r="6142" spans="1:5" x14ac:dyDescent="0.2">
      <c r="A6142">
        <v>6081</v>
      </c>
      <c r="B6142" s="138">
        <f ca="1">'Assets-Liab 5-6'!C27</f>
        <v>0</v>
      </c>
      <c r="D6142" s="2" t="str">
        <f t="shared" ca="1" si="94"/>
        <v>Error?</v>
      </c>
      <c r="E6142" s="2" t="s">
        <v>190</v>
      </c>
    </row>
    <row r="6143" spans="1:5" x14ac:dyDescent="0.2">
      <c r="A6143">
        <v>6082</v>
      </c>
      <c r="B6143" s="138">
        <f ca="1">'Assets-Liab 5-6'!D27</f>
        <v>0</v>
      </c>
      <c r="D6143" s="2" t="str">
        <f t="shared" ref="D6143:D6206" ca="1" si="95">IF(ISBLANK(B6143),"OK",IF(A6143-B6143=0,"OK","Error?"))</f>
        <v>Error?</v>
      </c>
      <c r="E6143" s="2" t="s">
        <v>190</v>
      </c>
    </row>
    <row r="6144" spans="1:5" x14ac:dyDescent="0.2">
      <c r="A6144">
        <v>6083</v>
      </c>
      <c r="B6144" s="138">
        <f ca="1">'Assets-Liab 5-6'!E27</f>
        <v>0</v>
      </c>
      <c r="D6144" s="2" t="str">
        <f t="shared" ca="1" si="95"/>
        <v>Error?</v>
      </c>
      <c r="E6144" s="2" t="s">
        <v>190</v>
      </c>
    </row>
    <row r="6145" spans="1:5" x14ac:dyDescent="0.2">
      <c r="A6145">
        <v>6084</v>
      </c>
      <c r="B6145" s="138">
        <f ca="1">'Assets-Liab 5-6'!F27</f>
        <v>0</v>
      </c>
      <c r="D6145" s="2" t="str">
        <f t="shared" ca="1" si="95"/>
        <v>Error?</v>
      </c>
      <c r="E6145" s="2" t="s">
        <v>190</v>
      </c>
    </row>
    <row r="6146" spans="1:5" x14ac:dyDescent="0.2">
      <c r="A6146">
        <v>6085</v>
      </c>
      <c r="B6146" s="138">
        <f ca="1">'Assets-Liab 5-6'!G27</f>
        <v>0</v>
      </c>
      <c r="D6146" s="2" t="str">
        <f t="shared" ca="1" si="95"/>
        <v>Error?</v>
      </c>
      <c r="E6146" s="2" t="s">
        <v>190</v>
      </c>
    </row>
    <row r="6147" spans="1:5" x14ac:dyDescent="0.2">
      <c r="A6147">
        <v>6086</v>
      </c>
      <c r="B6147" s="138">
        <f ca="1">'Assets-Liab 5-6'!H27</f>
        <v>0</v>
      </c>
      <c r="D6147" s="2" t="str">
        <f t="shared" ca="1" si="95"/>
        <v>Error?</v>
      </c>
      <c r="E6147" s="2" t="s">
        <v>190</v>
      </c>
    </row>
    <row r="6148" spans="1:5" x14ac:dyDescent="0.2">
      <c r="A6148">
        <v>6087</v>
      </c>
      <c r="B6148" s="138">
        <f ca="1">'Assets-Liab 5-6'!I27</f>
        <v>0</v>
      </c>
      <c r="D6148" s="2" t="str">
        <f t="shared" ca="1" si="95"/>
        <v>Error?</v>
      </c>
      <c r="E6148" s="2" t="s">
        <v>190</v>
      </c>
    </row>
    <row r="6149" spans="1:5" x14ac:dyDescent="0.2">
      <c r="A6149">
        <v>6088</v>
      </c>
      <c r="B6149" s="138">
        <f ca="1">'Assets-Liab 5-6'!J27</f>
        <v>0</v>
      </c>
      <c r="D6149" s="2" t="str">
        <f t="shared" ca="1" si="95"/>
        <v>Error?</v>
      </c>
      <c r="E6149" s="2" t="s">
        <v>190</v>
      </c>
    </row>
    <row r="6150" spans="1:5" x14ac:dyDescent="0.2">
      <c r="A6150">
        <v>6089</v>
      </c>
      <c r="B6150" s="138">
        <f ca="1">'Assets-Liab 5-6'!K27</f>
        <v>0</v>
      </c>
      <c r="D6150" s="2" t="str">
        <f t="shared" ca="1" si="95"/>
        <v>Error?</v>
      </c>
      <c r="E6150" s="2" t="s">
        <v>190</v>
      </c>
    </row>
    <row r="6151" spans="1:5" x14ac:dyDescent="0.2">
      <c r="A6151">
        <v>6090</v>
      </c>
      <c r="B6151" s="138">
        <f ca="1">'Assets-Liab 5-6'!C28</f>
        <v>0</v>
      </c>
      <c r="D6151" s="2" t="str">
        <f t="shared" ca="1" si="95"/>
        <v>Error?</v>
      </c>
      <c r="E6151" s="2" t="s">
        <v>190</v>
      </c>
    </row>
    <row r="6152" spans="1:5" x14ac:dyDescent="0.2">
      <c r="A6152">
        <v>6091</v>
      </c>
      <c r="B6152" s="138">
        <f ca="1">'Assets-Liab 5-6'!D28</f>
        <v>0</v>
      </c>
      <c r="D6152" s="2" t="str">
        <f t="shared" ca="1" si="95"/>
        <v>Error?</v>
      </c>
      <c r="E6152" s="2" t="s">
        <v>190</v>
      </c>
    </row>
    <row r="6153" spans="1:5" x14ac:dyDescent="0.2">
      <c r="A6153">
        <v>6092</v>
      </c>
      <c r="B6153" s="138">
        <f ca="1">'Assets-Liab 5-6'!E28</f>
        <v>0</v>
      </c>
      <c r="D6153" s="2" t="str">
        <f t="shared" ca="1" si="95"/>
        <v>Error?</v>
      </c>
      <c r="E6153" s="2" t="s">
        <v>190</v>
      </c>
    </row>
    <row r="6154" spans="1:5" x14ac:dyDescent="0.2">
      <c r="A6154">
        <v>6093</v>
      </c>
      <c r="B6154" s="138">
        <f ca="1">'Assets-Liab 5-6'!F28</f>
        <v>0</v>
      </c>
      <c r="D6154" s="2" t="str">
        <f t="shared" ca="1" si="95"/>
        <v>Error?</v>
      </c>
      <c r="E6154" s="2" t="s">
        <v>190</v>
      </c>
    </row>
    <row r="6155" spans="1:5" x14ac:dyDescent="0.2">
      <c r="A6155">
        <v>6094</v>
      </c>
      <c r="B6155" s="138">
        <f ca="1">'Assets-Liab 5-6'!G28</f>
        <v>0</v>
      </c>
      <c r="D6155" s="2" t="str">
        <f t="shared" ca="1" si="95"/>
        <v>Error?</v>
      </c>
      <c r="E6155" s="2" t="s">
        <v>190</v>
      </c>
    </row>
    <row r="6156" spans="1:5" x14ac:dyDescent="0.2">
      <c r="A6156">
        <v>6095</v>
      </c>
      <c r="B6156" s="138">
        <f ca="1">'Assets-Liab 5-6'!H28</f>
        <v>0</v>
      </c>
      <c r="D6156" s="2" t="str">
        <f t="shared" ca="1" si="95"/>
        <v>Error?</v>
      </c>
      <c r="E6156" s="2" t="s">
        <v>190</v>
      </c>
    </row>
    <row r="6157" spans="1:5" x14ac:dyDescent="0.2">
      <c r="A6157">
        <v>6096</v>
      </c>
      <c r="B6157" s="138">
        <f ca="1">'Assets-Liab 5-6'!I28</f>
        <v>0</v>
      </c>
      <c r="D6157" s="2" t="str">
        <f t="shared" ca="1" si="95"/>
        <v>Error?</v>
      </c>
      <c r="E6157" s="2" t="s">
        <v>190</v>
      </c>
    </row>
    <row r="6158" spans="1:5" x14ac:dyDescent="0.2">
      <c r="A6158">
        <v>6097</v>
      </c>
      <c r="B6158" s="138">
        <f ca="1">'Assets-Liab 5-6'!J28</f>
        <v>0</v>
      </c>
      <c r="D6158" s="2" t="str">
        <f t="shared" ca="1" si="95"/>
        <v>Error?</v>
      </c>
      <c r="E6158" s="2" t="s">
        <v>190</v>
      </c>
    </row>
    <row r="6159" spans="1:5" x14ac:dyDescent="0.2">
      <c r="A6159">
        <v>6098</v>
      </c>
      <c r="B6159" s="138">
        <f ca="1">'Assets-Liab 5-6'!K28</f>
        <v>0</v>
      </c>
      <c r="D6159" s="2" t="str">
        <f t="shared" ca="1" si="95"/>
        <v>Error?</v>
      </c>
      <c r="E6159" s="2" t="s">
        <v>190</v>
      </c>
    </row>
    <row r="6160" spans="1:5" x14ac:dyDescent="0.2">
      <c r="A6160">
        <v>6099</v>
      </c>
      <c r="B6160" s="138">
        <f ca="1">'Assets-Liab 5-6'!C29</f>
        <v>0</v>
      </c>
      <c r="D6160" s="2" t="str">
        <f t="shared" ca="1" si="95"/>
        <v>Error?</v>
      </c>
      <c r="E6160" s="2" t="s">
        <v>190</v>
      </c>
    </row>
    <row r="6161" spans="1:5" x14ac:dyDescent="0.2">
      <c r="A6161">
        <v>6100</v>
      </c>
      <c r="B6161" s="138">
        <f ca="1">'Assets-Liab 5-6'!D29</f>
        <v>0</v>
      </c>
      <c r="D6161" s="2" t="str">
        <f t="shared" ca="1" si="95"/>
        <v>Error?</v>
      </c>
      <c r="E6161" s="2" t="s">
        <v>190</v>
      </c>
    </row>
    <row r="6162" spans="1:5" x14ac:dyDescent="0.2">
      <c r="A6162">
        <v>6101</v>
      </c>
      <c r="B6162" s="138">
        <f ca="1">'Assets-Liab 5-6'!E29</f>
        <v>0</v>
      </c>
      <c r="D6162" s="2" t="str">
        <f t="shared" ca="1" si="95"/>
        <v>Error?</v>
      </c>
      <c r="E6162" s="2" t="s">
        <v>190</v>
      </c>
    </row>
    <row r="6163" spans="1:5" x14ac:dyDescent="0.2">
      <c r="A6163">
        <v>6102</v>
      </c>
      <c r="B6163" s="138">
        <f ca="1">'Assets-Liab 5-6'!F29</f>
        <v>0</v>
      </c>
      <c r="D6163" s="2" t="str">
        <f t="shared" ca="1" si="95"/>
        <v>Error?</v>
      </c>
      <c r="E6163" s="2" t="s">
        <v>190</v>
      </c>
    </row>
    <row r="6164" spans="1:5" x14ac:dyDescent="0.2">
      <c r="A6164">
        <v>6103</v>
      </c>
      <c r="B6164" s="138">
        <f ca="1">'Assets-Liab 5-6'!G29</f>
        <v>0</v>
      </c>
      <c r="D6164" s="2" t="str">
        <f t="shared" ca="1" si="95"/>
        <v>Error?</v>
      </c>
      <c r="E6164" s="2" t="s">
        <v>190</v>
      </c>
    </row>
    <row r="6165" spans="1:5" x14ac:dyDescent="0.2">
      <c r="A6165">
        <v>6104</v>
      </c>
      <c r="B6165" s="138">
        <f ca="1">'Assets-Liab 5-6'!H29</f>
        <v>0</v>
      </c>
      <c r="D6165" s="2" t="str">
        <f t="shared" ca="1" si="95"/>
        <v>Error?</v>
      </c>
      <c r="E6165" s="2" t="s">
        <v>190</v>
      </c>
    </row>
    <row r="6166" spans="1:5" x14ac:dyDescent="0.2">
      <c r="A6166">
        <v>6105</v>
      </c>
      <c r="B6166" s="138">
        <f ca="1">'Assets-Liab 5-6'!I29</f>
        <v>0</v>
      </c>
      <c r="D6166" s="2" t="str">
        <f t="shared" ca="1" si="95"/>
        <v>Error?</v>
      </c>
      <c r="E6166" s="2" t="s">
        <v>190</v>
      </c>
    </row>
    <row r="6167" spans="1:5" x14ac:dyDescent="0.2">
      <c r="A6167">
        <v>6106</v>
      </c>
      <c r="B6167" s="138">
        <f ca="1">'Assets-Liab 5-6'!J29</f>
        <v>0</v>
      </c>
      <c r="D6167" s="2" t="str">
        <f t="shared" ca="1" si="95"/>
        <v>Error?</v>
      </c>
      <c r="E6167" s="2" t="s">
        <v>190</v>
      </c>
    </row>
    <row r="6168" spans="1:5" x14ac:dyDescent="0.2">
      <c r="A6168">
        <v>6107</v>
      </c>
      <c r="B6168" s="138">
        <f ca="1">'Assets-Liab 5-6'!K29</f>
        <v>0</v>
      </c>
      <c r="D6168" s="2" t="str">
        <f t="shared" ca="1" si="95"/>
        <v>Error?</v>
      </c>
      <c r="E6168" s="2" t="s">
        <v>190</v>
      </c>
    </row>
    <row r="6169" spans="1:5" x14ac:dyDescent="0.2">
      <c r="A6169">
        <v>6108</v>
      </c>
      <c r="B6169" s="138">
        <f ca="1">'Assets-Liab 5-6'!C30</f>
        <v>0</v>
      </c>
      <c r="D6169" s="2" t="str">
        <f t="shared" ca="1" si="95"/>
        <v>Error?</v>
      </c>
      <c r="E6169" s="2" t="s">
        <v>190</v>
      </c>
    </row>
    <row r="6170" spans="1:5" x14ac:dyDescent="0.2">
      <c r="A6170">
        <v>6109</v>
      </c>
      <c r="B6170" s="138">
        <f ca="1">'Assets-Liab 5-6'!D30</f>
        <v>0</v>
      </c>
      <c r="D6170" s="2" t="str">
        <f t="shared" ca="1" si="95"/>
        <v>Error?</v>
      </c>
      <c r="E6170" s="2" t="s">
        <v>190</v>
      </c>
    </row>
    <row r="6171" spans="1:5" x14ac:dyDescent="0.2">
      <c r="A6171">
        <v>6110</v>
      </c>
      <c r="B6171" s="138">
        <f ca="1">'Assets-Liab 5-6'!E30</f>
        <v>0</v>
      </c>
      <c r="D6171" s="2" t="str">
        <f t="shared" ca="1" si="95"/>
        <v>Error?</v>
      </c>
      <c r="E6171" s="2" t="s">
        <v>190</v>
      </c>
    </row>
    <row r="6172" spans="1:5" x14ac:dyDescent="0.2">
      <c r="A6172">
        <v>6111</v>
      </c>
      <c r="B6172" s="138">
        <f ca="1">'Assets-Liab 5-6'!F30</f>
        <v>0</v>
      </c>
      <c r="D6172" s="2" t="str">
        <f t="shared" ca="1" si="95"/>
        <v>Error?</v>
      </c>
      <c r="E6172" s="2" t="s">
        <v>190</v>
      </c>
    </row>
    <row r="6173" spans="1:5" x14ac:dyDescent="0.2">
      <c r="A6173">
        <v>6112</v>
      </c>
      <c r="B6173" s="138">
        <f ca="1">'Assets-Liab 5-6'!G30</f>
        <v>0</v>
      </c>
      <c r="D6173" s="2" t="str">
        <f t="shared" ca="1" si="95"/>
        <v>Error?</v>
      </c>
      <c r="E6173" s="2" t="s">
        <v>190</v>
      </c>
    </row>
    <row r="6174" spans="1:5" x14ac:dyDescent="0.2">
      <c r="A6174">
        <v>6113</v>
      </c>
      <c r="B6174" s="138">
        <f ca="1">'Assets-Liab 5-6'!H30</f>
        <v>0</v>
      </c>
      <c r="D6174" s="2" t="str">
        <f t="shared" ca="1" si="95"/>
        <v>Error?</v>
      </c>
      <c r="E6174" s="2" t="s">
        <v>190</v>
      </c>
    </row>
    <row r="6175" spans="1:5" x14ac:dyDescent="0.2">
      <c r="A6175">
        <v>6114</v>
      </c>
      <c r="B6175" s="138">
        <f ca="1">'Assets-Liab 5-6'!I30</f>
        <v>0</v>
      </c>
      <c r="D6175" s="2" t="str">
        <f t="shared" ca="1" si="95"/>
        <v>Error?</v>
      </c>
      <c r="E6175" s="2" t="s">
        <v>190</v>
      </c>
    </row>
    <row r="6176" spans="1:5" x14ac:dyDescent="0.2">
      <c r="A6176">
        <v>6115</v>
      </c>
      <c r="B6176" s="138">
        <f ca="1">'Assets-Liab 5-6'!J30</f>
        <v>0</v>
      </c>
      <c r="D6176" s="2" t="str">
        <f t="shared" ca="1" si="95"/>
        <v>Error?</v>
      </c>
      <c r="E6176" s="2" t="s">
        <v>190</v>
      </c>
    </row>
    <row r="6177" spans="1:5" x14ac:dyDescent="0.2">
      <c r="A6177">
        <v>6116</v>
      </c>
      <c r="B6177" s="138">
        <f ca="1">'Assets-Liab 5-6'!K30</f>
        <v>0</v>
      </c>
      <c r="D6177" s="2" t="str">
        <f t="shared" ca="1" si="95"/>
        <v>Error?</v>
      </c>
      <c r="E6177" s="2" t="s">
        <v>190</v>
      </c>
    </row>
    <row r="6178" spans="1:5" x14ac:dyDescent="0.2">
      <c r="A6178">
        <v>6117</v>
      </c>
      <c r="B6178" s="138">
        <f ca="1">'Assets-Liab 5-6'!E31</f>
        <v>0</v>
      </c>
      <c r="D6178" s="2" t="str">
        <f t="shared" ca="1" si="95"/>
        <v>Error?</v>
      </c>
      <c r="E6178" s="2" t="s">
        <v>190</v>
      </c>
    </row>
    <row r="6179" spans="1:5" x14ac:dyDescent="0.2">
      <c r="A6179">
        <v>6118</v>
      </c>
      <c r="B6179" s="138">
        <f ca="1">'Assets-Liab 5-6'!I31</f>
        <v>0</v>
      </c>
      <c r="D6179" s="2" t="str">
        <f t="shared" ca="1" si="95"/>
        <v>Error?</v>
      </c>
      <c r="E6179" s="2" t="s">
        <v>190</v>
      </c>
    </row>
    <row r="6180" spans="1:5" x14ac:dyDescent="0.2">
      <c r="A6180">
        <v>6119</v>
      </c>
      <c r="B6180" s="138">
        <f ca="1">'Assets-Liab 5-6'!J31</f>
        <v>0</v>
      </c>
      <c r="D6180" s="2" t="str">
        <f t="shared" ca="1" si="95"/>
        <v>Error?</v>
      </c>
      <c r="E6180" s="2" t="s">
        <v>190</v>
      </c>
    </row>
    <row r="6181" spans="1:5" x14ac:dyDescent="0.2">
      <c r="A6181">
        <v>6120</v>
      </c>
      <c r="B6181" s="138">
        <f ca="1">'Assets-Liab 5-6'!J32</f>
        <v>0</v>
      </c>
      <c r="D6181" s="2" t="str">
        <f t="shared" ca="1" si="95"/>
        <v>Error?</v>
      </c>
      <c r="E6181" s="2" t="s">
        <v>190</v>
      </c>
    </row>
    <row r="6182" spans="1:5" x14ac:dyDescent="0.2">
      <c r="A6182">
        <v>6121</v>
      </c>
      <c r="B6182" s="138">
        <f ca="1">'Assets-Liab 5-6'!C33</f>
        <v>0</v>
      </c>
      <c r="D6182" s="2" t="str">
        <f t="shared" ca="1" si="95"/>
        <v>Error?</v>
      </c>
      <c r="E6182" s="2" t="s">
        <v>190</v>
      </c>
    </row>
    <row r="6183" spans="1:5" x14ac:dyDescent="0.2">
      <c r="A6183">
        <v>6122</v>
      </c>
      <c r="B6183" s="138">
        <f ca="1">'Assets-Liab 5-6'!D33</f>
        <v>0</v>
      </c>
      <c r="D6183" s="2" t="str">
        <f t="shared" ca="1" si="95"/>
        <v>Error?</v>
      </c>
      <c r="E6183" s="2" t="s">
        <v>190</v>
      </c>
    </row>
    <row r="6184" spans="1:5" x14ac:dyDescent="0.2">
      <c r="A6184">
        <v>6123</v>
      </c>
      <c r="B6184" s="138">
        <f ca="1">'Assets-Liab 5-6'!E33</f>
        <v>0</v>
      </c>
      <c r="D6184" s="2" t="str">
        <f t="shared" ca="1" si="95"/>
        <v>Error?</v>
      </c>
      <c r="E6184" s="2" t="s">
        <v>190</v>
      </c>
    </row>
    <row r="6185" spans="1:5" x14ac:dyDescent="0.2">
      <c r="A6185">
        <v>6124</v>
      </c>
      <c r="B6185" s="138">
        <f ca="1">'Assets-Liab 5-6'!F33</f>
        <v>0</v>
      </c>
      <c r="D6185" s="2" t="str">
        <f t="shared" ca="1" si="95"/>
        <v>Error?</v>
      </c>
      <c r="E6185" s="2" t="s">
        <v>190</v>
      </c>
    </row>
    <row r="6186" spans="1:5" x14ac:dyDescent="0.2">
      <c r="A6186">
        <v>6125</v>
      </c>
      <c r="B6186" s="138">
        <f ca="1">'Assets-Liab 5-6'!G33</f>
        <v>0</v>
      </c>
      <c r="D6186" s="2" t="str">
        <f t="shared" ca="1" si="95"/>
        <v>Error?</v>
      </c>
      <c r="E6186" s="2" t="s">
        <v>190</v>
      </c>
    </row>
    <row r="6187" spans="1:5" x14ac:dyDescent="0.2">
      <c r="A6187">
        <v>6126</v>
      </c>
      <c r="B6187" s="138">
        <f ca="1">'Assets-Liab 5-6'!H33</f>
        <v>0</v>
      </c>
      <c r="D6187" s="2" t="str">
        <f t="shared" ca="1" si="95"/>
        <v>Error?</v>
      </c>
      <c r="E6187" s="2" t="s">
        <v>190</v>
      </c>
    </row>
    <row r="6188" spans="1:5" x14ac:dyDescent="0.2">
      <c r="A6188">
        <v>6127</v>
      </c>
      <c r="B6188" s="138">
        <f ca="1">'Assets-Liab 5-6'!I33</f>
        <v>0</v>
      </c>
      <c r="D6188" s="2" t="str">
        <f t="shared" ca="1" si="95"/>
        <v>Error?</v>
      </c>
      <c r="E6188" s="2" t="s">
        <v>190</v>
      </c>
    </row>
    <row r="6189" spans="1:5" x14ac:dyDescent="0.2">
      <c r="A6189">
        <v>6128</v>
      </c>
      <c r="B6189" s="138">
        <f ca="1">'Assets-Liab 5-6'!J33</f>
        <v>0</v>
      </c>
      <c r="D6189" s="2" t="str">
        <f t="shared" ca="1" si="95"/>
        <v>Error?</v>
      </c>
      <c r="E6189" s="2" t="s">
        <v>190</v>
      </c>
    </row>
    <row r="6190" spans="1:5" x14ac:dyDescent="0.2">
      <c r="A6190">
        <v>6129</v>
      </c>
      <c r="B6190" s="138">
        <f ca="1">'Assets-Liab 5-6'!K33</f>
        <v>0</v>
      </c>
      <c r="D6190" s="2" t="str">
        <f t="shared" ca="1" si="95"/>
        <v>Error?</v>
      </c>
      <c r="E6190" s="2" t="s">
        <v>190</v>
      </c>
    </row>
    <row r="6191" spans="1:5" x14ac:dyDescent="0.2">
      <c r="A6191">
        <v>6130</v>
      </c>
      <c r="B6191" s="138">
        <f ca="1">'Assets-Liab 5-6'!J34</f>
        <v>0</v>
      </c>
      <c r="D6191" s="2" t="str">
        <f t="shared" ca="1"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104494</v>
      </c>
      <c r="D6215" s="2" t="str">
        <f t="shared" si="96"/>
        <v>Error?</v>
      </c>
      <c r="E6215" s="2" t="s">
        <v>190</v>
      </c>
    </row>
    <row r="6216" spans="1:5" x14ac:dyDescent="0.2">
      <c r="A6216">
        <v>6155</v>
      </c>
      <c r="B6216" s="138">
        <f ca="1">'Assets-Liab 5-6'!J41</f>
        <v>104494</v>
      </c>
      <c r="D6216" s="2" t="str">
        <f t="shared" ca="1" si="96"/>
        <v>Error?</v>
      </c>
      <c r="E6216" s="2" t="s">
        <v>190</v>
      </c>
    </row>
    <row r="6217" spans="1:5" x14ac:dyDescent="0.2">
      <c r="A6217">
        <v>6156</v>
      </c>
      <c r="B6217" s="138">
        <f ca="1">'Assets-Liab 5-6'!J4</f>
        <v>102466</v>
      </c>
      <c r="D6217" s="2" t="str">
        <f t="shared" ca="1" si="96"/>
        <v>Error?</v>
      </c>
      <c r="E6217" s="2" t="s">
        <v>190</v>
      </c>
    </row>
    <row r="6218" spans="1:5" x14ac:dyDescent="0.2">
      <c r="A6218">
        <v>6157</v>
      </c>
      <c r="B6218" s="138">
        <f ca="1">'Assets-Liab 5-6'!J5</f>
        <v>0</v>
      </c>
      <c r="D6218" s="2" t="str">
        <f t="shared" ca="1" si="96"/>
        <v>Error?</v>
      </c>
      <c r="E6218" s="2" t="s">
        <v>190</v>
      </c>
    </row>
    <row r="6219" spans="1:5" x14ac:dyDescent="0.2">
      <c r="A6219">
        <v>6158</v>
      </c>
      <c r="B6219" s="138">
        <f ca="1">'Assets-Liab 5-6'!J6</f>
        <v>0</v>
      </c>
      <c r="D6219" s="2" t="str">
        <f t="shared" ca="1" si="96"/>
        <v>Error?</v>
      </c>
      <c r="E6219" s="2" t="s">
        <v>190</v>
      </c>
    </row>
    <row r="6220" spans="1:5" x14ac:dyDescent="0.2">
      <c r="A6220">
        <v>6159</v>
      </c>
      <c r="B6220" s="138">
        <f ca="1">'Acct Summary 7-8'!J4</f>
        <v>10912</v>
      </c>
      <c r="D6220" s="2" t="str">
        <f t="shared" ca="1" si="96"/>
        <v>Error?</v>
      </c>
      <c r="E6220" s="2" t="s">
        <v>190</v>
      </c>
    </row>
    <row r="6221" spans="1:5" x14ac:dyDescent="0.2">
      <c r="A6221">
        <v>6160</v>
      </c>
      <c r="B6221" s="138">
        <f ca="1">'Acct Summary 7-8'!J6</f>
        <v>79094</v>
      </c>
      <c r="D6221" s="2" t="str">
        <f t="shared" ca="1" si="96"/>
        <v>Error?</v>
      </c>
      <c r="E6221" s="2" t="s">
        <v>190</v>
      </c>
    </row>
    <row r="6222" spans="1:5" x14ac:dyDescent="0.2">
      <c r="A6222">
        <v>6161</v>
      </c>
      <c r="B6222" s="138">
        <f ca="1">'Acct Summary 7-8'!J7</f>
        <v>0</v>
      </c>
      <c r="D6222" s="2" t="str">
        <f t="shared" ca="1" si="96"/>
        <v>Error?</v>
      </c>
      <c r="E6222" s="2" t="s">
        <v>190</v>
      </c>
    </row>
    <row r="6223" spans="1:5" x14ac:dyDescent="0.2">
      <c r="A6223">
        <v>6162</v>
      </c>
      <c r="B6223" s="138">
        <f ca="1">'Acct Summary 7-8'!J8</f>
        <v>90006</v>
      </c>
      <c r="D6223" s="2" t="str">
        <f t="shared" ca="1" si="96"/>
        <v>Error?</v>
      </c>
      <c r="E6223" s="2" t="s">
        <v>190</v>
      </c>
    </row>
    <row r="6224" spans="1:5" x14ac:dyDescent="0.2">
      <c r="A6224">
        <v>6163</v>
      </c>
      <c r="B6224" s="138">
        <f>'Acct Summary 7-8'!J9</f>
        <v>0</v>
      </c>
      <c r="D6224" s="2" t="str">
        <f t="shared" si="96"/>
        <v>Error?</v>
      </c>
      <c r="E6224" s="2" t="s">
        <v>190</v>
      </c>
    </row>
    <row r="6225" spans="1:5" x14ac:dyDescent="0.2">
      <c r="A6225">
        <v>6164</v>
      </c>
      <c r="B6225" s="138">
        <f ca="1">'Acct Summary 7-8'!J10</f>
        <v>90006</v>
      </c>
      <c r="D6225" s="2" t="str">
        <f t="shared" ca="1" si="96"/>
        <v>Error?</v>
      </c>
      <c r="E6225" s="2" t="s">
        <v>190</v>
      </c>
    </row>
    <row r="6226" spans="1:5" x14ac:dyDescent="0.2">
      <c r="A6226">
        <v>6165</v>
      </c>
      <c r="B6226" s="138">
        <f ca="1">'Acct Summary 7-8'!J16</f>
        <v>0</v>
      </c>
      <c r="D6226" s="2" t="str">
        <f t="shared" ca="1" si="96"/>
        <v>Error?</v>
      </c>
      <c r="E6226" s="2" t="s">
        <v>190</v>
      </c>
    </row>
    <row r="6227" spans="1:5" x14ac:dyDescent="0.2">
      <c r="A6227">
        <v>6166</v>
      </c>
      <c r="B6227" s="138">
        <f ca="1">'Acct Summary 7-8'!J17</f>
        <v>38115</v>
      </c>
      <c r="D6227" s="2" t="str">
        <f t="shared" ca="1" si="96"/>
        <v>Error?</v>
      </c>
      <c r="E6227" s="2" t="s">
        <v>190</v>
      </c>
    </row>
    <row r="6228" spans="1:5" x14ac:dyDescent="0.2">
      <c r="A6228">
        <v>6167</v>
      </c>
      <c r="B6228" s="138">
        <f>'Acct Summary 7-8'!J18</f>
        <v>0</v>
      </c>
      <c r="D6228" s="2" t="str">
        <f t="shared" si="96"/>
        <v>Error?</v>
      </c>
      <c r="E6228" s="2" t="s">
        <v>190</v>
      </c>
    </row>
    <row r="6229" spans="1:5" x14ac:dyDescent="0.2">
      <c r="A6229">
        <v>6168</v>
      </c>
      <c r="B6229" s="138">
        <f ca="1">'Acct Summary 7-8'!J19</f>
        <v>38115</v>
      </c>
      <c r="D6229" s="2" t="str">
        <f t="shared" ca="1" si="96"/>
        <v>Error?</v>
      </c>
      <c r="E6229" s="2" t="s">
        <v>190</v>
      </c>
    </row>
    <row r="6230" spans="1:5" x14ac:dyDescent="0.2">
      <c r="A6230">
        <v>6169</v>
      </c>
      <c r="B6230" s="138">
        <f ca="1">'Acct Summary 7-8'!J20</f>
        <v>51891</v>
      </c>
      <c r="D6230" s="2" t="str">
        <f t="shared" ca="1" si="96"/>
        <v>Error?</v>
      </c>
      <c r="E6230" s="2" t="s">
        <v>190</v>
      </c>
    </row>
    <row r="6231" spans="1:5" x14ac:dyDescent="0.2">
      <c r="A6231">
        <v>6170</v>
      </c>
      <c r="B6231" s="138">
        <f ca="1">'Acct Summary 7-8'!J26</f>
        <v>0</v>
      </c>
      <c r="D6231" s="2" t="str">
        <f t="shared" ca="1" si="96"/>
        <v>Error?</v>
      </c>
      <c r="E6231" s="2" t="s">
        <v>190</v>
      </c>
    </row>
    <row r="6232" spans="1:5" x14ac:dyDescent="0.2">
      <c r="A6232">
        <v>6171</v>
      </c>
      <c r="B6232" s="138">
        <f ca="1">'Acct Summary 7-8'!J28</f>
        <v>0</v>
      </c>
      <c r="D6232" s="2" t="str">
        <f t="shared" ca="1" si="96"/>
        <v>Error?</v>
      </c>
      <c r="E6232" s="2" t="s">
        <v>190</v>
      </c>
    </row>
    <row r="6233" spans="1:5" x14ac:dyDescent="0.2">
      <c r="A6233">
        <v>6172</v>
      </c>
      <c r="B6233" s="138">
        <f ca="1">'Acct Summary 7-8'!J33</f>
        <v>0</v>
      </c>
      <c r="D6233" s="2" t="str">
        <f t="shared" ca="1" si="96"/>
        <v>Error?</v>
      </c>
      <c r="E6233" s="2" t="s">
        <v>190</v>
      </c>
    </row>
    <row r="6234" spans="1:5" x14ac:dyDescent="0.2">
      <c r="A6234">
        <v>6173</v>
      </c>
      <c r="B6234" s="138">
        <f ca="1">'Acct Summary 7-8'!J34</f>
        <v>0</v>
      </c>
      <c r="D6234" s="2" t="str">
        <f t="shared" ca="1" si="96"/>
        <v>Error?</v>
      </c>
      <c r="E6234" s="2" t="s">
        <v>190</v>
      </c>
    </row>
    <row r="6235" spans="1:5" x14ac:dyDescent="0.2">
      <c r="A6235">
        <v>6174</v>
      </c>
      <c r="B6235" s="138">
        <f ca="1">'Acct Summary 7-8'!J35</f>
        <v>0</v>
      </c>
      <c r="D6235" s="2" t="str">
        <f t="shared" ca="1" si="96"/>
        <v>Error?</v>
      </c>
      <c r="E6235" s="2" t="s">
        <v>190</v>
      </c>
    </row>
    <row r="6236" spans="1:5" x14ac:dyDescent="0.2">
      <c r="A6236">
        <v>6175</v>
      </c>
      <c r="B6236" s="138">
        <f ca="1">'Acct Summary 7-8'!J36</f>
        <v>0</v>
      </c>
      <c r="D6236" s="2" t="str">
        <f t="shared" ca="1" si="96"/>
        <v>Error?</v>
      </c>
      <c r="E6236" s="2" t="s">
        <v>190</v>
      </c>
    </row>
    <row r="6237" spans="1:5" x14ac:dyDescent="0.2">
      <c r="A6237">
        <v>6176</v>
      </c>
      <c r="B6237" s="138">
        <f ca="1">'Acct Summary 7-8'!J43</f>
        <v>0</v>
      </c>
      <c r="D6237" s="2" t="str">
        <f t="shared" ca="1" si="96"/>
        <v>Error?</v>
      </c>
      <c r="E6237" s="2" t="s">
        <v>190</v>
      </c>
    </row>
    <row r="6238" spans="1:5" x14ac:dyDescent="0.2">
      <c r="A6238">
        <v>6177</v>
      </c>
      <c r="B6238" s="138">
        <f ca="1">'Acct Summary 7-8'!J44</f>
        <v>0</v>
      </c>
      <c r="D6238" s="2" t="str">
        <f t="shared" ca="1" si="96"/>
        <v>Error?</v>
      </c>
      <c r="E6238" s="2" t="s">
        <v>190</v>
      </c>
    </row>
    <row r="6239" spans="1:5" x14ac:dyDescent="0.2">
      <c r="A6239">
        <v>6178</v>
      </c>
      <c r="B6239" s="138">
        <f ca="1">'Acct Summary 7-8'!J50</f>
        <v>0</v>
      </c>
      <c r="D6239" s="2" t="str">
        <f t="shared" ca="1" si="96"/>
        <v>Error?</v>
      </c>
      <c r="E6239" s="2" t="s">
        <v>190</v>
      </c>
    </row>
    <row r="6240" spans="1:5" x14ac:dyDescent="0.2">
      <c r="A6240">
        <v>6179</v>
      </c>
      <c r="B6240" s="138">
        <f ca="1">'Acct Summary 7-8'!C54</f>
        <v>0</v>
      </c>
      <c r="D6240" s="2" t="str">
        <f t="shared" ca="1" si="96"/>
        <v>Error?</v>
      </c>
      <c r="E6240" s="2" t="s">
        <v>190</v>
      </c>
    </row>
    <row r="6241" spans="1:5" x14ac:dyDescent="0.2">
      <c r="A6241">
        <v>6180</v>
      </c>
      <c r="B6241" s="138">
        <f ca="1">'Acct Summary 7-8'!D54</f>
        <v>0</v>
      </c>
      <c r="D6241" s="2" t="str">
        <f t="shared" ca="1" si="96"/>
        <v>Error?</v>
      </c>
      <c r="E6241" s="2" t="s">
        <v>190</v>
      </c>
    </row>
    <row r="6242" spans="1:5" x14ac:dyDescent="0.2">
      <c r="A6242">
        <v>6181</v>
      </c>
      <c r="B6242" s="138">
        <f ca="1">'Acct Summary 7-8'!H54</f>
        <v>0</v>
      </c>
      <c r="D6242" s="2" t="str">
        <f t="shared" ca="1" si="96"/>
        <v>Error?</v>
      </c>
      <c r="E6242" s="2" t="s">
        <v>190</v>
      </c>
    </row>
    <row r="6243" spans="1:5" x14ac:dyDescent="0.2">
      <c r="A6243">
        <v>6182</v>
      </c>
      <c r="B6243" s="138">
        <f ca="1">'Acct Summary 7-8'!C58</f>
        <v>0</v>
      </c>
      <c r="D6243" s="2" t="str">
        <f t="shared" ca="1" si="96"/>
        <v>Error?</v>
      </c>
      <c r="E6243" s="2" t="s">
        <v>190</v>
      </c>
    </row>
    <row r="6244" spans="1:5" x14ac:dyDescent="0.2">
      <c r="A6244">
        <v>6183</v>
      </c>
      <c r="B6244" s="138">
        <f ca="1">'Acct Summary 7-8'!D58</f>
        <v>0</v>
      </c>
      <c r="D6244" s="2" t="str">
        <f t="shared" ca="1" si="96"/>
        <v>Error?</v>
      </c>
      <c r="E6244" s="2" t="s">
        <v>190</v>
      </c>
    </row>
    <row r="6245" spans="1:5" x14ac:dyDescent="0.2">
      <c r="A6245">
        <v>6184</v>
      </c>
      <c r="B6245" s="138">
        <f ca="1">'Acct Summary 7-8'!H58</f>
        <v>0</v>
      </c>
      <c r="D6245" s="2" t="str">
        <f t="shared" ca="1" si="96"/>
        <v>Error?</v>
      </c>
      <c r="E6245" s="2" t="s">
        <v>190</v>
      </c>
    </row>
    <row r="6246" spans="1:5" x14ac:dyDescent="0.2">
      <c r="A6246">
        <v>6185</v>
      </c>
      <c r="B6246" s="138">
        <f ca="1">'Acct Summary 7-8'!C62</f>
        <v>0</v>
      </c>
      <c r="D6246" s="2" t="str">
        <f t="shared" ca="1" si="96"/>
        <v>Error?</v>
      </c>
      <c r="E6246" s="2" t="s">
        <v>190</v>
      </c>
    </row>
    <row r="6247" spans="1:5" x14ac:dyDescent="0.2">
      <c r="A6247">
        <v>6186</v>
      </c>
      <c r="B6247" s="138">
        <f ca="1">'Acct Summary 7-8'!D62</f>
        <v>0</v>
      </c>
      <c r="D6247" s="2" t="str">
        <f t="shared" ca="1" si="96"/>
        <v>Error?</v>
      </c>
      <c r="E6247" s="2" t="s">
        <v>190</v>
      </c>
    </row>
    <row r="6248" spans="1:5" x14ac:dyDescent="0.2">
      <c r="A6248">
        <v>6187</v>
      </c>
      <c r="B6248" s="138">
        <f ca="1">'Acct Summary 7-8'!C66</f>
        <v>0</v>
      </c>
      <c r="D6248" s="2" t="str">
        <f t="shared" ca="1" si="96"/>
        <v>Error?</v>
      </c>
      <c r="E6248" s="2" t="s">
        <v>190</v>
      </c>
    </row>
    <row r="6249" spans="1:5" x14ac:dyDescent="0.2">
      <c r="A6249">
        <v>6188</v>
      </c>
      <c r="B6249" s="138">
        <f ca="1">'Acct Summary 7-8'!D66</f>
        <v>0</v>
      </c>
      <c r="D6249" s="2" t="str">
        <f t="shared" ca="1" si="96"/>
        <v>Error?</v>
      </c>
      <c r="E6249" s="2" t="s">
        <v>190</v>
      </c>
    </row>
    <row r="6250" spans="1:5" x14ac:dyDescent="0.2">
      <c r="A6250">
        <v>6189</v>
      </c>
      <c r="B6250" s="138">
        <f ca="1">'Acct Summary 7-8'!C70</f>
        <v>0</v>
      </c>
      <c r="D6250" s="2" t="str">
        <f t="shared" ca="1" si="96"/>
        <v>Error?</v>
      </c>
      <c r="E6250" s="2" t="s">
        <v>190</v>
      </c>
    </row>
    <row r="6251" spans="1:5" x14ac:dyDescent="0.2">
      <c r="A6251">
        <v>6190</v>
      </c>
      <c r="B6251" s="138">
        <f ca="1">'Acct Summary 7-8'!D70</f>
        <v>0</v>
      </c>
      <c r="D6251" s="2" t="str">
        <f t="shared" ca="1" si="96"/>
        <v>Error?</v>
      </c>
      <c r="E6251" s="2" t="s">
        <v>190</v>
      </c>
    </row>
    <row r="6252" spans="1:5" x14ac:dyDescent="0.2">
      <c r="A6252">
        <v>6191</v>
      </c>
      <c r="B6252" s="138">
        <f ca="1">'Acct Summary 7-8'!C74</f>
        <v>0</v>
      </c>
      <c r="D6252" s="2" t="str">
        <f t="shared" ca="1" si="96"/>
        <v>Error?</v>
      </c>
      <c r="E6252" s="2" t="s">
        <v>190</v>
      </c>
    </row>
    <row r="6253" spans="1:5" x14ac:dyDescent="0.2">
      <c r="A6253">
        <v>6192</v>
      </c>
      <c r="B6253" s="138">
        <f ca="1">'Acct Summary 7-8'!D74</f>
        <v>0</v>
      </c>
      <c r="D6253" s="2" t="str">
        <f t="shared" ca="1" si="96"/>
        <v>Error?</v>
      </c>
      <c r="E6253" s="2" t="s">
        <v>190</v>
      </c>
    </row>
    <row r="6254" spans="1:5" x14ac:dyDescent="0.2">
      <c r="A6254">
        <v>6193</v>
      </c>
      <c r="B6254" s="138">
        <f ca="1">'Acct Summary 7-8'!F74</f>
        <v>0</v>
      </c>
      <c r="D6254" s="2" t="str">
        <f t="shared" ca="1" si="96"/>
        <v>Error?</v>
      </c>
      <c r="E6254" s="2" t="s">
        <v>190</v>
      </c>
    </row>
    <row r="6255" spans="1:5" x14ac:dyDescent="0.2">
      <c r="A6255">
        <v>6194</v>
      </c>
      <c r="B6255" s="138">
        <f ca="1">'Acct Summary 7-8'!G74</f>
        <v>0</v>
      </c>
      <c r="D6255" s="2" t="str">
        <f t="shared" ca="1" si="96"/>
        <v>Error?</v>
      </c>
      <c r="E6255" s="2" t="s">
        <v>190</v>
      </c>
    </row>
    <row r="6256" spans="1:5" x14ac:dyDescent="0.2">
      <c r="A6256">
        <v>6195</v>
      </c>
      <c r="B6256" s="138">
        <f ca="1">'Acct Summary 7-8'!H74</f>
        <v>0</v>
      </c>
      <c r="D6256" s="2" t="str">
        <f t="shared" ca="1" si="96"/>
        <v>Error?</v>
      </c>
      <c r="E6256" s="2" t="s">
        <v>190</v>
      </c>
    </row>
    <row r="6257" spans="1:5" x14ac:dyDescent="0.2">
      <c r="A6257">
        <v>6196</v>
      </c>
      <c r="B6257" s="138">
        <f ca="1">'Acct Summary 7-8'!K74</f>
        <v>0</v>
      </c>
      <c r="D6257" s="2" t="str">
        <f t="shared" ca="1" si="96"/>
        <v>Error?</v>
      </c>
      <c r="E6257" s="2" t="s">
        <v>190</v>
      </c>
    </row>
    <row r="6258" spans="1:5" x14ac:dyDescent="0.2">
      <c r="A6258">
        <v>6197</v>
      </c>
      <c r="B6258" s="138">
        <f ca="1">'Acct Summary 7-8'!G75</f>
        <v>0</v>
      </c>
      <c r="D6258" s="2" t="str">
        <f t="shared" ca="1" si="96"/>
        <v>Error?</v>
      </c>
      <c r="E6258" s="2" t="s">
        <v>190</v>
      </c>
    </row>
    <row r="6259" spans="1:5" x14ac:dyDescent="0.2">
      <c r="A6259">
        <v>6198</v>
      </c>
      <c r="B6259" s="138">
        <f ca="1">'Acct Summary 7-8'!I75</f>
        <v>0</v>
      </c>
      <c r="D6259" s="2" t="str">
        <f t="shared" ca="1" si="96"/>
        <v>Error?</v>
      </c>
      <c r="E6259" s="2" t="s">
        <v>190</v>
      </c>
    </row>
    <row r="6260" spans="1:5" x14ac:dyDescent="0.2">
      <c r="A6260">
        <v>6199</v>
      </c>
      <c r="B6260" s="138">
        <f ca="1">'Acct Summary 7-8'!J75</f>
        <v>0</v>
      </c>
      <c r="D6260" s="2" t="str">
        <f t="shared" ca="1" si="96"/>
        <v>Error?</v>
      </c>
      <c r="E6260" s="2" t="s">
        <v>190</v>
      </c>
    </row>
    <row r="6261" spans="1:5" x14ac:dyDescent="0.2">
      <c r="A6261">
        <v>6200</v>
      </c>
      <c r="B6261" s="138">
        <f ca="1">'Acct Summary 7-8'!J76</f>
        <v>0</v>
      </c>
      <c r="D6261" s="2" t="str">
        <f t="shared" ca="1" si="96"/>
        <v>Error?</v>
      </c>
      <c r="E6261" s="2" t="s">
        <v>190</v>
      </c>
    </row>
    <row r="6262" spans="1:5" x14ac:dyDescent="0.2">
      <c r="A6262">
        <v>6201</v>
      </c>
      <c r="B6262" s="138">
        <f ca="1">'Acct Summary 7-8'!J77</f>
        <v>0</v>
      </c>
      <c r="D6262" s="2" t="str">
        <f t="shared" ca="1" si="96"/>
        <v>Error?</v>
      </c>
      <c r="E6262" s="2" t="s">
        <v>190</v>
      </c>
    </row>
    <row r="6263" spans="1:5" x14ac:dyDescent="0.2">
      <c r="A6263">
        <v>6202</v>
      </c>
      <c r="B6263" s="138">
        <f ca="1">'Acct Summary 7-8'!J78</f>
        <v>51891</v>
      </c>
      <c r="D6263" s="2" t="str">
        <f t="shared" ca="1" si="96"/>
        <v>Error?</v>
      </c>
      <c r="E6263" s="2" t="s">
        <v>190</v>
      </c>
    </row>
    <row r="6264" spans="1:5" x14ac:dyDescent="0.2">
      <c r="A6264">
        <v>6203</v>
      </c>
      <c r="B6264" s="138">
        <f>'Acct Summary 7-8'!J79</f>
        <v>52603</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 ca="1">'Acct Summary 7-8'!J81</f>
        <v>104494</v>
      </c>
      <c r="D6266" s="2" t="str">
        <f t="shared" ca="1" si="96"/>
        <v>Error?</v>
      </c>
      <c r="E6266" s="2" t="s">
        <v>190</v>
      </c>
    </row>
    <row r="6267" spans="1:5" x14ac:dyDescent="0.2">
      <c r="A6267">
        <v>6206</v>
      </c>
      <c r="B6267" s="138">
        <f ca="1">'Acct Summary 7-8'!C82</f>
        <v>-87742</v>
      </c>
      <c r="D6267" s="2" t="str">
        <f t="shared" ca="1" si="96"/>
        <v>Error?</v>
      </c>
      <c r="E6267" s="2" t="s">
        <v>190</v>
      </c>
    </row>
    <row r="6268" spans="1:5" x14ac:dyDescent="0.2">
      <c r="A6268">
        <v>6207</v>
      </c>
      <c r="B6268" s="138">
        <f ca="1">'Acct Summary 7-8'!D82</f>
        <v>7287</v>
      </c>
      <c r="D6268" s="2" t="str">
        <f t="shared" ca="1" si="96"/>
        <v>Error?</v>
      </c>
      <c r="E6268" s="2" t="s">
        <v>190</v>
      </c>
    </row>
    <row r="6269" spans="1:5" x14ac:dyDescent="0.2">
      <c r="A6269">
        <v>6208</v>
      </c>
      <c r="B6269" s="138">
        <f ca="1">'Acct Summary 7-8'!E82</f>
        <v>0</v>
      </c>
      <c r="D6269" s="2" t="str">
        <f t="shared" ca="1" si="96"/>
        <v>Error?</v>
      </c>
      <c r="E6269" s="2" t="s">
        <v>190</v>
      </c>
    </row>
    <row r="6270" spans="1:5" x14ac:dyDescent="0.2">
      <c r="A6270">
        <v>6209</v>
      </c>
      <c r="B6270" s="138">
        <f ca="1">'Acct Summary 7-8'!F82</f>
        <v>79977</v>
      </c>
      <c r="D6270" s="2" t="str">
        <f t="shared" ca="1" si="96"/>
        <v>Error?</v>
      </c>
      <c r="E6270" s="2" t="s">
        <v>190</v>
      </c>
    </row>
    <row r="6271" spans="1:5" x14ac:dyDescent="0.2">
      <c r="A6271">
        <v>6210</v>
      </c>
      <c r="B6271" s="138">
        <f ca="1">'Acct Summary 7-8'!G82</f>
        <v>-37571</v>
      </c>
      <c r="D6271" s="2" t="str">
        <f t="shared" ref="D6271:D6334" ca="1" si="97">IF(ISBLANK(B6271),"OK",IF(A6271-B6271=0,"OK","Error?"))</f>
        <v>Error?</v>
      </c>
      <c r="E6271" s="2" t="s">
        <v>190</v>
      </c>
    </row>
    <row r="6272" spans="1:5" x14ac:dyDescent="0.2">
      <c r="A6272">
        <v>6211</v>
      </c>
      <c r="B6272" s="138">
        <f ca="1">'Acct Summary 7-8'!H82</f>
        <v>7815</v>
      </c>
      <c r="D6272" s="2" t="str">
        <f t="shared" ca="1" si="97"/>
        <v>Error?</v>
      </c>
      <c r="E6272" s="2" t="s">
        <v>190</v>
      </c>
    </row>
    <row r="6273" spans="1:5" x14ac:dyDescent="0.2">
      <c r="A6273">
        <v>6212</v>
      </c>
      <c r="B6273" s="138">
        <f ca="1">'Acct Summary 7-8'!I82</f>
        <v>11495</v>
      </c>
      <c r="D6273" s="2" t="str">
        <f t="shared" ca="1" si="97"/>
        <v>Error?</v>
      </c>
      <c r="E6273" s="2" t="s">
        <v>190</v>
      </c>
    </row>
    <row r="6274" spans="1:5" x14ac:dyDescent="0.2">
      <c r="A6274">
        <v>6213</v>
      </c>
      <c r="B6274" s="138">
        <f ca="1">'Acct Summary 7-8'!J82</f>
        <v>51891</v>
      </c>
      <c r="D6274" s="2" t="str">
        <f t="shared" ca="1" si="97"/>
        <v>Error?</v>
      </c>
      <c r="E6274" s="2" t="s">
        <v>190</v>
      </c>
    </row>
    <row r="6275" spans="1:5" x14ac:dyDescent="0.2">
      <c r="A6275">
        <v>6214</v>
      </c>
      <c r="B6275" s="138">
        <f ca="1">'Acct Summary 7-8'!K82</f>
        <v>0</v>
      </c>
      <c r="D6275" s="2" t="str">
        <f t="shared" ca="1" si="97"/>
        <v>Error?</v>
      </c>
      <c r="E6275" s="2" t="s">
        <v>190</v>
      </c>
    </row>
    <row r="6276" spans="1:5" x14ac:dyDescent="0.2">
      <c r="A6276">
        <v>6215</v>
      </c>
      <c r="B6276" s="138">
        <f ca="1">'Acct Summary 7-8'!C83</f>
        <v>-3.9306705372182206E-2</v>
      </c>
      <c r="D6276" s="2" t="str">
        <f t="shared" ca="1" si="97"/>
        <v>Error?</v>
      </c>
      <c r="E6276" s="2" t="s">
        <v>190</v>
      </c>
    </row>
    <row r="6277" spans="1:5" x14ac:dyDescent="0.2">
      <c r="A6277">
        <v>6216</v>
      </c>
      <c r="B6277" s="138">
        <f ca="1">'Acct Summary 7-8'!D83</f>
        <v>1.1915935990476408E-2</v>
      </c>
      <c r="D6277" s="2" t="str">
        <f t="shared" ca="1" si="97"/>
        <v>Error?</v>
      </c>
      <c r="E6277" s="2" t="s">
        <v>190</v>
      </c>
    </row>
    <row r="6278" spans="1:5" x14ac:dyDescent="0.2">
      <c r="A6278">
        <v>6217</v>
      </c>
      <c r="B6278" s="138" t="e">
        <f ca="1">'Acct Summary 7-8'!E83</f>
        <v>#DIV/0!</v>
      </c>
      <c r="D6278" s="2" t="e">
        <f t="shared" ca="1" si="97"/>
        <v>#DIV/0!</v>
      </c>
      <c r="E6278" s="2" t="s">
        <v>190</v>
      </c>
    </row>
    <row r="6279" spans="1:5" x14ac:dyDescent="0.2">
      <c r="A6279">
        <v>6218</v>
      </c>
      <c r="B6279" s="138">
        <f ca="1">'Acct Summary 7-8'!F83</f>
        <v>0.13626767942669332</v>
      </c>
      <c r="D6279" s="2" t="str">
        <f t="shared" ca="1" si="97"/>
        <v>Error?</v>
      </c>
      <c r="E6279" s="2" t="s">
        <v>190</v>
      </c>
    </row>
    <row r="6280" spans="1:5" x14ac:dyDescent="0.2">
      <c r="A6280">
        <v>6219</v>
      </c>
      <c r="B6280" s="138">
        <f ca="1">'Acct Summary 7-8'!G83</f>
        <v>-0.57821998553334253</v>
      </c>
      <c r="D6280" s="2" t="str">
        <f t="shared" ca="1" si="97"/>
        <v>Error?</v>
      </c>
      <c r="E6280" s="2" t="s">
        <v>190</v>
      </c>
    </row>
    <row r="6281" spans="1:5" x14ac:dyDescent="0.2">
      <c r="A6281">
        <v>6220</v>
      </c>
      <c r="B6281" s="138">
        <f ca="1">'Acct Summary 7-8'!H83</f>
        <v>5.2642214812569463E-2</v>
      </c>
      <c r="D6281" s="2" t="str">
        <f t="shared" ca="1" si="97"/>
        <v>Error?</v>
      </c>
      <c r="E6281" s="2" t="s">
        <v>190</v>
      </c>
    </row>
    <row r="6282" spans="1:5" x14ac:dyDescent="0.2">
      <c r="A6282">
        <v>6221</v>
      </c>
      <c r="B6282" s="138">
        <f ca="1">'Acct Summary 7-8'!I83</f>
        <v>8.1341947536389819E-2</v>
      </c>
      <c r="D6282" s="2" t="str">
        <f t="shared" ca="1" si="97"/>
        <v>Error?</v>
      </c>
      <c r="E6282" s="2" t="s">
        <v>190</v>
      </c>
    </row>
    <row r="6283" spans="1:5" x14ac:dyDescent="0.2">
      <c r="A6283">
        <v>6222</v>
      </c>
      <c r="B6283" s="138">
        <f ca="1">'Acct Summary 7-8'!J83</f>
        <v>0.49659310582425786</v>
      </c>
      <c r="D6283" s="2" t="str">
        <f t="shared" ca="1" si="97"/>
        <v>Error?</v>
      </c>
      <c r="E6283" s="2" t="s">
        <v>190</v>
      </c>
    </row>
    <row r="6284" spans="1:5" x14ac:dyDescent="0.2">
      <c r="A6284">
        <v>6223</v>
      </c>
      <c r="B6284" s="138" t="e">
        <f ca="1">'Acct Summary 7-8'!K83</f>
        <v>#DIV/0!</v>
      </c>
      <c r="D6284" s="2" t="e">
        <f t="shared" ca="1" si="97"/>
        <v>#DIV/0!</v>
      </c>
      <c r="E6284" s="2" t="s">
        <v>190</v>
      </c>
    </row>
    <row r="6285" spans="1:5" x14ac:dyDescent="0.2">
      <c r="A6285">
        <v>6224</v>
      </c>
      <c r="B6285" s="138">
        <f ca="1">'Acct Summary 7-8'!E37</f>
        <v>0</v>
      </c>
      <c r="D6285" s="2" t="str">
        <f t="shared" ca="1" si="97"/>
        <v>Error?</v>
      </c>
      <c r="E6285" s="2" t="s">
        <v>190</v>
      </c>
    </row>
    <row r="6286" spans="1:5" x14ac:dyDescent="0.2">
      <c r="A6286">
        <v>6225</v>
      </c>
      <c r="B6286" s="138">
        <f ca="1">'Acct Summary 7-8'!E38</f>
        <v>0</v>
      </c>
      <c r="D6286" s="2" t="str">
        <f t="shared" ca="1" si="97"/>
        <v>Error?</v>
      </c>
      <c r="E6286" s="2" t="s">
        <v>190</v>
      </c>
    </row>
    <row r="6287" spans="1:5" x14ac:dyDescent="0.2">
      <c r="A6287">
        <v>6226</v>
      </c>
      <c r="B6287" s="138">
        <f ca="1">'Acct Summary 7-8'!E39</f>
        <v>0</v>
      </c>
      <c r="D6287" s="2" t="str">
        <f t="shared" ca="1" si="97"/>
        <v>Error?</v>
      </c>
      <c r="E6287" s="2" t="s">
        <v>190</v>
      </c>
    </row>
    <row r="6288" spans="1:5" x14ac:dyDescent="0.2">
      <c r="A6288">
        <v>6227</v>
      </c>
      <c r="B6288" s="138">
        <f ca="1">'Acct Summary 7-8'!E40</f>
        <v>0</v>
      </c>
      <c r="D6288" s="2" t="str">
        <f t="shared" ca="1" si="97"/>
        <v>Error?</v>
      </c>
      <c r="E6288" s="2" t="s">
        <v>190</v>
      </c>
    </row>
    <row r="6289" spans="1:5" x14ac:dyDescent="0.2">
      <c r="A6289">
        <v>6228</v>
      </c>
      <c r="B6289" s="138">
        <f ca="1">'Acct Summary 7-8'!H41</f>
        <v>0</v>
      </c>
      <c r="D6289" s="2" t="str">
        <f t="shared" ca="1" si="97"/>
        <v>Error?</v>
      </c>
      <c r="E6289" s="2" t="s">
        <v>190</v>
      </c>
    </row>
    <row r="6290" spans="1:5" x14ac:dyDescent="0.2">
      <c r="A6290">
        <v>6229</v>
      </c>
      <c r="B6290" s="138">
        <f ca="1">'Acct Summary 7-8'!C42</f>
        <v>0</v>
      </c>
      <c r="D6290" s="2" t="str">
        <f t="shared" ca="1" si="97"/>
        <v>Error?</v>
      </c>
      <c r="E6290" s="2" t="s">
        <v>190</v>
      </c>
    </row>
    <row r="6291" spans="1:5" x14ac:dyDescent="0.2">
      <c r="A6291">
        <v>6230</v>
      </c>
      <c r="B6291" s="138">
        <f ca="1">'Acct Summary 7-8'!D42</f>
        <v>0</v>
      </c>
      <c r="D6291" s="2" t="str">
        <f t="shared" ca="1" si="97"/>
        <v>Error?</v>
      </c>
      <c r="E6291" s="2" t="s">
        <v>190</v>
      </c>
    </row>
    <row r="6292" spans="1:5" x14ac:dyDescent="0.2">
      <c r="A6292">
        <v>6231</v>
      </c>
      <c r="B6292" s="138">
        <f ca="1">'Acct Summary 7-8'!E42</f>
        <v>0</v>
      </c>
      <c r="D6292" s="2" t="str">
        <f t="shared" ca="1" si="97"/>
        <v>Error?</v>
      </c>
      <c r="E6292" s="2" t="s">
        <v>190</v>
      </c>
    </row>
    <row r="6293" spans="1:5" x14ac:dyDescent="0.2">
      <c r="A6293">
        <v>6232</v>
      </c>
      <c r="B6293" s="138">
        <f ca="1">'Acct Summary 7-8'!F42</f>
        <v>0</v>
      </c>
      <c r="D6293" s="2" t="str">
        <f t="shared" ca="1" si="97"/>
        <v>Error?</v>
      </c>
      <c r="E6293" s="2" t="s">
        <v>190</v>
      </c>
    </row>
    <row r="6294" spans="1:5" x14ac:dyDescent="0.2">
      <c r="A6294">
        <v>6233</v>
      </c>
      <c r="B6294" s="138">
        <f ca="1">'Acct Summary 7-8'!G42</f>
        <v>0</v>
      </c>
      <c r="D6294" s="2" t="str">
        <f t="shared" ca="1" si="97"/>
        <v>Error?</v>
      </c>
      <c r="E6294" s="2" t="s">
        <v>190</v>
      </c>
    </row>
    <row r="6295" spans="1:5" x14ac:dyDescent="0.2">
      <c r="A6295">
        <v>6234</v>
      </c>
      <c r="B6295" s="138">
        <f ca="1">'Acct Summary 7-8'!H42</f>
        <v>0</v>
      </c>
      <c r="D6295" s="2" t="str">
        <f t="shared" ca="1" si="97"/>
        <v>Error?</v>
      </c>
      <c r="E6295" s="2" t="s">
        <v>190</v>
      </c>
    </row>
    <row r="6296" spans="1:5" x14ac:dyDescent="0.2">
      <c r="A6296">
        <v>6235</v>
      </c>
      <c r="B6296" s="138">
        <f ca="1">'Acct Summary 7-8'!K42</f>
        <v>0</v>
      </c>
      <c r="D6296" s="2" t="str">
        <f t="shared" ca="1" si="97"/>
        <v>Error?</v>
      </c>
      <c r="E6296" s="2" t="s">
        <v>190</v>
      </c>
    </row>
    <row r="6297" spans="1:5" x14ac:dyDescent="0.2">
      <c r="A6297">
        <v>6236</v>
      </c>
      <c r="B6297" s="138">
        <f>'Assets-Liab 5-6'!M15</f>
        <v>0</v>
      </c>
      <c r="D6297" s="2" t="str">
        <f t="shared" si="97"/>
        <v>Error?</v>
      </c>
      <c r="E6297" s="2" t="s">
        <v>190</v>
      </c>
    </row>
    <row r="6298" spans="1:5" x14ac:dyDescent="0.2">
      <c r="A6298">
        <v>6237</v>
      </c>
      <c r="B6298" s="138">
        <f ca="1">'Revenues 9-14'!J5</f>
        <v>10896</v>
      </c>
      <c r="D6298" s="2" t="str">
        <f t="shared" ca="1" si="97"/>
        <v>Error?</v>
      </c>
      <c r="E6298" s="2" t="s">
        <v>190</v>
      </c>
    </row>
    <row r="6299" spans="1:5" x14ac:dyDescent="0.2">
      <c r="A6299">
        <v>6238</v>
      </c>
      <c r="B6299" s="138">
        <f ca="1">'Revenues 9-14'!H7</f>
        <v>0</v>
      </c>
      <c r="D6299" s="2" t="str">
        <f t="shared" ca="1" si="97"/>
        <v>Error?</v>
      </c>
      <c r="E6299" s="2" t="s">
        <v>190</v>
      </c>
    </row>
    <row r="6300" spans="1:5" x14ac:dyDescent="0.2">
      <c r="A6300">
        <v>6239</v>
      </c>
      <c r="B6300" s="138">
        <f ca="1">'Revenues 9-14'!J11</f>
        <v>0</v>
      </c>
      <c r="D6300" s="2" t="str">
        <f t="shared" ca="1" si="97"/>
        <v>Error?</v>
      </c>
      <c r="E6300" s="2" t="s">
        <v>190</v>
      </c>
    </row>
    <row r="6301" spans="1:5" x14ac:dyDescent="0.2">
      <c r="A6301">
        <v>6240</v>
      </c>
      <c r="B6301" s="138">
        <f ca="1">'Revenues 9-14'!J12</f>
        <v>10896</v>
      </c>
      <c r="D6301" s="2" t="str">
        <f t="shared" ca="1" si="97"/>
        <v>Error?</v>
      </c>
      <c r="E6301" s="2" t="s">
        <v>190</v>
      </c>
    </row>
    <row r="6302" spans="1:5" x14ac:dyDescent="0.2">
      <c r="A6302">
        <v>6241</v>
      </c>
      <c r="B6302" s="138">
        <f ca="1">'Revenues 9-14'!J14</f>
        <v>0</v>
      </c>
      <c r="D6302" s="2" t="str">
        <f t="shared" ca="1" si="97"/>
        <v>Error?</v>
      </c>
      <c r="E6302" s="2" t="s">
        <v>190</v>
      </c>
    </row>
    <row r="6303" spans="1:5" x14ac:dyDescent="0.2">
      <c r="A6303">
        <v>6242</v>
      </c>
      <c r="B6303" s="138">
        <f ca="1">'Revenues 9-14'!J15</f>
        <v>0</v>
      </c>
      <c r="D6303" s="2" t="str">
        <f t="shared" ca="1" si="97"/>
        <v>Error?</v>
      </c>
      <c r="E6303" s="2" t="s">
        <v>190</v>
      </c>
    </row>
    <row r="6304" spans="1:5" x14ac:dyDescent="0.2">
      <c r="A6304">
        <v>6243</v>
      </c>
      <c r="B6304" s="138">
        <f ca="1">'Revenues 9-14'!J16</f>
        <v>0</v>
      </c>
      <c r="D6304" s="2" t="str">
        <f t="shared" ca="1" si="97"/>
        <v>Error?</v>
      </c>
      <c r="E6304" s="2" t="s">
        <v>190</v>
      </c>
    </row>
    <row r="6305" spans="1:5" x14ac:dyDescent="0.2">
      <c r="A6305">
        <v>6244</v>
      </c>
      <c r="B6305" s="138">
        <f ca="1">'Revenues 9-14'!J17</f>
        <v>0</v>
      </c>
      <c r="D6305" s="2" t="str">
        <f t="shared" ca="1" si="97"/>
        <v>Error?</v>
      </c>
      <c r="E6305" s="2" t="s">
        <v>190</v>
      </c>
    </row>
    <row r="6306" spans="1:5" x14ac:dyDescent="0.2">
      <c r="A6306">
        <v>6245</v>
      </c>
      <c r="B6306" s="138">
        <f ca="1">'Revenues 9-14'!J18</f>
        <v>0</v>
      </c>
      <c r="D6306" s="2" t="str">
        <f t="shared" ca="1" si="97"/>
        <v>Error?</v>
      </c>
      <c r="E6306" s="2" t="s">
        <v>190</v>
      </c>
    </row>
    <row r="6307" spans="1:5" x14ac:dyDescent="0.2">
      <c r="A6307">
        <v>6246</v>
      </c>
      <c r="B6307" s="138">
        <f ca="1">'Revenues 9-14'!C23</f>
        <v>0</v>
      </c>
      <c r="D6307" s="2" t="str">
        <f t="shared" ca="1" si="97"/>
        <v>Error?</v>
      </c>
      <c r="E6307" s="2" t="s">
        <v>190</v>
      </c>
    </row>
    <row r="6308" spans="1:5" x14ac:dyDescent="0.2">
      <c r="A6308">
        <v>6247</v>
      </c>
      <c r="B6308" s="138">
        <f ca="1">'Revenues 9-14'!C27</f>
        <v>0</v>
      </c>
      <c r="D6308" s="2" t="str">
        <f t="shared" ca="1" si="97"/>
        <v>Error?</v>
      </c>
      <c r="E6308" s="2" t="s">
        <v>190</v>
      </c>
    </row>
    <row r="6309" spans="1:5" x14ac:dyDescent="0.2">
      <c r="A6309">
        <v>6248</v>
      </c>
      <c r="B6309" s="138">
        <f ca="1">'Revenues 9-14'!C31</f>
        <v>0</v>
      </c>
      <c r="D6309" s="2" t="str">
        <f t="shared" ca="1" si="97"/>
        <v>Error?</v>
      </c>
      <c r="E6309" s="2" t="s">
        <v>190</v>
      </c>
    </row>
    <row r="6310" spans="1:5" x14ac:dyDescent="0.2">
      <c r="A6310">
        <v>6249</v>
      </c>
      <c r="B6310" s="138">
        <f ca="1">'Revenues 9-14'!C35</f>
        <v>0</v>
      </c>
      <c r="D6310" s="2" t="str">
        <f t="shared" ca="1" si="97"/>
        <v>Error?</v>
      </c>
      <c r="E6310" s="2" t="s">
        <v>190</v>
      </c>
    </row>
    <row r="6311" spans="1:5" x14ac:dyDescent="0.2">
      <c r="A6311">
        <v>6250</v>
      </c>
      <c r="B6311" s="138">
        <f ca="1">'Revenues 9-14'!C39</f>
        <v>0</v>
      </c>
      <c r="D6311" s="2" t="str">
        <f t="shared" ca="1" si="97"/>
        <v>Error?</v>
      </c>
      <c r="E6311" s="2" t="s">
        <v>190</v>
      </c>
    </row>
    <row r="6312" spans="1:5" x14ac:dyDescent="0.2">
      <c r="A6312">
        <v>6251</v>
      </c>
      <c r="B6312" s="138">
        <f ca="1">'Revenues 9-14'!F46</f>
        <v>0</v>
      </c>
      <c r="D6312" s="2" t="str">
        <f t="shared" ca="1" si="97"/>
        <v>Error?</v>
      </c>
      <c r="E6312" s="2" t="s">
        <v>190</v>
      </c>
    </row>
    <row r="6313" spans="1:5" x14ac:dyDescent="0.2">
      <c r="A6313">
        <v>6252</v>
      </c>
      <c r="B6313" s="138">
        <f ca="1">'Revenues 9-14'!F50</f>
        <v>0</v>
      </c>
      <c r="D6313" s="2" t="str">
        <f t="shared" ca="1" si="97"/>
        <v>Error?</v>
      </c>
      <c r="E6313" s="2" t="s">
        <v>190</v>
      </c>
    </row>
    <row r="6314" spans="1:5" x14ac:dyDescent="0.2">
      <c r="A6314">
        <v>6253</v>
      </c>
      <c r="B6314" s="138">
        <f ca="1">'Revenues 9-14'!F54</f>
        <v>0</v>
      </c>
      <c r="D6314" s="2" t="str">
        <f t="shared" ca="1" si="97"/>
        <v>Error?</v>
      </c>
      <c r="E6314" s="2" t="s">
        <v>190</v>
      </c>
    </row>
    <row r="6315" spans="1:5" x14ac:dyDescent="0.2">
      <c r="A6315">
        <v>6254</v>
      </c>
      <c r="B6315" s="138">
        <f ca="1">'Revenues 9-14'!F62</f>
        <v>0</v>
      </c>
      <c r="D6315" s="2" t="str">
        <f t="shared" ca="1" si="97"/>
        <v>Error?</v>
      </c>
      <c r="E6315" s="2" t="s">
        <v>190</v>
      </c>
    </row>
    <row r="6316" spans="1:5" x14ac:dyDescent="0.2">
      <c r="A6316">
        <v>6255</v>
      </c>
      <c r="B6316" s="138">
        <f ca="1">'Revenues 9-14'!J65</f>
        <v>16</v>
      </c>
      <c r="D6316" s="2" t="str">
        <f t="shared" ca="1" si="97"/>
        <v>Error?</v>
      </c>
      <c r="E6316" s="2" t="s">
        <v>190</v>
      </c>
    </row>
    <row r="6317" spans="1:5" x14ac:dyDescent="0.2">
      <c r="A6317">
        <v>6256</v>
      </c>
      <c r="B6317" s="138">
        <f ca="1">'Revenues 9-14'!J66</f>
        <v>0</v>
      </c>
      <c r="D6317" s="2" t="str">
        <f t="shared" ca="1" si="97"/>
        <v>Error?</v>
      </c>
      <c r="E6317" s="2" t="s">
        <v>190</v>
      </c>
    </row>
    <row r="6318" spans="1:5" x14ac:dyDescent="0.2">
      <c r="A6318">
        <v>6257</v>
      </c>
      <c r="B6318" s="138">
        <f ca="1">'Revenues 9-14'!J67</f>
        <v>16</v>
      </c>
      <c r="D6318" s="2" t="str">
        <f t="shared" ca="1" si="97"/>
        <v>Error?</v>
      </c>
      <c r="E6318" s="2" t="s">
        <v>190</v>
      </c>
    </row>
    <row r="6319" spans="1:5" x14ac:dyDescent="0.2">
      <c r="A6319">
        <v>6258</v>
      </c>
      <c r="B6319" s="138">
        <f ca="1">'Revenues 9-14'!J96</f>
        <v>0</v>
      </c>
      <c r="D6319" s="2" t="str">
        <f t="shared" ca="1" si="97"/>
        <v>Error?</v>
      </c>
      <c r="E6319" s="2" t="s">
        <v>190</v>
      </c>
    </row>
    <row r="6320" spans="1:5" x14ac:dyDescent="0.2">
      <c r="A6320">
        <v>6259</v>
      </c>
      <c r="B6320" s="138">
        <f ca="1">'Revenues 9-14'!C97</f>
        <v>0</v>
      </c>
      <c r="D6320" s="2" t="str">
        <f t="shared" ca="1" si="97"/>
        <v>Error?</v>
      </c>
      <c r="E6320" s="2" t="s">
        <v>190</v>
      </c>
    </row>
    <row r="6321" spans="1:5" x14ac:dyDescent="0.2">
      <c r="A6321">
        <v>6260</v>
      </c>
      <c r="B6321" s="138">
        <f ca="1">'Revenues 9-14'!D97</f>
        <v>0</v>
      </c>
      <c r="D6321" s="2" t="str">
        <f t="shared" ca="1" si="97"/>
        <v>Error?</v>
      </c>
      <c r="E6321" s="2" t="s">
        <v>190</v>
      </c>
    </row>
    <row r="6322" spans="1:5" x14ac:dyDescent="0.2">
      <c r="A6322">
        <v>6261</v>
      </c>
      <c r="B6322" s="138">
        <f ca="1">'Revenues 9-14'!E97</f>
        <v>0</v>
      </c>
      <c r="D6322" s="2" t="str">
        <f t="shared" ca="1" si="97"/>
        <v>Error?</v>
      </c>
      <c r="E6322" s="2" t="s">
        <v>190</v>
      </c>
    </row>
    <row r="6323" spans="1:5" x14ac:dyDescent="0.2">
      <c r="A6323">
        <v>6262</v>
      </c>
      <c r="B6323" s="138">
        <f ca="1">'Revenues 9-14'!F97</f>
        <v>0</v>
      </c>
      <c r="D6323" s="2" t="str">
        <f t="shared" ca="1" si="97"/>
        <v>Error?</v>
      </c>
      <c r="E6323" s="2" t="s">
        <v>190</v>
      </c>
    </row>
    <row r="6324" spans="1:5" x14ac:dyDescent="0.2">
      <c r="A6324">
        <v>6263</v>
      </c>
      <c r="B6324" s="138">
        <f ca="1">'Revenues 9-14'!G97</f>
        <v>0</v>
      </c>
      <c r="D6324" s="2" t="str">
        <f t="shared" ca="1" si="97"/>
        <v>Error?</v>
      </c>
      <c r="E6324" s="2" t="s">
        <v>190</v>
      </c>
    </row>
    <row r="6325" spans="1:5" x14ac:dyDescent="0.2">
      <c r="A6325">
        <v>6264</v>
      </c>
      <c r="B6325" s="138">
        <f ca="1">'Revenues 9-14'!H97</f>
        <v>0</v>
      </c>
      <c r="D6325" s="2" t="str">
        <f t="shared" ca="1" si="97"/>
        <v>Error?</v>
      </c>
      <c r="E6325" s="2" t="s">
        <v>190</v>
      </c>
    </row>
    <row r="6326" spans="1:5" x14ac:dyDescent="0.2">
      <c r="A6326">
        <v>6265</v>
      </c>
      <c r="B6326" s="138">
        <f ca="1">'Revenues 9-14'!I97</f>
        <v>0</v>
      </c>
      <c r="D6326" s="2" t="str">
        <f t="shared" ca="1" si="97"/>
        <v>Error?</v>
      </c>
      <c r="E6326" s="2" t="s">
        <v>190</v>
      </c>
    </row>
    <row r="6327" spans="1:5" x14ac:dyDescent="0.2">
      <c r="A6327">
        <v>6266</v>
      </c>
      <c r="B6327" s="138">
        <f ca="1">'Revenues 9-14'!J97</f>
        <v>0</v>
      </c>
      <c r="D6327" s="2" t="str">
        <f t="shared" ca="1" si="97"/>
        <v>Error?</v>
      </c>
      <c r="E6327" s="2" t="s">
        <v>190</v>
      </c>
    </row>
    <row r="6328" spans="1:5" x14ac:dyDescent="0.2">
      <c r="A6328">
        <v>6267</v>
      </c>
      <c r="B6328" s="138">
        <f ca="1">'Revenues 9-14'!K97</f>
        <v>0</v>
      </c>
      <c r="D6328" s="2" t="str">
        <f t="shared" ca="1" si="97"/>
        <v>Error?</v>
      </c>
      <c r="E6328" s="2" t="s">
        <v>190</v>
      </c>
    </row>
    <row r="6329" spans="1:5" x14ac:dyDescent="0.2">
      <c r="A6329">
        <v>6268</v>
      </c>
      <c r="B6329" s="138">
        <f ca="1">'Revenues 9-14'!J99</f>
        <v>0</v>
      </c>
      <c r="D6329" s="2" t="str">
        <f t="shared" ca="1" si="97"/>
        <v>Error?</v>
      </c>
      <c r="E6329" s="2" t="s">
        <v>190</v>
      </c>
    </row>
    <row r="6330" spans="1:5" x14ac:dyDescent="0.2">
      <c r="A6330">
        <v>6269</v>
      </c>
      <c r="B6330" s="138">
        <f ca="1">'Revenues 9-14'!C100</f>
        <v>0</v>
      </c>
      <c r="D6330" s="2" t="str">
        <f t="shared" ca="1" si="97"/>
        <v>Error?</v>
      </c>
      <c r="E6330" s="2" t="s">
        <v>190</v>
      </c>
    </row>
    <row r="6331" spans="1:5" x14ac:dyDescent="0.2">
      <c r="A6331">
        <v>6270</v>
      </c>
      <c r="B6331" s="138">
        <f ca="1">'Revenues 9-14'!D100</f>
        <v>0</v>
      </c>
      <c r="D6331" s="2" t="str">
        <f t="shared" ca="1" si="97"/>
        <v>Error?</v>
      </c>
      <c r="E6331" s="2" t="s">
        <v>190</v>
      </c>
    </row>
    <row r="6332" spans="1:5" x14ac:dyDescent="0.2">
      <c r="A6332">
        <v>6271</v>
      </c>
      <c r="B6332" s="138">
        <f ca="1">'Revenues 9-14'!E100</f>
        <v>0</v>
      </c>
      <c r="D6332" s="2" t="str">
        <f t="shared" ca="1" si="97"/>
        <v>Error?</v>
      </c>
      <c r="E6332" s="2" t="s">
        <v>190</v>
      </c>
    </row>
    <row r="6333" spans="1:5" x14ac:dyDescent="0.2">
      <c r="A6333">
        <v>6272</v>
      </c>
      <c r="B6333" s="138">
        <f ca="1">'Revenues 9-14'!F100</f>
        <v>0</v>
      </c>
      <c r="D6333" s="2" t="str">
        <f t="shared" ca="1" si="97"/>
        <v>Error?</v>
      </c>
      <c r="E6333" s="2" t="s">
        <v>190</v>
      </c>
    </row>
    <row r="6334" spans="1:5" x14ac:dyDescent="0.2">
      <c r="A6334">
        <v>6273</v>
      </c>
      <c r="B6334" s="138">
        <f ca="1">'Revenues 9-14'!G100</f>
        <v>0</v>
      </c>
      <c r="D6334" s="2" t="str">
        <f t="shared" ca="1" si="97"/>
        <v>Error?</v>
      </c>
      <c r="E6334" s="2" t="s">
        <v>190</v>
      </c>
    </row>
    <row r="6335" spans="1:5" x14ac:dyDescent="0.2">
      <c r="A6335">
        <v>6274</v>
      </c>
      <c r="B6335" s="138">
        <f ca="1">'Revenues 9-14'!H100</f>
        <v>0</v>
      </c>
      <c r="D6335" s="2" t="str">
        <f t="shared" ref="D6335:D6398" ca="1" si="98">IF(ISBLANK(B6335),"OK",IF(A6335-B6335=0,"OK","Error?"))</f>
        <v>Error?</v>
      </c>
      <c r="E6335" s="2" t="s">
        <v>190</v>
      </c>
    </row>
    <row r="6336" spans="1:5" x14ac:dyDescent="0.2">
      <c r="A6336">
        <v>6275</v>
      </c>
      <c r="B6336" s="138">
        <f ca="1">'Revenues 9-14'!I100</f>
        <v>0</v>
      </c>
      <c r="D6336" s="2" t="str">
        <f t="shared" ca="1" si="98"/>
        <v>Error?</v>
      </c>
      <c r="E6336" s="2" t="s">
        <v>190</v>
      </c>
    </row>
    <row r="6337" spans="1:5" x14ac:dyDescent="0.2">
      <c r="A6337">
        <v>6276</v>
      </c>
      <c r="B6337" s="138">
        <f ca="1">'Revenues 9-14'!J100</f>
        <v>0</v>
      </c>
      <c r="D6337" s="2" t="str">
        <f t="shared" ca="1" si="98"/>
        <v>Error?</v>
      </c>
      <c r="E6337" s="2" t="s">
        <v>190</v>
      </c>
    </row>
    <row r="6338" spans="1:5" x14ac:dyDescent="0.2">
      <c r="A6338">
        <v>6277</v>
      </c>
      <c r="B6338" s="138">
        <f ca="1">'Revenues 9-14'!K100</f>
        <v>0</v>
      </c>
      <c r="D6338" s="2" t="str">
        <f t="shared" ca="1" si="98"/>
        <v>Error?</v>
      </c>
      <c r="E6338" s="2" t="s">
        <v>190</v>
      </c>
    </row>
    <row r="6339" spans="1:5" x14ac:dyDescent="0.2">
      <c r="A6339">
        <v>6278</v>
      </c>
      <c r="B6339" s="138">
        <f ca="1">'Revenues 9-14'!C101</f>
        <v>0</v>
      </c>
      <c r="D6339" s="2" t="str">
        <f t="shared" ca="1" si="98"/>
        <v>Error?</v>
      </c>
      <c r="E6339" s="2" t="s">
        <v>190</v>
      </c>
    </row>
    <row r="6340" spans="1:5" x14ac:dyDescent="0.2">
      <c r="A6340">
        <v>6279</v>
      </c>
      <c r="B6340" s="138">
        <f ca="1">'Revenues 9-14'!C102</f>
        <v>0</v>
      </c>
      <c r="D6340" s="2" t="str">
        <f t="shared" ca="1" si="98"/>
        <v>Error?</v>
      </c>
      <c r="E6340" s="2" t="s">
        <v>190</v>
      </c>
    </row>
    <row r="6341" spans="1:5" x14ac:dyDescent="0.2">
      <c r="A6341">
        <v>6280</v>
      </c>
      <c r="B6341" s="138">
        <f ca="1">'Revenues 9-14'!D102</f>
        <v>0</v>
      </c>
      <c r="D6341" s="2" t="str">
        <f t="shared" ca="1" si="98"/>
        <v>Error?</v>
      </c>
      <c r="E6341" s="2" t="s">
        <v>190</v>
      </c>
    </row>
    <row r="6342" spans="1:5" x14ac:dyDescent="0.2">
      <c r="A6342">
        <v>6281</v>
      </c>
      <c r="B6342" s="138">
        <f ca="1">'Revenues 9-14'!E102</f>
        <v>0</v>
      </c>
      <c r="D6342" s="2" t="str">
        <f t="shared" ca="1" si="98"/>
        <v>Error?</v>
      </c>
      <c r="E6342" s="2" t="s">
        <v>190</v>
      </c>
    </row>
    <row r="6343" spans="1:5" x14ac:dyDescent="0.2">
      <c r="A6343">
        <v>6282</v>
      </c>
      <c r="B6343" s="138">
        <f ca="1">'Revenues 9-14'!F102</f>
        <v>0</v>
      </c>
      <c r="D6343" s="2" t="str">
        <f t="shared" ca="1" si="98"/>
        <v>Error?</v>
      </c>
      <c r="E6343" s="2" t="s">
        <v>190</v>
      </c>
    </row>
    <row r="6344" spans="1:5" x14ac:dyDescent="0.2">
      <c r="A6344">
        <v>6283</v>
      </c>
      <c r="B6344" s="138">
        <f ca="1">'Revenues 9-14'!G102</f>
        <v>0</v>
      </c>
      <c r="D6344" s="2" t="str">
        <f t="shared" ca="1" si="98"/>
        <v>Error?</v>
      </c>
      <c r="E6344" s="2" t="s">
        <v>190</v>
      </c>
    </row>
    <row r="6345" spans="1:5" x14ac:dyDescent="0.2">
      <c r="A6345">
        <v>6284</v>
      </c>
      <c r="B6345" s="138">
        <f ca="1">'Revenues 9-14'!H102</f>
        <v>0</v>
      </c>
      <c r="D6345" s="2" t="str">
        <f t="shared" ca="1" si="98"/>
        <v>Error?</v>
      </c>
      <c r="E6345" s="2" t="s">
        <v>190</v>
      </c>
    </row>
    <row r="6346" spans="1:5" x14ac:dyDescent="0.2">
      <c r="A6346">
        <v>6285</v>
      </c>
      <c r="B6346" s="138">
        <f ca="1">'Revenues 9-14'!I102</f>
        <v>0</v>
      </c>
      <c r="D6346" s="2" t="str">
        <f t="shared" ca="1" si="98"/>
        <v>Error?</v>
      </c>
      <c r="E6346" s="2" t="s">
        <v>190</v>
      </c>
    </row>
    <row r="6347" spans="1:5" x14ac:dyDescent="0.2">
      <c r="A6347">
        <v>6286</v>
      </c>
      <c r="B6347" s="138">
        <f ca="1">'Revenues 9-14'!J102</f>
        <v>0</v>
      </c>
      <c r="D6347" s="2" t="str">
        <f t="shared" ca="1" si="98"/>
        <v>Error?</v>
      </c>
      <c r="E6347" s="2" t="s">
        <v>190</v>
      </c>
    </row>
    <row r="6348" spans="1:5" x14ac:dyDescent="0.2">
      <c r="A6348">
        <v>6287</v>
      </c>
      <c r="B6348" s="138">
        <f ca="1">'Revenues 9-14'!K102</f>
        <v>0</v>
      </c>
      <c r="D6348" s="2" t="str">
        <f t="shared" ca="1" si="98"/>
        <v>Error?</v>
      </c>
      <c r="E6348" s="2" t="s">
        <v>190</v>
      </c>
    </row>
    <row r="6349" spans="1:5" x14ac:dyDescent="0.2">
      <c r="A6349">
        <v>6288</v>
      </c>
      <c r="B6349" s="138">
        <f ca="1">'Revenues 9-14'!G104</f>
        <v>0</v>
      </c>
      <c r="D6349" s="2" t="str">
        <f t="shared" ca="1" si="98"/>
        <v>Error?</v>
      </c>
      <c r="E6349" s="2" t="s">
        <v>190</v>
      </c>
    </row>
    <row r="6350" spans="1:5" x14ac:dyDescent="0.2">
      <c r="A6350">
        <v>6289</v>
      </c>
      <c r="B6350" s="138">
        <f ca="1">'Revenues 9-14'!J107</f>
        <v>0</v>
      </c>
      <c r="D6350" s="2" t="str">
        <f t="shared" ca="1" si="98"/>
        <v>Error?</v>
      </c>
      <c r="E6350" s="2" t="s">
        <v>190</v>
      </c>
    </row>
    <row r="6351" spans="1:5" x14ac:dyDescent="0.2">
      <c r="A6351">
        <v>6290</v>
      </c>
      <c r="B6351" s="138">
        <f ca="1">'Revenues 9-14'!J108</f>
        <v>0</v>
      </c>
      <c r="D6351" s="2" t="str">
        <f t="shared" ca="1" si="98"/>
        <v>Error?</v>
      </c>
      <c r="E6351" s="2" t="s">
        <v>190</v>
      </c>
    </row>
    <row r="6352" spans="1:5" x14ac:dyDescent="0.2">
      <c r="A6352">
        <v>6291</v>
      </c>
      <c r="B6352" s="138">
        <f ca="1">'Revenues 9-14'!J109</f>
        <v>10912</v>
      </c>
      <c r="D6352" s="2" t="str">
        <f t="shared" ca="1" si="98"/>
        <v>Error?</v>
      </c>
      <c r="E6352" s="2" t="s">
        <v>190</v>
      </c>
    </row>
    <row r="6353" spans="1:5" x14ac:dyDescent="0.2">
      <c r="A6353">
        <v>6292</v>
      </c>
      <c r="B6353" s="138">
        <f ca="1">'Revenues 9-14'!J117</f>
        <v>79094</v>
      </c>
      <c r="D6353" s="2" t="str">
        <f t="shared" ca="1" si="98"/>
        <v>Error?</v>
      </c>
      <c r="E6353" s="2" t="s">
        <v>190</v>
      </c>
    </row>
    <row r="6354" spans="1:5" x14ac:dyDescent="0.2">
      <c r="A6354">
        <v>6293</v>
      </c>
      <c r="B6354" s="138">
        <f ca="1">'Revenues 9-14'!J118</f>
        <v>0</v>
      </c>
      <c r="D6354" s="2" t="str">
        <f t="shared" ca="1" si="98"/>
        <v>Error?</v>
      </c>
      <c r="E6354" s="2" t="s">
        <v>190</v>
      </c>
    </row>
    <row r="6355" spans="1:5" x14ac:dyDescent="0.2">
      <c r="A6355">
        <v>6294</v>
      </c>
      <c r="B6355" s="138">
        <f ca="1">'Revenues 9-14'!J119</f>
        <v>0</v>
      </c>
      <c r="D6355" s="2" t="str">
        <f t="shared" ca="1" si="98"/>
        <v>Error?</v>
      </c>
      <c r="E6355" s="2" t="s">
        <v>190</v>
      </c>
    </row>
    <row r="6356" spans="1:5" x14ac:dyDescent="0.2">
      <c r="A6356">
        <v>6295</v>
      </c>
      <c r="B6356" s="138">
        <f ca="1">'Revenues 9-14'!J121</f>
        <v>0</v>
      </c>
      <c r="D6356" s="2" t="str">
        <f t="shared" ca="1" si="98"/>
        <v>Error?</v>
      </c>
      <c r="E6356" s="2" t="s">
        <v>190</v>
      </c>
    </row>
    <row r="6357" spans="1:5" x14ac:dyDescent="0.2">
      <c r="A6357">
        <v>6296</v>
      </c>
      <c r="B6357" s="138">
        <f ca="1">'Revenues 9-14'!J122</f>
        <v>79094</v>
      </c>
      <c r="D6357" s="2" t="str">
        <f t="shared" ca="1" si="98"/>
        <v>Error?</v>
      </c>
      <c r="E6357" s="2" t="s">
        <v>190</v>
      </c>
    </row>
    <row r="6358" spans="1:5" x14ac:dyDescent="0.2">
      <c r="A6358">
        <v>6297</v>
      </c>
      <c r="B6358" s="138">
        <f ca="1">'Revenues 9-14'!G135</f>
        <v>0</v>
      </c>
      <c r="D6358" s="2" t="str">
        <f t="shared" ca="1" si="98"/>
        <v>Error?</v>
      </c>
      <c r="E6358" s="2" t="s">
        <v>190</v>
      </c>
    </row>
    <row r="6359" spans="1:5" x14ac:dyDescent="0.2">
      <c r="A6359">
        <v>6298</v>
      </c>
      <c r="B6359" s="138">
        <f ca="1">'Revenues 9-14'!C137</f>
        <v>0</v>
      </c>
      <c r="D6359" s="2" t="str">
        <f t="shared" ca="1" si="98"/>
        <v>Error?</v>
      </c>
      <c r="E6359" s="2" t="s">
        <v>190</v>
      </c>
    </row>
    <row r="6360" spans="1:5" x14ac:dyDescent="0.2">
      <c r="A6360">
        <v>6299</v>
      </c>
      <c r="B6360" s="138">
        <f ca="1">'Revenues 9-14'!D137</f>
        <v>0</v>
      </c>
      <c r="D6360" s="2" t="str">
        <f t="shared" ca="1" si="98"/>
        <v>Error?</v>
      </c>
      <c r="E6360" s="2" t="s">
        <v>190</v>
      </c>
    </row>
    <row r="6361" spans="1:5" x14ac:dyDescent="0.2">
      <c r="A6361">
        <v>6300</v>
      </c>
      <c r="B6361" s="138">
        <f ca="1">'Revenues 9-14'!G137</f>
        <v>0</v>
      </c>
      <c r="D6361" s="2" t="str">
        <f t="shared" ca="1" si="98"/>
        <v>Error?</v>
      </c>
      <c r="E6361" s="2" t="s">
        <v>190</v>
      </c>
    </row>
    <row r="6362" spans="1:5" x14ac:dyDescent="0.2">
      <c r="A6362">
        <v>6301</v>
      </c>
      <c r="B6362" s="138">
        <f ca="1">'Revenues 9-14'!C138</f>
        <v>0</v>
      </c>
      <c r="D6362" s="2" t="str">
        <f t="shared" ca="1" si="98"/>
        <v>Error?</v>
      </c>
      <c r="E6362" s="2" t="s">
        <v>190</v>
      </c>
    </row>
    <row r="6363" spans="1:5" x14ac:dyDescent="0.2">
      <c r="A6363">
        <v>6302</v>
      </c>
      <c r="B6363" s="138">
        <f ca="1">'Revenues 9-14'!D138</f>
        <v>0</v>
      </c>
      <c r="D6363" s="2" t="str">
        <f t="shared" ca="1" si="98"/>
        <v>Error?</v>
      </c>
      <c r="E6363" s="2" t="s">
        <v>190</v>
      </c>
    </row>
    <row r="6364" spans="1:5" x14ac:dyDescent="0.2">
      <c r="A6364">
        <v>6303</v>
      </c>
      <c r="B6364" s="138">
        <f ca="1">'Revenues 9-14'!G138</f>
        <v>0</v>
      </c>
      <c r="D6364" s="2" t="str">
        <f t="shared" ca="1" si="98"/>
        <v>Error?</v>
      </c>
      <c r="E6364" s="2" t="s">
        <v>190</v>
      </c>
    </row>
    <row r="6365" spans="1:5" x14ac:dyDescent="0.2">
      <c r="A6365">
        <v>6304</v>
      </c>
      <c r="B6365" s="138">
        <f ca="1">'Revenues 9-14'!C139</f>
        <v>0</v>
      </c>
      <c r="D6365" s="2" t="str">
        <f t="shared" ca="1" si="98"/>
        <v>Error?</v>
      </c>
      <c r="E6365" s="2" t="s">
        <v>190</v>
      </c>
    </row>
    <row r="6366" spans="1:5" x14ac:dyDescent="0.2">
      <c r="A6366">
        <v>6305</v>
      </c>
      <c r="B6366" s="138">
        <f ca="1">'Revenues 9-14'!D139</f>
        <v>0</v>
      </c>
      <c r="D6366" s="2" t="str">
        <f t="shared" ca="1" si="98"/>
        <v>Error?</v>
      </c>
      <c r="E6366" s="2" t="s">
        <v>190</v>
      </c>
    </row>
    <row r="6367" spans="1:5" x14ac:dyDescent="0.2">
      <c r="A6367">
        <v>6306</v>
      </c>
      <c r="B6367" s="138">
        <f ca="1">'Revenues 9-14'!G139</f>
        <v>0</v>
      </c>
      <c r="D6367" s="2" t="str">
        <f t="shared" ca="1" si="98"/>
        <v>Error?</v>
      </c>
      <c r="E6367" s="2" t="s">
        <v>190</v>
      </c>
    </row>
    <row r="6368" spans="1:5" x14ac:dyDescent="0.2">
      <c r="A6368">
        <v>6307</v>
      </c>
      <c r="B6368" s="138">
        <f ca="1">'Revenues 9-14'!E149</f>
        <v>0</v>
      </c>
      <c r="D6368" s="2" t="str">
        <f t="shared" ca="1" si="98"/>
        <v>Error?</v>
      </c>
      <c r="E6368" s="2" t="s">
        <v>190</v>
      </c>
    </row>
    <row r="6369" spans="1:6" x14ac:dyDescent="0.2">
      <c r="A6369">
        <v>6308</v>
      </c>
      <c r="B6369" s="138">
        <f ca="1">'Revenues 9-14'!F149</f>
        <v>0</v>
      </c>
      <c r="D6369" s="2" t="str">
        <f t="shared" ca="1" si="98"/>
        <v>Error?</v>
      </c>
      <c r="E6369" s="2" t="s">
        <v>190</v>
      </c>
    </row>
    <row r="6370" spans="1:6" x14ac:dyDescent="0.2">
      <c r="A6370">
        <v>6309</v>
      </c>
      <c r="B6370" s="138">
        <f ca="1">'Revenues 9-14'!G149</f>
        <v>0</v>
      </c>
      <c r="D6370" s="2" t="str">
        <f t="shared" ca="1" si="98"/>
        <v>Error?</v>
      </c>
      <c r="E6370" s="2" t="s">
        <v>190</v>
      </c>
    </row>
    <row r="6371" spans="1:6" x14ac:dyDescent="0.2">
      <c r="A6371">
        <v>6310</v>
      </c>
      <c r="B6371" s="138">
        <f ca="1">'Revenues 9-14'!H149</f>
        <v>0</v>
      </c>
      <c r="D6371" s="2" t="str">
        <f t="shared" ca="1" si="98"/>
        <v>Error?</v>
      </c>
      <c r="E6371" s="2" t="s">
        <v>190</v>
      </c>
    </row>
    <row r="6372" spans="1:6" x14ac:dyDescent="0.2">
      <c r="A6372">
        <v>6311</v>
      </c>
      <c r="B6372" s="138">
        <f ca="1">'Revenues 9-14'!I149</f>
        <v>0</v>
      </c>
      <c r="D6372" s="2" t="str">
        <f t="shared" ca="1" si="98"/>
        <v>Error?</v>
      </c>
      <c r="E6372" s="2" t="s">
        <v>190</v>
      </c>
    </row>
    <row r="6373" spans="1:6" x14ac:dyDescent="0.2">
      <c r="A6373">
        <v>6312</v>
      </c>
      <c r="B6373" s="138">
        <f ca="1">'Revenues 9-14'!J149</f>
        <v>0</v>
      </c>
      <c r="D6373" s="2" t="str">
        <f t="shared" ca="1" si="98"/>
        <v>Error?</v>
      </c>
      <c r="E6373" s="2" t="s">
        <v>190</v>
      </c>
    </row>
    <row r="6374" spans="1:6" x14ac:dyDescent="0.2">
      <c r="A6374">
        <v>6313</v>
      </c>
      <c r="B6374" s="138">
        <f ca="1">'Revenues 9-14'!K149</f>
        <v>0</v>
      </c>
      <c r="D6374" s="2" t="str">
        <f t="shared" ca="1" si="98"/>
        <v>Error?</v>
      </c>
      <c r="E6374" s="2" t="s">
        <v>190</v>
      </c>
    </row>
    <row r="6375" spans="1:6" x14ac:dyDescent="0.2">
      <c r="A6375">
        <v>6314</v>
      </c>
      <c r="B6375" s="138">
        <f ca="1">'Revenues 9-14'!E150</f>
        <v>0</v>
      </c>
      <c r="D6375" s="2" t="str">
        <f t="shared" ca="1" si="98"/>
        <v>Error?</v>
      </c>
      <c r="E6375" s="2" t="s">
        <v>190</v>
      </c>
    </row>
    <row r="6376" spans="1:6" x14ac:dyDescent="0.2">
      <c r="A6376">
        <v>6315</v>
      </c>
      <c r="B6376" s="138">
        <f ca="1">'Revenues 9-14'!H150</f>
        <v>0</v>
      </c>
      <c r="D6376" s="2" t="str">
        <f t="shared" ca="1" si="98"/>
        <v>Error?</v>
      </c>
      <c r="E6376" s="2" t="s">
        <v>190</v>
      </c>
    </row>
    <row r="6377" spans="1:6" x14ac:dyDescent="0.2">
      <c r="A6377">
        <v>6316</v>
      </c>
      <c r="B6377" s="138">
        <f ca="1">'Revenues 9-14'!I150</f>
        <v>0</v>
      </c>
      <c r="D6377" s="2" t="str">
        <f t="shared" ca="1" si="98"/>
        <v>Error?</v>
      </c>
      <c r="E6377" s="2" t="s">
        <v>190</v>
      </c>
    </row>
    <row r="6378" spans="1:6" x14ac:dyDescent="0.2">
      <c r="A6378">
        <v>6317</v>
      </c>
      <c r="B6378" s="138">
        <f ca="1">'Revenues 9-14'!J150</f>
        <v>0</v>
      </c>
      <c r="D6378" s="2" t="str">
        <f t="shared" ca="1" si="98"/>
        <v>Error?</v>
      </c>
      <c r="E6378" s="2" t="s">
        <v>190</v>
      </c>
    </row>
    <row r="6379" spans="1:6" x14ac:dyDescent="0.2">
      <c r="A6379">
        <v>6318</v>
      </c>
      <c r="B6379" s="138">
        <f ca="1">'Revenues 9-14'!K150</f>
        <v>0</v>
      </c>
      <c r="D6379" s="2" t="str">
        <f t="shared" ca="1" si="98"/>
        <v>Error?</v>
      </c>
      <c r="E6379" s="2" t="s">
        <v>190</v>
      </c>
    </row>
    <row r="6380" spans="1:6" x14ac:dyDescent="0.2">
      <c r="A6380">
        <v>6319</v>
      </c>
      <c r="B6380" s="138">
        <f ca="1">'Revenues 9-14'!G152</f>
        <v>0</v>
      </c>
      <c r="D6380" s="2" t="str">
        <f t="shared" ca="1" si="98"/>
        <v>Error?</v>
      </c>
      <c r="E6380" s="2" t="s">
        <v>190</v>
      </c>
    </row>
    <row r="6381" spans="1:6" x14ac:dyDescent="0.2">
      <c r="A6381">
        <v>6320</v>
      </c>
      <c r="B6381" s="138">
        <f ca="1">'Revenues 9-14'!G153</f>
        <v>0</v>
      </c>
      <c r="D6381" s="2" t="str">
        <f t="shared" ca="1" si="98"/>
        <v>Error?</v>
      </c>
      <c r="E6381" s="2" t="s">
        <v>190</v>
      </c>
    </row>
    <row r="6382" spans="1:6" x14ac:dyDescent="0.2">
      <c r="A6382" s="129">
        <v>6321</v>
      </c>
      <c r="D6382" s="2" t="str">
        <f t="shared" si="98"/>
        <v>OK</v>
      </c>
      <c r="E6382" s="2" t="s">
        <v>190</v>
      </c>
      <c r="F6382" s="1" t="s">
        <v>1938</v>
      </c>
    </row>
    <row r="6383" spans="1:6" x14ac:dyDescent="0.2">
      <c r="A6383" s="129">
        <v>6322</v>
      </c>
      <c r="D6383" s="2" t="str">
        <f t="shared" si="98"/>
        <v>OK</v>
      </c>
      <c r="E6383" s="2" t="s">
        <v>190</v>
      </c>
      <c r="F6383" s="1" t="s">
        <v>1938</v>
      </c>
    </row>
    <row r="6384" spans="1:6" x14ac:dyDescent="0.2">
      <c r="A6384" s="129">
        <v>6323</v>
      </c>
      <c r="D6384" s="2" t="str">
        <f t="shared" si="98"/>
        <v>OK</v>
      </c>
      <c r="E6384" s="2" t="s">
        <v>190</v>
      </c>
      <c r="F6384" s="1" t="s">
        <v>1938</v>
      </c>
    </row>
    <row r="6385" spans="1:6" x14ac:dyDescent="0.2">
      <c r="A6385" s="129">
        <v>6324</v>
      </c>
      <c r="D6385" s="2" t="str">
        <f t="shared" si="98"/>
        <v>OK</v>
      </c>
      <c r="E6385" s="2" t="s">
        <v>190</v>
      </c>
      <c r="F6385" s="1" t="s">
        <v>1938</v>
      </c>
    </row>
    <row r="6386" spans="1:6" x14ac:dyDescent="0.2">
      <c r="A6386" s="129">
        <v>6325</v>
      </c>
      <c r="D6386" s="2" t="str">
        <f t="shared" si="98"/>
        <v>OK</v>
      </c>
      <c r="E6386" s="2" t="s">
        <v>190</v>
      </c>
      <c r="F6386" s="1" t="s">
        <v>1938</v>
      </c>
    </row>
    <row r="6387" spans="1:6" x14ac:dyDescent="0.2">
      <c r="A6387" s="129">
        <v>6326</v>
      </c>
      <c r="D6387" s="2" t="str">
        <f t="shared" si="98"/>
        <v>OK</v>
      </c>
      <c r="E6387" s="2" t="s">
        <v>190</v>
      </c>
      <c r="F6387" s="1" t="s">
        <v>1938</v>
      </c>
    </row>
    <row r="6388" spans="1:6" x14ac:dyDescent="0.2">
      <c r="A6388">
        <v>6327</v>
      </c>
      <c r="B6388" s="138">
        <f ca="1">'Revenues 9-14'!C163</f>
        <v>0</v>
      </c>
      <c r="D6388" s="2" t="str">
        <f t="shared" ca="1" si="98"/>
        <v>Error?</v>
      </c>
      <c r="E6388" s="2" t="s">
        <v>190</v>
      </c>
    </row>
    <row r="6389" spans="1:6" x14ac:dyDescent="0.2">
      <c r="A6389">
        <v>6328</v>
      </c>
      <c r="B6389" s="138">
        <f ca="1">'Revenues 9-14'!D163</f>
        <v>0</v>
      </c>
      <c r="D6389" s="2" t="str">
        <f t="shared" ca="1" si="98"/>
        <v>Error?</v>
      </c>
      <c r="E6389" s="2" t="s">
        <v>190</v>
      </c>
    </row>
    <row r="6390" spans="1:6" x14ac:dyDescent="0.2">
      <c r="A6390">
        <v>6329</v>
      </c>
      <c r="B6390" s="138">
        <f ca="1">'Revenues 9-14'!E163</f>
        <v>0</v>
      </c>
      <c r="D6390" s="2" t="str">
        <f t="shared" ca="1" si="98"/>
        <v>Error?</v>
      </c>
      <c r="E6390" s="2" t="s">
        <v>190</v>
      </c>
    </row>
    <row r="6391" spans="1:6" x14ac:dyDescent="0.2">
      <c r="A6391">
        <v>6330</v>
      </c>
      <c r="B6391" s="138">
        <f ca="1">'Revenues 9-14'!F163</f>
        <v>0</v>
      </c>
      <c r="D6391" s="2" t="str">
        <f t="shared" ca="1" si="98"/>
        <v>Error?</v>
      </c>
      <c r="E6391" s="2" t="s">
        <v>190</v>
      </c>
    </row>
    <row r="6392" spans="1:6" x14ac:dyDescent="0.2">
      <c r="A6392">
        <v>6331</v>
      </c>
      <c r="B6392" s="138">
        <f ca="1">'Revenues 9-14'!G163</f>
        <v>0</v>
      </c>
      <c r="D6392" s="2" t="str">
        <f t="shared" ca="1" si="98"/>
        <v>Error?</v>
      </c>
      <c r="E6392" s="2" t="s">
        <v>190</v>
      </c>
    </row>
    <row r="6393" spans="1:6" x14ac:dyDescent="0.2">
      <c r="A6393">
        <v>6332</v>
      </c>
      <c r="B6393" s="138">
        <f ca="1">'Revenues 9-14'!H163</f>
        <v>0</v>
      </c>
      <c r="D6393" s="2" t="str">
        <f t="shared" ca="1" si="98"/>
        <v>Error?</v>
      </c>
      <c r="E6393" s="2" t="s">
        <v>190</v>
      </c>
    </row>
    <row r="6394" spans="1:6" x14ac:dyDescent="0.2">
      <c r="A6394">
        <v>6333</v>
      </c>
      <c r="B6394" s="138">
        <f ca="1">'Revenues 9-14'!K163</f>
        <v>0</v>
      </c>
      <c r="D6394" s="2" t="str">
        <f t="shared" ca="1" si="98"/>
        <v>Error?</v>
      </c>
      <c r="E6394" s="2" t="s">
        <v>190</v>
      </c>
    </row>
    <row r="6395" spans="1:6" x14ac:dyDescent="0.2">
      <c r="A6395">
        <v>6334</v>
      </c>
      <c r="B6395" s="138">
        <f ca="1">'Revenues 9-14'!J168</f>
        <v>0</v>
      </c>
      <c r="D6395" s="2" t="str">
        <f t="shared" ca="1" si="98"/>
        <v>Error?</v>
      </c>
      <c r="E6395" s="2" t="s">
        <v>190</v>
      </c>
    </row>
    <row r="6396" spans="1:6" x14ac:dyDescent="0.2">
      <c r="A6396">
        <v>6335</v>
      </c>
      <c r="B6396" s="138">
        <f ca="1">'Revenues 9-14'!J169</f>
        <v>0</v>
      </c>
      <c r="D6396" s="2" t="str">
        <f t="shared" ca="1" si="98"/>
        <v>Error?</v>
      </c>
      <c r="E6396" s="2" t="s">
        <v>190</v>
      </c>
    </row>
    <row r="6397" spans="1:6" x14ac:dyDescent="0.2">
      <c r="A6397">
        <v>6336</v>
      </c>
      <c r="B6397" s="138">
        <f ca="1">'Revenues 9-14'!J170</f>
        <v>79094</v>
      </c>
      <c r="D6397" s="2" t="str">
        <f t="shared" ca="1" si="98"/>
        <v>Error?</v>
      </c>
      <c r="E6397" s="2" t="s">
        <v>190</v>
      </c>
    </row>
    <row r="6398" spans="1:6" x14ac:dyDescent="0.2">
      <c r="A6398">
        <v>6337</v>
      </c>
      <c r="B6398" s="138">
        <f ca="1">'Revenues 9-14'!J173</f>
        <v>0</v>
      </c>
      <c r="D6398" s="2" t="str">
        <f t="shared" ca="1" si="98"/>
        <v>Error?</v>
      </c>
      <c r="E6398" s="2" t="s">
        <v>190</v>
      </c>
    </row>
    <row r="6399" spans="1:6" x14ac:dyDescent="0.2">
      <c r="A6399">
        <v>6338</v>
      </c>
      <c r="B6399" s="138">
        <f ca="1">'Revenues 9-14'!J174</f>
        <v>0</v>
      </c>
      <c r="D6399" s="2" t="str">
        <f t="shared" ref="D6399:D6462" ca="1" si="99">IF(ISBLANK(B6399),"OK",IF(A6399-B6399=0,"OK","Error?"))</f>
        <v>Error?</v>
      </c>
      <c r="E6399" s="2" t="s">
        <v>190</v>
      </c>
    </row>
    <row r="6400" spans="1:6" x14ac:dyDescent="0.2">
      <c r="A6400">
        <v>6339</v>
      </c>
      <c r="B6400" s="138">
        <f ca="1">'Revenues 9-14'!J175</f>
        <v>0</v>
      </c>
      <c r="D6400" s="2" t="str">
        <f t="shared" ca="1" si="99"/>
        <v>Error?</v>
      </c>
      <c r="E6400" s="2" t="s">
        <v>190</v>
      </c>
    </row>
    <row r="6401" spans="1:6" x14ac:dyDescent="0.2">
      <c r="A6401">
        <v>6340</v>
      </c>
      <c r="B6401" s="138">
        <f ca="1">'Revenues 9-14'!C190</f>
        <v>0</v>
      </c>
      <c r="D6401" s="2" t="str">
        <f t="shared" ca="1" si="99"/>
        <v>Error?</v>
      </c>
      <c r="E6401" s="2" t="s">
        <v>190</v>
      </c>
    </row>
    <row r="6402" spans="1:6" x14ac:dyDescent="0.2">
      <c r="A6402">
        <v>6341</v>
      </c>
      <c r="B6402" s="138">
        <f ca="1">'Revenues 9-14'!G190</f>
        <v>0</v>
      </c>
      <c r="D6402" s="2" t="str">
        <f t="shared" ca="1" si="99"/>
        <v>Error?</v>
      </c>
      <c r="E6402" s="2" t="s">
        <v>190</v>
      </c>
    </row>
    <row r="6403" spans="1:6" x14ac:dyDescent="0.2">
      <c r="A6403">
        <v>6342</v>
      </c>
      <c r="B6403" s="138">
        <f ca="1">'Revenues 9-14'!G191</f>
        <v>0</v>
      </c>
      <c r="D6403" s="2" t="str">
        <f t="shared" ca="1" si="99"/>
        <v>Error?</v>
      </c>
      <c r="E6403" s="2" t="s">
        <v>190</v>
      </c>
    </row>
    <row r="6404" spans="1:6" x14ac:dyDescent="0.2">
      <c r="A6404">
        <v>6343</v>
      </c>
      <c r="B6404" s="138">
        <f ca="1">'Revenues 9-14'!G192</f>
        <v>0</v>
      </c>
      <c r="D6404" s="2" t="str">
        <f t="shared" ca="1" si="99"/>
        <v>Error?</v>
      </c>
      <c r="E6404" s="2" t="s">
        <v>190</v>
      </c>
    </row>
    <row r="6405" spans="1:6" x14ac:dyDescent="0.2">
      <c r="A6405">
        <v>6344</v>
      </c>
      <c r="B6405" s="138">
        <f ca="1">'Revenues 9-14'!G193</f>
        <v>0</v>
      </c>
      <c r="D6405" s="2" t="str">
        <f t="shared" ca="1" si="99"/>
        <v>Error?</v>
      </c>
      <c r="E6405" s="2" t="s">
        <v>190</v>
      </c>
    </row>
    <row r="6406" spans="1:6" x14ac:dyDescent="0.2">
      <c r="A6406">
        <v>6345</v>
      </c>
      <c r="B6406" s="138">
        <f ca="1">'Revenues 9-14'!G194</f>
        <v>0</v>
      </c>
      <c r="D6406" s="2" t="str">
        <f t="shared" ca="1" si="99"/>
        <v>Error?</v>
      </c>
      <c r="E6406" s="2" t="s">
        <v>190</v>
      </c>
    </row>
    <row r="6407" spans="1:6" x14ac:dyDescent="0.2">
      <c r="A6407">
        <v>6346</v>
      </c>
      <c r="B6407" s="138">
        <f ca="1">'Revenues 9-14'!G195</f>
        <v>0</v>
      </c>
      <c r="D6407" s="2" t="str">
        <f t="shared" ca="1" si="99"/>
        <v>Error?</v>
      </c>
      <c r="E6407" s="2" t="s">
        <v>190</v>
      </c>
    </row>
    <row r="6408" spans="1:6" x14ac:dyDescent="0.2">
      <c r="A6408">
        <v>6347</v>
      </c>
      <c r="B6408" s="138">
        <f ca="1">'Revenues 9-14'!G197</f>
        <v>0</v>
      </c>
      <c r="D6408" s="2" t="str">
        <f t="shared" ca="1" si="99"/>
        <v>Error?</v>
      </c>
      <c r="E6408" s="2" t="s">
        <v>190</v>
      </c>
    </row>
    <row r="6409" spans="1:6" x14ac:dyDescent="0.2">
      <c r="A6409">
        <v>6348</v>
      </c>
      <c r="B6409" s="138">
        <f ca="1">'Revenues 9-14'!G198</f>
        <v>0</v>
      </c>
      <c r="D6409" s="2" t="str">
        <f t="shared" ca="1" si="99"/>
        <v>Error?</v>
      </c>
      <c r="E6409" s="2" t="s">
        <v>190</v>
      </c>
    </row>
    <row r="6410" spans="1:6" x14ac:dyDescent="0.2">
      <c r="A6410" s="129">
        <v>6349</v>
      </c>
      <c r="D6410" s="2" t="str">
        <f t="shared" si="99"/>
        <v>OK</v>
      </c>
      <c r="E6410" s="2" t="s">
        <v>190</v>
      </c>
      <c r="F6410" s="1" t="s">
        <v>1938</v>
      </c>
    </row>
    <row r="6411" spans="1:6" x14ac:dyDescent="0.2">
      <c r="A6411" s="129">
        <v>6350</v>
      </c>
      <c r="D6411" s="2" t="str">
        <f t="shared" si="99"/>
        <v>OK</v>
      </c>
      <c r="E6411" s="2" t="s">
        <v>190</v>
      </c>
      <c r="F6411" s="1" t="s">
        <v>1938</v>
      </c>
    </row>
    <row r="6412" spans="1:6" x14ac:dyDescent="0.2">
      <c r="A6412" s="129">
        <v>6351</v>
      </c>
      <c r="D6412" s="2" t="str">
        <f t="shared" si="99"/>
        <v>OK</v>
      </c>
      <c r="E6412" s="2" t="s">
        <v>190</v>
      </c>
      <c r="F6412" s="1" t="s">
        <v>1938</v>
      </c>
    </row>
    <row r="6413" spans="1:6" x14ac:dyDescent="0.2">
      <c r="A6413" s="129">
        <v>6352</v>
      </c>
      <c r="D6413" s="2" t="str">
        <f t="shared" si="99"/>
        <v>OK</v>
      </c>
      <c r="E6413" s="2" t="s">
        <v>190</v>
      </c>
      <c r="F6413" s="1" t="s">
        <v>1938</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 ca="1">'Revenues 9-14'!C223</f>
        <v>0</v>
      </c>
      <c r="D6614" s="2" t="str">
        <f t="shared" ca="1" si="102"/>
        <v>Error?</v>
      </c>
      <c r="E6614" s="2" t="s">
        <v>190</v>
      </c>
    </row>
    <row r="6615" spans="1:5" x14ac:dyDescent="0.2">
      <c r="A6615">
        <v>6554</v>
      </c>
      <c r="B6615" s="138">
        <f ca="1">'Revenues 9-14'!D223</f>
        <v>0</v>
      </c>
      <c r="D6615" s="2" t="str">
        <f t="shared" ca="1" si="102"/>
        <v>Error?</v>
      </c>
      <c r="E6615" s="2" t="s">
        <v>190</v>
      </c>
    </row>
    <row r="6616" spans="1:5" x14ac:dyDescent="0.2">
      <c r="A6616">
        <v>6555</v>
      </c>
      <c r="B6616" s="138">
        <f ca="1">'Revenues 9-14'!E223</f>
        <v>0</v>
      </c>
      <c r="D6616" s="2" t="str">
        <f t="shared" ca="1" si="102"/>
        <v>Error?</v>
      </c>
      <c r="E6616" s="2" t="s">
        <v>190</v>
      </c>
    </row>
    <row r="6617" spans="1:5" x14ac:dyDescent="0.2">
      <c r="A6617">
        <v>6556</v>
      </c>
      <c r="B6617" s="138">
        <f ca="1">'Revenues 9-14'!F223</f>
        <v>0</v>
      </c>
      <c r="D6617" s="2" t="str">
        <f t="shared" ca="1" si="102"/>
        <v>Error?</v>
      </c>
      <c r="E6617" s="2" t="s">
        <v>190</v>
      </c>
    </row>
    <row r="6618" spans="1:5" x14ac:dyDescent="0.2">
      <c r="A6618">
        <v>6557</v>
      </c>
      <c r="B6618" s="138">
        <f ca="1">'Revenues 9-14'!G223</f>
        <v>0</v>
      </c>
      <c r="D6618" s="2" t="str">
        <f t="shared" ca="1" si="102"/>
        <v>Error?</v>
      </c>
      <c r="E6618" s="2" t="s">
        <v>190</v>
      </c>
    </row>
    <row r="6619" spans="1:5" x14ac:dyDescent="0.2">
      <c r="A6619">
        <v>6558</v>
      </c>
      <c r="B6619" s="138">
        <f ca="1">'Revenues 9-14'!H223</f>
        <v>0</v>
      </c>
      <c r="D6619" s="2" t="str">
        <f t="shared" ca="1" si="102"/>
        <v>Error?</v>
      </c>
      <c r="E6619" s="2" t="s">
        <v>190</v>
      </c>
    </row>
    <row r="6620" spans="1:5" x14ac:dyDescent="0.2">
      <c r="A6620">
        <v>6559</v>
      </c>
      <c r="B6620" s="138">
        <f ca="1">'Revenues 9-14'!J223</f>
        <v>0</v>
      </c>
      <c r="D6620" s="2" t="str">
        <f t="shared" ca="1" si="102"/>
        <v>Error?</v>
      </c>
      <c r="E6620" s="2" t="s">
        <v>190</v>
      </c>
    </row>
    <row r="6621" spans="1:5" x14ac:dyDescent="0.2">
      <c r="A6621">
        <v>6560</v>
      </c>
      <c r="B6621" s="138">
        <f ca="1">'Revenues 9-14'!K223</f>
        <v>0</v>
      </c>
      <c r="D6621" s="2" t="str">
        <f t="shared" ca="1" si="102"/>
        <v>Error?</v>
      </c>
      <c r="E6621" s="2" t="s">
        <v>190</v>
      </c>
    </row>
    <row r="6622" spans="1:5" x14ac:dyDescent="0.2">
      <c r="A6622">
        <v>6561</v>
      </c>
      <c r="B6622" s="138">
        <f ca="1">'Revenues 9-14'!C224</f>
        <v>0</v>
      </c>
      <c r="D6622" s="2" t="str">
        <f t="shared" ca="1" si="102"/>
        <v>Error?</v>
      </c>
      <c r="E6622" s="2" t="s">
        <v>190</v>
      </c>
    </row>
    <row r="6623" spans="1:5" x14ac:dyDescent="0.2">
      <c r="A6623">
        <v>6562</v>
      </c>
      <c r="B6623" s="138">
        <f ca="1">'Revenues 9-14'!D224</f>
        <v>0</v>
      </c>
      <c r="D6623" s="2" t="str">
        <f t="shared" ca="1" si="102"/>
        <v>Error?</v>
      </c>
      <c r="E6623" s="2" t="s">
        <v>190</v>
      </c>
    </row>
    <row r="6624" spans="1:5" x14ac:dyDescent="0.2">
      <c r="A6624">
        <v>6563</v>
      </c>
      <c r="B6624" s="138">
        <f ca="1">'Revenues 9-14'!F224</f>
        <v>0</v>
      </c>
      <c r="D6624" s="2" t="str">
        <f t="shared" ca="1" si="102"/>
        <v>Error?</v>
      </c>
      <c r="E6624" s="2" t="s">
        <v>190</v>
      </c>
    </row>
    <row r="6625" spans="1:5" x14ac:dyDescent="0.2">
      <c r="A6625">
        <v>6564</v>
      </c>
      <c r="B6625" s="138">
        <f ca="1">'Revenues 9-14'!G224</f>
        <v>0</v>
      </c>
      <c r="D6625" s="2" t="str">
        <f t="shared" ca="1" si="102"/>
        <v>Error?</v>
      </c>
      <c r="E6625" s="2" t="s">
        <v>190</v>
      </c>
    </row>
    <row r="6626" spans="1:5" x14ac:dyDescent="0.2">
      <c r="A6626">
        <v>6565</v>
      </c>
      <c r="B6626" s="138">
        <f ca="1">'Revenues 9-14'!C225</f>
        <v>0</v>
      </c>
      <c r="D6626" s="2" t="str">
        <f t="shared" ca="1" si="102"/>
        <v>Error?</v>
      </c>
      <c r="E6626" s="2" t="s">
        <v>190</v>
      </c>
    </row>
    <row r="6627" spans="1:5" x14ac:dyDescent="0.2">
      <c r="A6627">
        <v>6566</v>
      </c>
      <c r="B6627" s="138">
        <f ca="1">'Revenues 9-14'!D225</f>
        <v>0</v>
      </c>
      <c r="D6627" s="2" t="str">
        <f t="shared" ca="1" si="102"/>
        <v>Error?</v>
      </c>
      <c r="E6627" s="2" t="s">
        <v>190</v>
      </c>
    </row>
    <row r="6628" spans="1:5" x14ac:dyDescent="0.2">
      <c r="A6628">
        <v>6567</v>
      </c>
      <c r="B6628" s="138">
        <f ca="1">'Revenues 9-14'!E225</f>
        <v>0</v>
      </c>
      <c r="D6628" s="2" t="str">
        <f t="shared" ca="1" si="102"/>
        <v>Error?</v>
      </c>
      <c r="E6628" s="2" t="s">
        <v>190</v>
      </c>
    </row>
    <row r="6629" spans="1:5" x14ac:dyDescent="0.2">
      <c r="A6629">
        <v>6568</v>
      </c>
      <c r="B6629" s="138">
        <f ca="1">'Revenues 9-14'!F225</f>
        <v>0</v>
      </c>
      <c r="D6629" s="2" t="str">
        <f t="shared" ca="1" si="102"/>
        <v>Error?</v>
      </c>
      <c r="E6629" s="2" t="s">
        <v>190</v>
      </c>
    </row>
    <row r="6630" spans="1:5" x14ac:dyDescent="0.2">
      <c r="A6630">
        <v>6569</v>
      </c>
      <c r="B6630" s="138">
        <f ca="1">'Revenues 9-14'!G225</f>
        <v>0</v>
      </c>
      <c r="D6630" s="2" t="str">
        <f t="shared" ca="1" si="102"/>
        <v>Error?</v>
      </c>
      <c r="E6630" s="2" t="s">
        <v>190</v>
      </c>
    </row>
    <row r="6631" spans="1:5" x14ac:dyDescent="0.2">
      <c r="A6631">
        <v>6570</v>
      </c>
      <c r="B6631" s="138">
        <f ca="1">'Revenues 9-14'!H225</f>
        <v>0</v>
      </c>
      <c r="D6631" s="2" t="str">
        <f t="shared" ca="1" si="102"/>
        <v>Error?</v>
      </c>
      <c r="E6631" s="2" t="s">
        <v>190</v>
      </c>
    </row>
    <row r="6632" spans="1:5" x14ac:dyDescent="0.2">
      <c r="A6632">
        <v>6571</v>
      </c>
      <c r="B6632" s="138">
        <f ca="1">'Revenues 9-14'!J225</f>
        <v>0</v>
      </c>
      <c r="D6632" s="2" t="str">
        <f t="shared" ca="1" si="102"/>
        <v>Error?</v>
      </c>
      <c r="E6632" s="2" t="s">
        <v>190</v>
      </c>
    </row>
    <row r="6633" spans="1:5" x14ac:dyDescent="0.2">
      <c r="A6633">
        <v>6572</v>
      </c>
      <c r="B6633" s="138">
        <f ca="1">'Revenues 9-14'!K225</f>
        <v>0</v>
      </c>
      <c r="D6633" s="2" t="str">
        <f t="shared" ca="1" si="102"/>
        <v>Error?</v>
      </c>
      <c r="E6633" s="2" t="s">
        <v>190</v>
      </c>
    </row>
    <row r="6634" spans="1:5" x14ac:dyDescent="0.2">
      <c r="A6634">
        <v>6573</v>
      </c>
      <c r="B6634" s="138">
        <f ca="1">'Revenues 9-14'!C226</f>
        <v>0</v>
      </c>
      <c r="D6634" s="2" t="str">
        <f t="shared" ca="1" si="102"/>
        <v>Error?</v>
      </c>
      <c r="E6634" s="2" t="s">
        <v>190</v>
      </c>
    </row>
    <row r="6635" spans="1:5" x14ac:dyDescent="0.2">
      <c r="A6635">
        <v>6574</v>
      </c>
      <c r="B6635" s="138">
        <f ca="1">'Revenues 9-14'!D226</f>
        <v>0</v>
      </c>
      <c r="D6635" s="2" t="str">
        <f t="shared" ca="1" si="102"/>
        <v>Error?</v>
      </c>
      <c r="E6635" s="2" t="s">
        <v>190</v>
      </c>
    </row>
    <row r="6636" spans="1:5" x14ac:dyDescent="0.2">
      <c r="A6636">
        <v>6575</v>
      </c>
      <c r="B6636" s="138">
        <f ca="1">'Revenues 9-14'!E226</f>
        <v>0</v>
      </c>
      <c r="D6636" s="2" t="str">
        <f t="shared" ca="1" si="102"/>
        <v>Error?</v>
      </c>
      <c r="E6636" s="2" t="s">
        <v>190</v>
      </c>
    </row>
    <row r="6637" spans="1:5" x14ac:dyDescent="0.2">
      <c r="A6637">
        <v>6576</v>
      </c>
      <c r="B6637" s="138">
        <f ca="1">'Revenues 9-14'!F226</f>
        <v>0</v>
      </c>
      <c r="D6637" s="2" t="str">
        <f t="shared" ca="1" si="102"/>
        <v>Error?</v>
      </c>
      <c r="E6637" s="2" t="s">
        <v>190</v>
      </c>
    </row>
    <row r="6638" spans="1:5" x14ac:dyDescent="0.2">
      <c r="A6638">
        <v>6577</v>
      </c>
      <c r="B6638" s="138">
        <f ca="1">'Revenues 9-14'!G226</f>
        <v>0</v>
      </c>
      <c r="D6638" s="2" t="str">
        <f t="shared" ca="1" si="102"/>
        <v>Error?</v>
      </c>
      <c r="E6638" s="2" t="s">
        <v>190</v>
      </c>
    </row>
    <row r="6639" spans="1:5" x14ac:dyDescent="0.2">
      <c r="A6639">
        <v>6578</v>
      </c>
      <c r="B6639" s="138">
        <f ca="1">'Revenues 9-14'!H226</f>
        <v>0</v>
      </c>
      <c r="D6639" s="2" t="str">
        <f t="shared" ca="1" si="102"/>
        <v>Error?</v>
      </c>
      <c r="E6639" s="2" t="s">
        <v>190</v>
      </c>
    </row>
    <row r="6640" spans="1:5" x14ac:dyDescent="0.2">
      <c r="A6640">
        <v>6579</v>
      </c>
      <c r="B6640" s="138">
        <f ca="1">'Revenues 9-14'!J226</f>
        <v>0</v>
      </c>
      <c r="D6640" s="2" t="str">
        <f t="shared" ca="1" si="102"/>
        <v>Error?</v>
      </c>
      <c r="E6640" s="2" t="s">
        <v>190</v>
      </c>
    </row>
    <row r="6641" spans="1:5" x14ac:dyDescent="0.2">
      <c r="A6641">
        <v>6580</v>
      </c>
      <c r="B6641" s="138">
        <f ca="1">'Revenues 9-14'!K226</f>
        <v>0</v>
      </c>
      <c r="D6641" s="2" t="str">
        <f t="shared" ca="1" si="102"/>
        <v>Error?</v>
      </c>
      <c r="E6641" s="2" t="s">
        <v>190</v>
      </c>
    </row>
    <row r="6642" spans="1:5" x14ac:dyDescent="0.2">
      <c r="A6642">
        <v>6581</v>
      </c>
      <c r="B6642" s="138">
        <f ca="1">'Revenues 9-14'!C227</f>
        <v>0</v>
      </c>
      <c r="D6642" s="2" t="str">
        <f t="shared" ca="1" si="102"/>
        <v>Error?</v>
      </c>
      <c r="E6642" s="2" t="s">
        <v>190</v>
      </c>
    </row>
    <row r="6643" spans="1:5" x14ac:dyDescent="0.2">
      <c r="A6643">
        <v>6582</v>
      </c>
      <c r="B6643" s="138">
        <f ca="1">'Revenues 9-14'!D227</f>
        <v>0</v>
      </c>
      <c r="D6643" s="2" t="str">
        <f t="shared" ca="1" si="102"/>
        <v>Error?</v>
      </c>
      <c r="E6643" s="2" t="s">
        <v>190</v>
      </c>
    </row>
    <row r="6644" spans="1:5" x14ac:dyDescent="0.2">
      <c r="A6644">
        <v>6583</v>
      </c>
      <c r="B6644" s="138">
        <f ca="1">'Revenues 9-14'!E227</f>
        <v>0</v>
      </c>
      <c r="D6644" s="2" t="str">
        <f t="shared" ca="1" si="102"/>
        <v>Error?</v>
      </c>
      <c r="E6644" s="2" t="s">
        <v>190</v>
      </c>
    </row>
    <row r="6645" spans="1:5" x14ac:dyDescent="0.2">
      <c r="A6645">
        <v>6584</v>
      </c>
      <c r="B6645" s="138">
        <f ca="1">'Revenues 9-14'!F227</f>
        <v>0</v>
      </c>
      <c r="D6645" s="2" t="str">
        <f t="shared" ca="1" si="102"/>
        <v>Error?</v>
      </c>
      <c r="E6645" s="2" t="s">
        <v>190</v>
      </c>
    </row>
    <row r="6646" spans="1:5" x14ac:dyDescent="0.2">
      <c r="A6646">
        <v>6585</v>
      </c>
      <c r="B6646" s="138">
        <f ca="1">'Revenues 9-14'!G227</f>
        <v>0</v>
      </c>
      <c r="D6646" s="2" t="str">
        <f t="shared" ca="1" si="102"/>
        <v>Error?</v>
      </c>
      <c r="E6646" s="2" t="s">
        <v>190</v>
      </c>
    </row>
    <row r="6647" spans="1:5" x14ac:dyDescent="0.2">
      <c r="A6647">
        <v>6586</v>
      </c>
      <c r="B6647" s="138">
        <f ca="1">'Revenues 9-14'!H227</f>
        <v>0</v>
      </c>
      <c r="D6647" s="2" t="str">
        <f t="shared" ca="1" si="102"/>
        <v>Error?</v>
      </c>
      <c r="E6647" s="2" t="s">
        <v>190</v>
      </c>
    </row>
    <row r="6648" spans="1:5" x14ac:dyDescent="0.2">
      <c r="A6648">
        <v>6587</v>
      </c>
      <c r="B6648" s="138">
        <f ca="1">'Revenues 9-14'!J227</f>
        <v>0</v>
      </c>
      <c r="D6648" s="2" t="str">
        <f t="shared" ca="1" si="102"/>
        <v>Error?</v>
      </c>
      <c r="E6648" s="2" t="s">
        <v>190</v>
      </c>
    </row>
    <row r="6649" spans="1:5" x14ac:dyDescent="0.2">
      <c r="A6649">
        <v>6588</v>
      </c>
      <c r="B6649" s="138">
        <f ca="1">'Revenues 9-14'!K227</f>
        <v>0</v>
      </c>
      <c r="D6649" s="2" t="str">
        <f t="shared" ca="1" si="102"/>
        <v>Error?</v>
      </c>
      <c r="E6649" s="2" t="s">
        <v>190</v>
      </c>
    </row>
    <row r="6650" spans="1:5" x14ac:dyDescent="0.2">
      <c r="A6650">
        <v>6589</v>
      </c>
      <c r="B6650" s="138">
        <f ca="1">'Revenues 9-14'!C228</f>
        <v>0</v>
      </c>
      <c r="D6650" s="2" t="str">
        <f t="shared" ca="1" si="102"/>
        <v>Error?</v>
      </c>
      <c r="E6650" s="2" t="s">
        <v>190</v>
      </c>
    </row>
    <row r="6651" spans="1:5" x14ac:dyDescent="0.2">
      <c r="A6651">
        <v>6590</v>
      </c>
      <c r="B6651" s="138">
        <f ca="1">'Revenues 9-14'!D228</f>
        <v>0</v>
      </c>
      <c r="D6651" s="2" t="str">
        <f t="shared" ca="1" si="102"/>
        <v>Error?</v>
      </c>
      <c r="E6651" s="2" t="s">
        <v>190</v>
      </c>
    </row>
    <row r="6652" spans="1:5" x14ac:dyDescent="0.2">
      <c r="A6652">
        <v>6591</v>
      </c>
      <c r="B6652" s="138">
        <f ca="1">'Revenues 9-14'!E228</f>
        <v>0</v>
      </c>
      <c r="D6652" s="2" t="str">
        <f t="shared" ca="1" si="102"/>
        <v>Error?</v>
      </c>
      <c r="E6652" s="2" t="s">
        <v>190</v>
      </c>
    </row>
    <row r="6653" spans="1:5" x14ac:dyDescent="0.2">
      <c r="A6653">
        <v>6592</v>
      </c>
      <c r="B6653" s="138">
        <f ca="1">'Revenues 9-14'!F228</f>
        <v>0</v>
      </c>
      <c r="D6653" s="2" t="str">
        <f t="shared" ca="1" si="102"/>
        <v>Error?</v>
      </c>
      <c r="E6653" s="2" t="s">
        <v>190</v>
      </c>
    </row>
    <row r="6654" spans="1:5" x14ac:dyDescent="0.2">
      <c r="A6654">
        <v>6593</v>
      </c>
      <c r="B6654" s="138">
        <f ca="1">'Revenues 9-14'!G228</f>
        <v>0</v>
      </c>
      <c r="D6654" s="2" t="str">
        <f t="shared" ca="1" si="102"/>
        <v>Error?</v>
      </c>
      <c r="E6654" s="2" t="s">
        <v>190</v>
      </c>
    </row>
    <row r="6655" spans="1:5" x14ac:dyDescent="0.2">
      <c r="A6655">
        <v>6594</v>
      </c>
      <c r="B6655" s="138">
        <f ca="1">'Revenues 9-14'!H228</f>
        <v>0</v>
      </c>
      <c r="D6655" s="2" t="str">
        <f t="shared" ref="D6655:D6718" ca="1" si="103">IF(ISBLANK(B6655),"OK",IF(A6655-B6655=0,"OK","Error?"))</f>
        <v>Error?</v>
      </c>
      <c r="E6655" s="2" t="s">
        <v>190</v>
      </c>
    </row>
    <row r="6656" spans="1:5" x14ac:dyDescent="0.2">
      <c r="A6656">
        <v>6595</v>
      </c>
      <c r="B6656" s="138">
        <f ca="1">'Revenues 9-14'!J228</f>
        <v>0</v>
      </c>
      <c r="D6656" s="2" t="str">
        <f t="shared" ca="1" si="103"/>
        <v>Error?</v>
      </c>
      <c r="E6656" s="2" t="s">
        <v>190</v>
      </c>
    </row>
    <row r="6657" spans="1:5" x14ac:dyDescent="0.2">
      <c r="A6657">
        <v>6596</v>
      </c>
      <c r="B6657" s="138">
        <f ca="1">'Revenues 9-14'!K228</f>
        <v>0</v>
      </c>
      <c r="D6657" s="2" t="str">
        <f t="shared" ca="1" si="103"/>
        <v>Error?</v>
      </c>
      <c r="E6657" s="2" t="s">
        <v>190</v>
      </c>
    </row>
    <row r="6658" spans="1:5" x14ac:dyDescent="0.2">
      <c r="A6658">
        <v>6597</v>
      </c>
      <c r="B6658" s="138">
        <f ca="1">'Revenues 9-14'!C229</f>
        <v>0</v>
      </c>
      <c r="D6658" s="2" t="str">
        <f t="shared" ca="1" si="103"/>
        <v>Error?</v>
      </c>
      <c r="E6658" s="2" t="s">
        <v>190</v>
      </c>
    </row>
    <row r="6659" spans="1:5" x14ac:dyDescent="0.2">
      <c r="A6659">
        <v>6598</v>
      </c>
      <c r="B6659" s="138">
        <f ca="1">'Revenues 9-14'!D229</f>
        <v>0</v>
      </c>
      <c r="D6659" s="2" t="str">
        <f t="shared" ca="1" si="103"/>
        <v>Error?</v>
      </c>
      <c r="E6659" s="2" t="s">
        <v>190</v>
      </c>
    </row>
    <row r="6660" spans="1:5" x14ac:dyDescent="0.2">
      <c r="A6660">
        <v>6599</v>
      </c>
      <c r="B6660" s="138">
        <f ca="1">'Revenues 9-14'!E229</f>
        <v>0</v>
      </c>
      <c r="D6660" s="2" t="str">
        <f t="shared" ca="1" si="103"/>
        <v>Error?</v>
      </c>
      <c r="E6660" s="2" t="s">
        <v>190</v>
      </c>
    </row>
    <row r="6661" spans="1:5" x14ac:dyDescent="0.2">
      <c r="A6661">
        <v>6600</v>
      </c>
      <c r="B6661" s="138">
        <f ca="1">'Revenues 9-14'!F229</f>
        <v>0</v>
      </c>
      <c r="D6661" s="2" t="str">
        <f t="shared" ca="1" si="103"/>
        <v>Error?</v>
      </c>
      <c r="E6661" s="2" t="s">
        <v>190</v>
      </c>
    </row>
    <row r="6662" spans="1:5" x14ac:dyDescent="0.2">
      <c r="A6662">
        <v>6601</v>
      </c>
      <c r="B6662" s="138">
        <f ca="1">'Revenues 9-14'!G229</f>
        <v>0</v>
      </c>
      <c r="D6662" s="2" t="str">
        <f t="shared" ca="1" si="103"/>
        <v>Error?</v>
      </c>
      <c r="E6662" s="2" t="s">
        <v>190</v>
      </c>
    </row>
    <row r="6663" spans="1:5" x14ac:dyDescent="0.2">
      <c r="A6663">
        <v>6602</v>
      </c>
      <c r="B6663" s="138">
        <f ca="1">'Revenues 9-14'!H229</f>
        <v>0</v>
      </c>
      <c r="D6663" s="2" t="str">
        <f t="shared" ca="1" si="103"/>
        <v>Error?</v>
      </c>
      <c r="E6663" s="2" t="s">
        <v>190</v>
      </c>
    </row>
    <row r="6664" spans="1:5" x14ac:dyDescent="0.2">
      <c r="A6664">
        <v>6603</v>
      </c>
      <c r="B6664" s="138">
        <f ca="1">'Revenues 9-14'!J229</f>
        <v>0</v>
      </c>
      <c r="D6664" s="2" t="str">
        <f t="shared" ca="1" si="103"/>
        <v>Error?</v>
      </c>
      <c r="E6664" s="2" t="s">
        <v>190</v>
      </c>
    </row>
    <row r="6665" spans="1:5" x14ac:dyDescent="0.2">
      <c r="A6665">
        <v>6604</v>
      </c>
      <c r="B6665" s="138">
        <f ca="1">'Revenues 9-14'!K229</f>
        <v>0</v>
      </c>
      <c r="D6665" s="2" t="str">
        <f t="shared" ca="1" si="103"/>
        <v>Error?</v>
      </c>
      <c r="E6665" s="2" t="s">
        <v>190</v>
      </c>
    </row>
    <row r="6666" spans="1:5" x14ac:dyDescent="0.2">
      <c r="A6666">
        <v>6605</v>
      </c>
      <c r="B6666" s="138">
        <f ca="1">'Revenues 9-14'!C230</f>
        <v>0</v>
      </c>
      <c r="D6666" s="2" t="str">
        <f t="shared" ca="1" si="103"/>
        <v>Error?</v>
      </c>
      <c r="E6666" s="2" t="s">
        <v>190</v>
      </c>
    </row>
    <row r="6667" spans="1:5" x14ac:dyDescent="0.2">
      <c r="A6667">
        <v>6606</v>
      </c>
      <c r="B6667" s="138">
        <f ca="1">'Revenues 9-14'!D230</f>
        <v>0</v>
      </c>
      <c r="D6667" s="2" t="str">
        <f t="shared" ca="1" si="103"/>
        <v>Error?</v>
      </c>
      <c r="E6667" s="2" t="s">
        <v>190</v>
      </c>
    </row>
    <row r="6668" spans="1:5" x14ac:dyDescent="0.2">
      <c r="A6668">
        <v>6607</v>
      </c>
      <c r="B6668" s="138">
        <f ca="1">'Revenues 9-14'!E230</f>
        <v>0</v>
      </c>
      <c r="D6668" s="2" t="str">
        <f t="shared" ca="1" si="103"/>
        <v>Error?</v>
      </c>
      <c r="E6668" s="2" t="s">
        <v>190</v>
      </c>
    </row>
    <row r="6669" spans="1:5" x14ac:dyDescent="0.2">
      <c r="A6669">
        <v>6608</v>
      </c>
      <c r="B6669" s="138">
        <f ca="1">'Revenues 9-14'!F230</f>
        <v>0</v>
      </c>
      <c r="D6669" s="2" t="str">
        <f t="shared" ca="1" si="103"/>
        <v>Error?</v>
      </c>
      <c r="E6669" s="2" t="s">
        <v>190</v>
      </c>
    </row>
    <row r="6670" spans="1:5" x14ac:dyDescent="0.2">
      <c r="A6670">
        <v>6609</v>
      </c>
      <c r="B6670" s="138">
        <f ca="1">'Revenues 9-14'!G230</f>
        <v>0</v>
      </c>
      <c r="D6670" s="2" t="str">
        <f t="shared" ca="1" si="103"/>
        <v>Error?</v>
      </c>
      <c r="E6670" s="2" t="s">
        <v>190</v>
      </c>
    </row>
    <row r="6671" spans="1:5" x14ac:dyDescent="0.2">
      <c r="A6671">
        <v>6610</v>
      </c>
      <c r="B6671" s="138">
        <f ca="1">'Revenues 9-14'!H230</f>
        <v>0</v>
      </c>
      <c r="D6671" s="2" t="str">
        <f t="shared" ca="1" si="103"/>
        <v>Error?</v>
      </c>
      <c r="E6671" s="2" t="s">
        <v>190</v>
      </c>
    </row>
    <row r="6672" spans="1:5" x14ac:dyDescent="0.2">
      <c r="A6672">
        <v>6611</v>
      </c>
      <c r="B6672" s="138">
        <f ca="1">'Revenues 9-14'!J230</f>
        <v>0</v>
      </c>
      <c r="D6672" s="2" t="str">
        <f t="shared" ca="1" si="103"/>
        <v>Error?</v>
      </c>
      <c r="E6672" s="2" t="s">
        <v>190</v>
      </c>
    </row>
    <row r="6673" spans="1:5" x14ac:dyDescent="0.2">
      <c r="A6673">
        <v>6612</v>
      </c>
      <c r="B6673" s="138">
        <f ca="1">'Revenues 9-14'!K230</f>
        <v>0</v>
      </c>
      <c r="D6673" s="2" t="str">
        <f t="shared" ca="1" si="103"/>
        <v>Error?</v>
      </c>
      <c r="E6673" s="2" t="s">
        <v>190</v>
      </c>
    </row>
    <row r="6674" spans="1:5" x14ac:dyDescent="0.2">
      <c r="A6674">
        <v>6613</v>
      </c>
      <c r="B6674" s="138">
        <f ca="1">'Revenues 9-14'!C231</f>
        <v>0</v>
      </c>
      <c r="D6674" s="2" t="str">
        <f t="shared" ca="1" si="103"/>
        <v>Error?</v>
      </c>
      <c r="E6674" s="2" t="s">
        <v>190</v>
      </c>
    </row>
    <row r="6675" spans="1:5" x14ac:dyDescent="0.2">
      <c r="A6675">
        <v>6614</v>
      </c>
      <c r="B6675" s="138">
        <f ca="1">'Revenues 9-14'!D231</f>
        <v>0</v>
      </c>
      <c r="D6675" s="2" t="str">
        <f t="shared" ca="1" si="103"/>
        <v>Error?</v>
      </c>
      <c r="E6675" s="2" t="s">
        <v>190</v>
      </c>
    </row>
    <row r="6676" spans="1:5" x14ac:dyDescent="0.2">
      <c r="A6676">
        <v>6615</v>
      </c>
      <c r="B6676" s="138">
        <f ca="1">'Revenues 9-14'!E231</f>
        <v>0</v>
      </c>
      <c r="D6676" s="2" t="str">
        <f t="shared" ca="1" si="103"/>
        <v>Error?</v>
      </c>
      <c r="E6676" s="2" t="s">
        <v>190</v>
      </c>
    </row>
    <row r="6677" spans="1:5" x14ac:dyDescent="0.2">
      <c r="A6677">
        <v>6616</v>
      </c>
      <c r="B6677" s="138">
        <f ca="1">'Revenues 9-14'!F231</f>
        <v>0</v>
      </c>
      <c r="D6677" s="2" t="str">
        <f t="shared" ca="1" si="103"/>
        <v>Error?</v>
      </c>
      <c r="E6677" s="2" t="s">
        <v>190</v>
      </c>
    </row>
    <row r="6678" spans="1:5" x14ac:dyDescent="0.2">
      <c r="A6678">
        <v>6617</v>
      </c>
      <c r="B6678" s="138">
        <f ca="1">'Revenues 9-14'!G231</f>
        <v>0</v>
      </c>
      <c r="D6678" s="2" t="str">
        <f t="shared" ca="1" si="103"/>
        <v>Error?</v>
      </c>
      <c r="E6678" s="2" t="s">
        <v>190</v>
      </c>
    </row>
    <row r="6679" spans="1:5" x14ac:dyDescent="0.2">
      <c r="A6679">
        <v>6618</v>
      </c>
      <c r="B6679" s="138">
        <f ca="1">'Revenues 9-14'!H231</f>
        <v>0</v>
      </c>
      <c r="D6679" s="2" t="str">
        <f t="shared" ca="1" si="103"/>
        <v>Error?</v>
      </c>
      <c r="E6679" s="2" t="s">
        <v>190</v>
      </c>
    </row>
    <row r="6680" spans="1:5" x14ac:dyDescent="0.2">
      <c r="A6680">
        <v>6619</v>
      </c>
      <c r="B6680" s="138">
        <f ca="1">'Revenues 9-14'!J231</f>
        <v>0</v>
      </c>
      <c r="D6680" s="2" t="str">
        <f t="shared" ca="1" si="103"/>
        <v>Error?</v>
      </c>
      <c r="E6680" s="2" t="s">
        <v>190</v>
      </c>
    </row>
    <row r="6681" spans="1:5" x14ac:dyDescent="0.2">
      <c r="A6681">
        <v>6620</v>
      </c>
      <c r="B6681" s="138">
        <f ca="1">'Revenues 9-14'!K231</f>
        <v>0</v>
      </c>
      <c r="D6681" s="2" t="str">
        <f t="shared" ca="1" si="103"/>
        <v>Error?</v>
      </c>
      <c r="E6681" s="2" t="s">
        <v>190</v>
      </c>
    </row>
    <row r="6682" spans="1:5" x14ac:dyDescent="0.2">
      <c r="A6682">
        <v>6621</v>
      </c>
      <c r="B6682" s="138">
        <f ca="1">'Revenues 9-14'!C232</f>
        <v>0</v>
      </c>
      <c r="D6682" s="2" t="str">
        <f t="shared" ca="1" si="103"/>
        <v>Error?</v>
      </c>
      <c r="E6682" s="2" t="s">
        <v>190</v>
      </c>
    </row>
    <row r="6683" spans="1:5" x14ac:dyDescent="0.2">
      <c r="A6683">
        <v>6622</v>
      </c>
      <c r="B6683" s="138">
        <f ca="1">'Revenues 9-14'!D232</f>
        <v>0</v>
      </c>
      <c r="D6683" s="2" t="str">
        <f t="shared" ca="1" si="103"/>
        <v>Error?</v>
      </c>
      <c r="E6683" s="2" t="s">
        <v>190</v>
      </c>
    </row>
    <row r="6684" spans="1:5" x14ac:dyDescent="0.2">
      <c r="A6684">
        <v>6623</v>
      </c>
      <c r="B6684" s="138">
        <f ca="1">'Revenues 9-14'!E232</f>
        <v>0</v>
      </c>
      <c r="D6684" s="2" t="str">
        <f t="shared" ca="1" si="103"/>
        <v>Error?</v>
      </c>
      <c r="E6684" s="2" t="s">
        <v>190</v>
      </c>
    </row>
    <row r="6685" spans="1:5" x14ac:dyDescent="0.2">
      <c r="A6685">
        <v>6624</v>
      </c>
      <c r="B6685" s="138">
        <f ca="1">'Revenues 9-14'!F232</f>
        <v>0</v>
      </c>
      <c r="D6685" s="2" t="str">
        <f t="shared" ca="1" si="103"/>
        <v>Error?</v>
      </c>
      <c r="E6685" s="2" t="s">
        <v>190</v>
      </c>
    </row>
    <row r="6686" spans="1:5" x14ac:dyDescent="0.2">
      <c r="A6686">
        <v>6625</v>
      </c>
      <c r="B6686" s="138">
        <f ca="1">'Revenues 9-14'!G232</f>
        <v>0</v>
      </c>
      <c r="D6686" s="2" t="str">
        <f t="shared" ca="1" si="103"/>
        <v>Error?</v>
      </c>
      <c r="E6686" s="2" t="s">
        <v>190</v>
      </c>
    </row>
    <row r="6687" spans="1:5" x14ac:dyDescent="0.2">
      <c r="A6687">
        <v>6626</v>
      </c>
      <c r="B6687" s="138">
        <f ca="1">'Revenues 9-14'!H232</f>
        <v>0</v>
      </c>
      <c r="D6687" s="2" t="str">
        <f t="shared" ca="1" si="103"/>
        <v>Error?</v>
      </c>
      <c r="E6687" s="2" t="s">
        <v>190</v>
      </c>
    </row>
    <row r="6688" spans="1:5" x14ac:dyDescent="0.2">
      <c r="A6688">
        <v>6627</v>
      </c>
      <c r="B6688" s="138">
        <f ca="1">'Revenues 9-14'!J232</f>
        <v>0</v>
      </c>
      <c r="D6688" s="2" t="str">
        <f t="shared" ca="1" si="103"/>
        <v>Error?</v>
      </c>
      <c r="E6688" s="2" t="s">
        <v>190</v>
      </c>
    </row>
    <row r="6689" spans="1:5" x14ac:dyDescent="0.2">
      <c r="A6689">
        <v>6628</v>
      </c>
      <c r="B6689" s="138">
        <f ca="1">'Revenues 9-14'!K232</f>
        <v>0</v>
      </c>
      <c r="D6689" s="2" t="str">
        <f t="shared" ca="1" si="103"/>
        <v>Error?</v>
      </c>
      <c r="E6689" s="2" t="s">
        <v>190</v>
      </c>
    </row>
    <row r="6690" spans="1:5" x14ac:dyDescent="0.2">
      <c r="A6690">
        <v>6629</v>
      </c>
      <c r="B6690" s="138">
        <f ca="1">'Revenues 9-14'!C233</f>
        <v>0</v>
      </c>
      <c r="D6690" s="2" t="str">
        <f t="shared" ca="1" si="103"/>
        <v>Error?</v>
      </c>
      <c r="E6690" s="2" t="s">
        <v>190</v>
      </c>
    </row>
    <row r="6691" spans="1:5" x14ac:dyDescent="0.2">
      <c r="A6691">
        <v>6630</v>
      </c>
      <c r="B6691" s="138">
        <f ca="1">'Revenues 9-14'!D233</f>
        <v>0</v>
      </c>
      <c r="D6691" s="2" t="str">
        <f t="shared" ca="1" si="103"/>
        <v>Error?</v>
      </c>
      <c r="E6691" s="2" t="s">
        <v>190</v>
      </c>
    </row>
    <row r="6692" spans="1:5" x14ac:dyDescent="0.2">
      <c r="A6692">
        <v>6631</v>
      </c>
      <c r="B6692" s="138">
        <f ca="1">'Revenues 9-14'!F233</f>
        <v>0</v>
      </c>
      <c r="D6692" s="2" t="str">
        <f t="shared" ca="1" si="103"/>
        <v>Error?</v>
      </c>
      <c r="E6692" s="2" t="s">
        <v>190</v>
      </c>
    </row>
    <row r="6693" spans="1:5" x14ac:dyDescent="0.2">
      <c r="A6693">
        <v>6632</v>
      </c>
      <c r="B6693" s="138">
        <f ca="1">'Revenues 9-14'!G233</f>
        <v>0</v>
      </c>
      <c r="D6693" s="2" t="str">
        <f t="shared" ca="1" si="103"/>
        <v>Error?</v>
      </c>
      <c r="E6693" s="2" t="s">
        <v>190</v>
      </c>
    </row>
    <row r="6694" spans="1:5" x14ac:dyDescent="0.2">
      <c r="A6694">
        <v>6633</v>
      </c>
      <c r="B6694" s="138">
        <f ca="1">'Revenues 9-14'!C234</f>
        <v>0</v>
      </c>
      <c r="D6694" s="2" t="str">
        <f t="shared" ca="1" si="103"/>
        <v>Error?</v>
      </c>
      <c r="E6694" s="2" t="s">
        <v>190</v>
      </c>
    </row>
    <row r="6695" spans="1:5" x14ac:dyDescent="0.2">
      <c r="A6695">
        <v>6634</v>
      </c>
      <c r="B6695" s="138">
        <f ca="1">'Revenues 9-14'!D234</f>
        <v>0</v>
      </c>
      <c r="D6695" s="2" t="str">
        <f t="shared" ca="1" si="103"/>
        <v>Error?</v>
      </c>
      <c r="E6695" s="2" t="s">
        <v>190</v>
      </c>
    </row>
    <row r="6696" spans="1:5" x14ac:dyDescent="0.2">
      <c r="A6696">
        <v>6635</v>
      </c>
      <c r="B6696" s="138">
        <f ca="1">'Revenues 9-14'!C235</f>
        <v>0</v>
      </c>
      <c r="D6696" s="2" t="str">
        <f t="shared" ca="1" si="103"/>
        <v>Error?</v>
      </c>
      <c r="E6696" s="2" t="s">
        <v>190</v>
      </c>
    </row>
    <row r="6697" spans="1:5" x14ac:dyDescent="0.2">
      <c r="A6697">
        <v>6636</v>
      </c>
      <c r="B6697" s="138">
        <f ca="1">'Revenues 9-14'!D235</f>
        <v>0</v>
      </c>
      <c r="D6697" s="2" t="str">
        <f t="shared" ca="1" si="103"/>
        <v>Error?</v>
      </c>
      <c r="E6697" s="2" t="s">
        <v>190</v>
      </c>
    </row>
    <row r="6698" spans="1:5" x14ac:dyDescent="0.2">
      <c r="A6698">
        <v>6637</v>
      </c>
      <c r="B6698" s="138">
        <f ca="1">'Revenues 9-14'!E235</f>
        <v>0</v>
      </c>
      <c r="D6698" s="2" t="str">
        <f t="shared" ca="1" si="103"/>
        <v>Error?</v>
      </c>
      <c r="E6698" s="2" t="s">
        <v>190</v>
      </c>
    </row>
    <row r="6699" spans="1:5" x14ac:dyDescent="0.2">
      <c r="A6699">
        <v>6638</v>
      </c>
      <c r="B6699" s="138">
        <f ca="1">'Revenues 9-14'!F235</f>
        <v>0</v>
      </c>
      <c r="D6699" s="2" t="str">
        <f t="shared" ca="1" si="103"/>
        <v>Error?</v>
      </c>
      <c r="E6699" s="2" t="s">
        <v>190</v>
      </c>
    </row>
    <row r="6700" spans="1:5" x14ac:dyDescent="0.2">
      <c r="A6700">
        <v>6639</v>
      </c>
      <c r="B6700" s="138">
        <f ca="1">'Revenues 9-14'!G235</f>
        <v>0</v>
      </c>
      <c r="D6700" s="2" t="str">
        <f t="shared" ca="1" si="103"/>
        <v>Error?</v>
      </c>
      <c r="E6700" s="2" t="s">
        <v>190</v>
      </c>
    </row>
    <row r="6701" spans="1:5" x14ac:dyDescent="0.2">
      <c r="A6701">
        <v>6640</v>
      </c>
      <c r="B6701" s="138">
        <f ca="1">'Revenues 9-14'!H235</f>
        <v>0</v>
      </c>
      <c r="D6701" s="2" t="str">
        <f t="shared" ca="1" si="103"/>
        <v>Error?</v>
      </c>
      <c r="E6701" s="2" t="s">
        <v>190</v>
      </c>
    </row>
    <row r="6702" spans="1:5" x14ac:dyDescent="0.2">
      <c r="A6702">
        <v>6641</v>
      </c>
      <c r="B6702" s="138">
        <f ca="1">'Revenues 9-14'!J235</f>
        <v>0</v>
      </c>
      <c r="D6702" s="2" t="str">
        <f t="shared" ca="1" si="103"/>
        <v>Error?</v>
      </c>
      <c r="E6702" s="2" t="s">
        <v>190</v>
      </c>
    </row>
    <row r="6703" spans="1:5" x14ac:dyDescent="0.2">
      <c r="A6703">
        <v>6642</v>
      </c>
      <c r="B6703" s="138">
        <f ca="1">'Revenues 9-14'!K235</f>
        <v>0</v>
      </c>
      <c r="D6703" s="2" t="str">
        <f t="shared" ca="1" si="103"/>
        <v>Error?</v>
      </c>
      <c r="E6703" s="2" t="s">
        <v>190</v>
      </c>
    </row>
    <row r="6704" spans="1:5" x14ac:dyDescent="0.2">
      <c r="A6704">
        <v>6643</v>
      </c>
      <c r="B6704" s="138">
        <f ca="1">'Revenues 9-14'!C236</f>
        <v>0</v>
      </c>
      <c r="D6704" s="2" t="str">
        <f t="shared" ca="1" si="103"/>
        <v>Error?</v>
      </c>
      <c r="E6704" s="2" t="s">
        <v>190</v>
      </c>
    </row>
    <row r="6705" spans="1:5" x14ac:dyDescent="0.2">
      <c r="A6705">
        <v>6644</v>
      </c>
      <c r="B6705" s="138">
        <f ca="1">'Revenues 9-14'!D236</f>
        <v>0</v>
      </c>
      <c r="D6705" s="2" t="str">
        <f t="shared" ca="1" si="103"/>
        <v>Error?</v>
      </c>
      <c r="E6705" s="2" t="s">
        <v>190</v>
      </c>
    </row>
    <row r="6706" spans="1:5" x14ac:dyDescent="0.2">
      <c r="A6706">
        <v>6645</v>
      </c>
      <c r="B6706" s="138">
        <f ca="1">'Revenues 9-14'!E236</f>
        <v>0</v>
      </c>
      <c r="D6706" s="2" t="str">
        <f t="shared" ca="1" si="103"/>
        <v>Error?</v>
      </c>
      <c r="E6706" s="2" t="s">
        <v>190</v>
      </c>
    </row>
    <row r="6707" spans="1:5" x14ac:dyDescent="0.2">
      <c r="A6707">
        <v>6646</v>
      </c>
      <c r="B6707" s="138">
        <f ca="1">'Revenues 9-14'!F236</f>
        <v>0</v>
      </c>
      <c r="D6707" s="2" t="str">
        <f t="shared" ca="1" si="103"/>
        <v>Error?</v>
      </c>
      <c r="E6707" s="2" t="s">
        <v>190</v>
      </c>
    </row>
    <row r="6708" spans="1:5" x14ac:dyDescent="0.2">
      <c r="A6708">
        <v>6647</v>
      </c>
      <c r="B6708" s="138">
        <f ca="1">'Revenues 9-14'!G236</f>
        <v>0</v>
      </c>
      <c r="D6708" s="2" t="str">
        <f t="shared" ca="1" si="103"/>
        <v>Error?</v>
      </c>
      <c r="E6708" s="2" t="s">
        <v>190</v>
      </c>
    </row>
    <row r="6709" spans="1:5" x14ac:dyDescent="0.2">
      <c r="A6709">
        <v>6648</v>
      </c>
      <c r="B6709" s="138">
        <f ca="1">'Revenues 9-14'!H236</f>
        <v>0</v>
      </c>
      <c r="D6709" s="2" t="str">
        <f t="shared" ca="1" si="103"/>
        <v>Error?</v>
      </c>
      <c r="E6709" s="2" t="s">
        <v>190</v>
      </c>
    </row>
    <row r="6710" spans="1:5" x14ac:dyDescent="0.2">
      <c r="A6710">
        <v>6649</v>
      </c>
      <c r="B6710" s="138">
        <f ca="1">'Revenues 9-14'!J236</f>
        <v>0</v>
      </c>
      <c r="D6710" s="2" t="str">
        <f t="shared" ca="1" si="103"/>
        <v>Error?</v>
      </c>
      <c r="E6710" s="2" t="s">
        <v>190</v>
      </c>
    </row>
    <row r="6711" spans="1:5" x14ac:dyDescent="0.2">
      <c r="A6711">
        <v>6650</v>
      </c>
      <c r="B6711" s="138">
        <f ca="1">'Revenues 9-14'!K236</f>
        <v>0</v>
      </c>
      <c r="D6711" s="2" t="str">
        <f t="shared" ca="1" si="103"/>
        <v>Error?</v>
      </c>
      <c r="E6711" s="2" t="s">
        <v>190</v>
      </c>
    </row>
    <row r="6712" spans="1:5" x14ac:dyDescent="0.2">
      <c r="A6712">
        <v>6651</v>
      </c>
      <c r="B6712" s="138">
        <f ca="1">'Revenues 9-14'!C237</f>
        <v>0</v>
      </c>
      <c r="D6712" s="2" t="str">
        <f t="shared" ca="1" si="103"/>
        <v>Error?</v>
      </c>
      <c r="E6712" s="2" t="s">
        <v>190</v>
      </c>
    </row>
    <row r="6713" spans="1:5" x14ac:dyDescent="0.2">
      <c r="A6713">
        <v>6652</v>
      </c>
      <c r="B6713" s="138">
        <f ca="1">'Revenues 9-14'!D237</f>
        <v>0</v>
      </c>
      <c r="D6713" s="2" t="str">
        <f t="shared" ca="1" si="103"/>
        <v>Error?</v>
      </c>
      <c r="E6713" s="2" t="s">
        <v>190</v>
      </c>
    </row>
    <row r="6714" spans="1:5" x14ac:dyDescent="0.2">
      <c r="A6714">
        <v>6653</v>
      </c>
      <c r="B6714" s="138">
        <f ca="1">'Revenues 9-14'!E237</f>
        <v>0</v>
      </c>
      <c r="D6714" s="2" t="str">
        <f t="shared" ca="1" si="103"/>
        <v>Error?</v>
      </c>
      <c r="E6714" s="2" t="s">
        <v>190</v>
      </c>
    </row>
    <row r="6715" spans="1:5" x14ac:dyDescent="0.2">
      <c r="A6715">
        <v>6654</v>
      </c>
      <c r="B6715" s="138">
        <f ca="1">'Revenues 9-14'!F237</f>
        <v>0</v>
      </c>
      <c r="D6715" s="2" t="str">
        <f t="shared" ca="1" si="103"/>
        <v>Error?</v>
      </c>
      <c r="E6715" s="2" t="s">
        <v>190</v>
      </c>
    </row>
    <row r="6716" spans="1:5" x14ac:dyDescent="0.2">
      <c r="A6716">
        <v>6655</v>
      </c>
      <c r="B6716" s="138">
        <f ca="1">'Revenues 9-14'!G237</f>
        <v>0</v>
      </c>
      <c r="D6716" s="2" t="str">
        <f t="shared" ca="1" si="103"/>
        <v>Error?</v>
      </c>
      <c r="E6716" s="2" t="s">
        <v>190</v>
      </c>
    </row>
    <row r="6717" spans="1:5" x14ac:dyDescent="0.2">
      <c r="A6717">
        <v>6656</v>
      </c>
      <c r="B6717" s="138">
        <f ca="1">'Revenues 9-14'!H237</f>
        <v>0</v>
      </c>
      <c r="D6717" s="2" t="str">
        <f t="shared" ca="1" si="103"/>
        <v>Error?</v>
      </c>
      <c r="E6717" s="2" t="s">
        <v>190</v>
      </c>
    </row>
    <row r="6718" spans="1:5" x14ac:dyDescent="0.2">
      <c r="A6718">
        <v>6657</v>
      </c>
      <c r="B6718" s="138">
        <f ca="1">'Revenues 9-14'!J237</f>
        <v>0</v>
      </c>
      <c r="D6718" s="2" t="str">
        <f t="shared" ca="1" si="103"/>
        <v>Error?</v>
      </c>
      <c r="E6718" s="2" t="s">
        <v>190</v>
      </c>
    </row>
    <row r="6719" spans="1:5" x14ac:dyDescent="0.2">
      <c r="A6719">
        <v>6658</v>
      </c>
      <c r="B6719" s="138">
        <f ca="1">'Revenues 9-14'!K237</f>
        <v>0</v>
      </c>
      <c r="D6719" s="2" t="str">
        <f t="shared" ref="D6719:D6782" ca="1" si="104">IF(ISBLANK(B6719),"OK",IF(A6719-B6719=0,"OK","Error?"))</f>
        <v>Error?</v>
      </c>
      <c r="E6719" s="2" t="s">
        <v>190</v>
      </c>
    </row>
    <row r="6720" spans="1:5" x14ac:dyDescent="0.2">
      <c r="A6720">
        <v>6659</v>
      </c>
      <c r="B6720" s="138">
        <f ca="1">'Revenues 9-14'!C238</f>
        <v>0</v>
      </c>
      <c r="D6720" s="2" t="str">
        <f t="shared" ca="1" si="104"/>
        <v>Error?</v>
      </c>
      <c r="E6720" s="2" t="s">
        <v>190</v>
      </c>
    </row>
    <row r="6721" spans="1:5" x14ac:dyDescent="0.2">
      <c r="A6721">
        <v>6660</v>
      </c>
      <c r="B6721" s="138">
        <f ca="1">'Revenues 9-14'!D238</f>
        <v>0</v>
      </c>
      <c r="D6721" s="2" t="str">
        <f t="shared" ca="1" si="104"/>
        <v>Error?</v>
      </c>
      <c r="E6721" s="2" t="s">
        <v>190</v>
      </c>
    </row>
    <row r="6722" spans="1:5" x14ac:dyDescent="0.2">
      <c r="A6722">
        <v>6661</v>
      </c>
      <c r="B6722" s="138">
        <f ca="1">'Revenues 9-14'!E238</f>
        <v>0</v>
      </c>
      <c r="D6722" s="2" t="str">
        <f t="shared" ca="1" si="104"/>
        <v>Error?</v>
      </c>
      <c r="E6722" s="2" t="s">
        <v>190</v>
      </c>
    </row>
    <row r="6723" spans="1:5" x14ac:dyDescent="0.2">
      <c r="A6723">
        <v>6662</v>
      </c>
      <c r="B6723" s="138">
        <f ca="1">'Revenues 9-14'!F238</f>
        <v>0</v>
      </c>
      <c r="D6723" s="2" t="str">
        <f t="shared" ca="1" si="104"/>
        <v>Error?</v>
      </c>
      <c r="E6723" s="2" t="s">
        <v>190</v>
      </c>
    </row>
    <row r="6724" spans="1:5" x14ac:dyDescent="0.2">
      <c r="A6724">
        <v>6663</v>
      </c>
      <c r="B6724" s="138">
        <f ca="1">'Revenues 9-14'!G238</f>
        <v>0</v>
      </c>
      <c r="D6724" s="2" t="str">
        <f t="shared" ca="1" si="104"/>
        <v>Error?</v>
      </c>
      <c r="E6724" s="2" t="s">
        <v>190</v>
      </c>
    </row>
    <row r="6725" spans="1:5" x14ac:dyDescent="0.2">
      <c r="A6725">
        <v>6664</v>
      </c>
      <c r="B6725" s="138">
        <f ca="1">'Revenues 9-14'!H238</f>
        <v>0</v>
      </c>
      <c r="D6725" s="2" t="str">
        <f t="shared" ca="1" si="104"/>
        <v>Error?</v>
      </c>
      <c r="E6725" s="2" t="s">
        <v>190</v>
      </c>
    </row>
    <row r="6726" spans="1:5" x14ac:dyDescent="0.2">
      <c r="A6726">
        <v>6665</v>
      </c>
      <c r="B6726" s="138">
        <f ca="1">'Revenues 9-14'!J238</f>
        <v>0</v>
      </c>
      <c r="D6726" s="2" t="str">
        <f t="shared" ca="1" si="104"/>
        <v>Error?</v>
      </c>
      <c r="E6726" s="2" t="s">
        <v>190</v>
      </c>
    </row>
    <row r="6727" spans="1:5" x14ac:dyDescent="0.2">
      <c r="A6727" s="8">
        <v>6666</v>
      </c>
      <c r="B6727" s="138">
        <f ca="1">'Expenditures 15-22'!C7</f>
        <v>56921</v>
      </c>
      <c r="D6727" s="2" t="str">
        <f t="shared" ca="1" si="104"/>
        <v>Error?</v>
      </c>
      <c r="E6727" s="2" t="s">
        <v>191</v>
      </c>
    </row>
    <row r="6728" spans="1:5" x14ac:dyDescent="0.2">
      <c r="A6728">
        <v>6667</v>
      </c>
      <c r="B6728" s="138">
        <f ca="1">'Revenues 9-14'!K238</f>
        <v>0</v>
      </c>
      <c r="D6728" s="2" t="str">
        <f t="shared" ca="1" si="104"/>
        <v>Error?</v>
      </c>
      <c r="E6728" s="2" t="s">
        <v>190</v>
      </c>
    </row>
    <row r="6729" spans="1:5" x14ac:dyDescent="0.2">
      <c r="A6729">
        <v>6668</v>
      </c>
      <c r="B6729" s="138">
        <f ca="1">'Revenues 9-14'!C239</f>
        <v>0</v>
      </c>
      <c r="D6729" s="2" t="str">
        <f t="shared" ca="1" si="104"/>
        <v>Error?</v>
      </c>
      <c r="E6729" s="2" t="s">
        <v>190</v>
      </c>
    </row>
    <row r="6730" spans="1:5" x14ac:dyDescent="0.2">
      <c r="A6730">
        <v>6669</v>
      </c>
      <c r="B6730" s="138">
        <f ca="1">'Revenues 9-14'!D239</f>
        <v>0</v>
      </c>
      <c r="D6730" s="2" t="str">
        <f t="shared" ca="1" si="104"/>
        <v>Error?</v>
      </c>
      <c r="E6730" s="2" t="s">
        <v>190</v>
      </c>
    </row>
    <row r="6731" spans="1:5" x14ac:dyDescent="0.2">
      <c r="A6731">
        <v>6670</v>
      </c>
      <c r="B6731" s="138">
        <f ca="1">'Revenues 9-14'!E239</f>
        <v>0</v>
      </c>
      <c r="D6731" s="2" t="str">
        <f t="shared" ca="1" si="104"/>
        <v>Error?</v>
      </c>
      <c r="E6731" s="2" t="s">
        <v>190</v>
      </c>
    </row>
    <row r="6732" spans="1:5" x14ac:dyDescent="0.2">
      <c r="A6732">
        <v>6671</v>
      </c>
      <c r="B6732" s="138">
        <f ca="1">'Revenues 9-14'!F239</f>
        <v>0</v>
      </c>
      <c r="D6732" s="2" t="str">
        <f t="shared" ca="1" si="104"/>
        <v>Error?</v>
      </c>
      <c r="E6732" s="2" t="s">
        <v>190</v>
      </c>
    </row>
    <row r="6733" spans="1:5" x14ac:dyDescent="0.2">
      <c r="A6733">
        <v>6672</v>
      </c>
      <c r="B6733" s="138">
        <f ca="1">'Revenues 9-14'!G239</f>
        <v>0</v>
      </c>
      <c r="D6733" s="2" t="str">
        <f t="shared" ca="1" si="104"/>
        <v>Error?</v>
      </c>
      <c r="E6733" s="2" t="s">
        <v>190</v>
      </c>
    </row>
    <row r="6734" spans="1:5" x14ac:dyDescent="0.2">
      <c r="A6734">
        <v>6673</v>
      </c>
      <c r="B6734" s="138">
        <f ca="1">'Revenues 9-14'!H239</f>
        <v>0</v>
      </c>
      <c r="D6734" s="2" t="str">
        <f t="shared" ca="1" si="104"/>
        <v>Error?</v>
      </c>
      <c r="E6734" s="2" t="s">
        <v>190</v>
      </c>
    </row>
    <row r="6735" spans="1:5" x14ac:dyDescent="0.2">
      <c r="A6735">
        <v>6674</v>
      </c>
      <c r="B6735" s="138">
        <f ca="1">'Revenues 9-14'!J239</f>
        <v>0</v>
      </c>
      <c r="D6735" s="2" t="str">
        <f t="shared" ca="1" si="104"/>
        <v>Error?</v>
      </c>
      <c r="E6735" s="2" t="s">
        <v>190</v>
      </c>
    </row>
    <row r="6736" spans="1:5" x14ac:dyDescent="0.2">
      <c r="A6736">
        <v>6675</v>
      </c>
      <c r="B6736" s="138">
        <f ca="1">'Revenues 9-14'!K239</f>
        <v>0</v>
      </c>
      <c r="D6736" s="2" t="str">
        <f t="shared" ca="1" si="104"/>
        <v>Error?</v>
      </c>
      <c r="E6736" s="2" t="s">
        <v>190</v>
      </c>
    </row>
    <row r="6737" spans="1:5" x14ac:dyDescent="0.2">
      <c r="A6737">
        <v>6676</v>
      </c>
      <c r="B6737" s="138">
        <f ca="1">'Revenues 9-14'!C240</f>
        <v>0</v>
      </c>
      <c r="D6737" s="2" t="str">
        <f t="shared" ca="1" si="104"/>
        <v>Error?</v>
      </c>
      <c r="E6737" s="2" t="s">
        <v>190</v>
      </c>
    </row>
    <row r="6738" spans="1:5" x14ac:dyDescent="0.2">
      <c r="A6738">
        <v>6677</v>
      </c>
      <c r="B6738" s="138">
        <f ca="1">'Revenues 9-14'!D240</f>
        <v>0</v>
      </c>
      <c r="D6738" s="2" t="str">
        <f t="shared" ca="1" si="104"/>
        <v>Error?</v>
      </c>
      <c r="E6738" s="2" t="s">
        <v>190</v>
      </c>
    </row>
    <row r="6739" spans="1:5" x14ac:dyDescent="0.2">
      <c r="A6739">
        <v>6678</v>
      </c>
      <c r="B6739" s="138">
        <f ca="1">'Revenues 9-14'!E240</f>
        <v>0</v>
      </c>
      <c r="D6739" s="2" t="str">
        <f t="shared" ca="1" si="104"/>
        <v>Error?</v>
      </c>
      <c r="E6739" s="2" t="s">
        <v>190</v>
      </c>
    </row>
    <row r="6740" spans="1:5" x14ac:dyDescent="0.2">
      <c r="A6740">
        <v>6679</v>
      </c>
      <c r="B6740" s="138">
        <f ca="1">'Revenues 9-14'!F240</f>
        <v>0</v>
      </c>
      <c r="D6740" s="2" t="str">
        <f t="shared" ca="1" si="104"/>
        <v>Error?</v>
      </c>
      <c r="E6740" s="2" t="s">
        <v>190</v>
      </c>
    </row>
    <row r="6741" spans="1:5" x14ac:dyDescent="0.2">
      <c r="A6741">
        <v>6680</v>
      </c>
      <c r="B6741" s="138">
        <f ca="1">'Revenues 9-14'!G240</f>
        <v>0</v>
      </c>
      <c r="D6741" s="2" t="str">
        <f t="shared" ca="1" si="104"/>
        <v>Error?</v>
      </c>
      <c r="E6741" s="2" t="s">
        <v>190</v>
      </c>
    </row>
    <row r="6742" spans="1:5" x14ac:dyDescent="0.2">
      <c r="A6742">
        <v>6681</v>
      </c>
      <c r="B6742" s="138">
        <f ca="1">'Revenues 9-14'!H240</f>
        <v>0</v>
      </c>
      <c r="D6742" s="2" t="str">
        <f t="shared" ca="1" si="104"/>
        <v>Error?</v>
      </c>
      <c r="E6742" s="2" t="s">
        <v>190</v>
      </c>
    </row>
    <row r="6743" spans="1:5" x14ac:dyDescent="0.2">
      <c r="A6743">
        <v>6682</v>
      </c>
      <c r="B6743" s="138">
        <f ca="1">'Revenues 9-14'!J240</f>
        <v>0</v>
      </c>
      <c r="D6743" s="2" t="str">
        <f t="shared" ca="1" si="104"/>
        <v>Error?</v>
      </c>
      <c r="E6743" s="2" t="s">
        <v>190</v>
      </c>
    </row>
    <row r="6744" spans="1:5" x14ac:dyDescent="0.2">
      <c r="A6744">
        <v>6683</v>
      </c>
      <c r="B6744" s="138">
        <f ca="1">'Revenues 9-14'!K240</f>
        <v>0</v>
      </c>
      <c r="D6744" s="2" t="str">
        <f t="shared" ca="1" si="104"/>
        <v>Error?</v>
      </c>
      <c r="E6744" s="2" t="s">
        <v>190</v>
      </c>
    </row>
    <row r="6745" spans="1:5" x14ac:dyDescent="0.2">
      <c r="A6745">
        <v>6684</v>
      </c>
      <c r="B6745" s="138">
        <f ca="1">'Revenues 9-14'!C241</f>
        <v>0</v>
      </c>
      <c r="D6745" s="2" t="str">
        <f t="shared" ca="1" si="104"/>
        <v>Error?</v>
      </c>
      <c r="E6745" s="2" t="s">
        <v>190</v>
      </c>
    </row>
    <row r="6746" spans="1:5" x14ac:dyDescent="0.2">
      <c r="A6746">
        <v>6685</v>
      </c>
      <c r="B6746" s="138">
        <f ca="1">'Revenues 9-14'!D241</f>
        <v>0</v>
      </c>
      <c r="D6746" s="2" t="str">
        <f t="shared" ca="1" si="104"/>
        <v>Error?</v>
      </c>
      <c r="E6746" s="2" t="s">
        <v>190</v>
      </c>
    </row>
    <row r="6747" spans="1:5" x14ac:dyDescent="0.2">
      <c r="A6747">
        <v>6686</v>
      </c>
      <c r="B6747" s="138">
        <f ca="1">'Revenues 9-14'!E241</f>
        <v>0</v>
      </c>
      <c r="D6747" s="2" t="str">
        <f t="shared" ca="1" si="104"/>
        <v>Error?</v>
      </c>
      <c r="E6747" s="2" t="s">
        <v>190</v>
      </c>
    </row>
    <row r="6748" spans="1:5" x14ac:dyDescent="0.2">
      <c r="A6748">
        <v>6687</v>
      </c>
      <c r="B6748" s="138">
        <f ca="1">'Revenues 9-14'!F241</f>
        <v>0</v>
      </c>
      <c r="D6748" s="2" t="str">
        <f t="shared" ca="1" si="104"/>
        <v>Error?</v>
      </c>
      <c r="E6748" s="2" t="s">
        <v>190</v>
      </c>
    </row>
    <row r="6749" spans="1:5" x14ac:dyDescent="0.2">
      <c r="A6749">
        <v>6688</v>
      </c>
      <c r="B6749" s="138">
        <f ca="1">'Revenues 9-14'!G241</f>
        <v>0</v>
      </c>
      <c r="D6749" s="2" t="str">
        <f t="shared" ca="1" si="104"/>
        <v>Error?</v>
      </c>
      <c r="E6749" s="2" t="s">
        <v>190</v>
      </c>
    </row>
    <row r="6750" spans="1:5" x14ac:dyDescent="0.2">
      <c r="A6750">
        <v>6689</v>
      </c>
      <c r="B6750" s="138">
        <f ca="1">'Revenues 9-14'!H241</f>
        <v>0</v>
      </c>
      <c r="D6750" s="2" t="str">
        <f t="shared" ca="1" si="104"/>
        <v>Error?</v>
      </c>
      <c r="E6750" s="2" t="s">
        <v>190</v>
      </c>
    </row>
    <row r="6751" spans="1:5" x14ac:dyDescent="0.2">
      <c r="A6751">
        <v>6690</v>
      </c>
      <c r="B6751" s="138">
        <f ca="1">'Revenues 9-14'!J241</f>
        <v>0</v>
      </c>
      <c r="D6751" s="2" t="str">
        <f t="shared" ca="1" si="104"/>
        <v>Error?</v>
      </c>
      <c r="E6751" s="2" t="s">
        <v>190</v>
      </c>
    </row>
    <row r="6752" spans="1:5" x14ac:dyDescent="0.2">
      <c r="A6752">
        <v>6691</v>
      </c>
      <c r="B6752" s="138">
        <f ca="1">'Revenues 9-14'!K241</f>
        <v>0</v>
      </c>
      <c r="D6752" s="2" t="str">
        <f t="shared" ca="1" si="104"/>
        <v>Error?</v>
      </c>
      <c r="E6752" s="2" t="s">
        <v>190</v>
      </c>
    </row>
    <row r="6753" spans="1:5" x14ac:dyDescent="0.2">
      <c r="A6753">
        <v>6692</v>
      </c>
      <c r="B6753" s="138">
        <f ca="1">'Revenues 9-14'!C242</f>
        <v>0</v>
      </c>
      <c r="D6753" s="2" t="str">
        <f t="shared" ca="1" si="104"/>
        <v>Error?</v>
      </c>
      <c r="E6753" s="2" t="s">
        <v>190</v>
      </c>
    </row>
    <row r="6754" spans="1:5" x14ac:dyDescent="0.2">
      <c r="A6754">
        <v>6693</v>
      </c>
      <c r="B6754" s="138">
        <f ca="1">'Revenues 9-14'!D242</f>
        <v>0</v>
      </c>
      <c r="D6754" s="2" t="str">
        <f t="shared" ca="1" si="104"/>
        <v>Error?</v>
      </c>
      <c r="E6754" s="2" t="s">
        <v>190</v>
      </c>
    </row>
    <row r="6755" spans="1:5" x14ac:dyDescent="0.2">
      <c r="A6755">
        <v>6694</v>
      </c>
      <c r="B6755" s="138">
        <f ca="1">'Revenues 9-14'!E242</f>
        <v>0</v>
      </c>
      <c r="D6755" s="2" t="str">
        <f t="shared" ca="1" si="104"/>
        <v>Error?</v>
      </c>
      <c r="E6755" s="2" t="s">
        <v>190</v>
      </c>
    </row>
    <row r="6756" spans="1:5" x14ac:dyDescent="0.2">
      <c r="A6756">
        <v>6695</v>
      </c>
      <c r="B6756" s="138">
        <f ca="1">'Revenues 9-14'!F242</f>
        <v>0</v>
      </c>
      <c r="D6756" s="2" t="str">
        <f t="shared" ca="1" si="104"/>
        <v>Error?</v>
      </c>
      <c r="E6756" s="2" t="s">
        <v>190</v>
      </c>
    </row>
    <row r="6757" spans="1:5" x14ac:dyDescent="0.2">
      <c r="A6757">
        <v>6696</v>
      </c>
      <c r="B6757" s="138">
        <f ca="1">'Revenues 9-14'!G242</f>
        <v>0</v>
      </c>
      <c r="D6757" s="2" t="str">
        <f t="shared" ca="1" si="104"/>
        <v>Error?</v>
      </c>
      <c r="E6757" s="2" t="s">
        <v>190</v>
      </c>
    </row>
    <row r="6758" spans="1:5" x14ac:dyDescent="0.2">
      <c r="A6758">
        <v>6697</v>
      </c>
      <c r="B6758" s="138">
        <f ca="1">'Revenues 9-14'!H242</f>
        <v>0</v>
      </c>
      <c r="D6758" s="2" t="str">
        <f t="shared" ca="1" si="104"/>
        <v>Error?</v>
      </c>
      <c r="E6758" s="2" t="s">
        <v>190</v>
      </c>
    </row>
    <row r="6759" spans="1:5" x14ac:dyDescent="0.2">
      <c r="A6759">
        <v>6698</v>
      </c>
      <c r="B6759" s="138">
        <f ca="1">'Revenues 9-14'!J242</f>
        <v>0</v>
      </c>
      <c r="D6759" s="2" t="str">
        <f t="shared" ca="1" si="104"/>
        <v>Error?</v>
      </c>
      <c r="E6759" s="2" t="s">
        <v>190</v>
      </c>
    </row>
    <row r="6760" spans="1:5" x14ac:dyDescent="0.2">
      <c r="A6760">
        <v>6699</v>
      </c>
      <c r="B6760" s="138">
        <f ca="1">'Revenues 9-14'!K242</f>
        <v>0</v>
      </c>
      <c r="D6760" s="2" t="str">
        <f t="shared" ca="1" si="104"/>
        <v>Error?</v>
      </c>
      <c r="E6760" s="2" t="s">
        <v>190</v>
      </c>
    </row>
    <row r="6761" spans="1:5" x14ac:dyDescent="0.2">
      <c r="A6761">
        <v>6700</v>
      </c>
      <c r="B6761" s="138">
        <f ca="1">'Revenues 9-14'!C243</f>
        <v>0</v>
      </c>
      <c r="D6761" s="2" t="str">
        <f t="shared" ca="1" si="104"/>
        <v>Error?</v>
      </c>
      <c r="E6761" s="2" t="s">
        <v>190</v>
      </c>
    </row>
    <row r="6762" spans="1:5" x14ac:dyDescent="0.2">
      <c r="A6762">
        <v>6701</v>
      </c>
      <c r="B6762" s="138">
        <f ca="1">'Revenues 9-14'!D243</f>
        <v>0</v>
      </c>
      <c r="D6762" s="2" t="str">
        <f t="shared" ca="1" si="104"/>
        <v>Error?</v>
      </c>
      <c r="E6762" s="2" t="s">
        <v>190</v>
      </c>
    </row>
    <row r="6763" spans="1:5" x14ac:dyDescent="0.2">
      <c r="A6763">
        <v>6702</v>
      </c>
      <c r="B6763" s="138">
        <f ca="1">'Revenues 9-14'!E243</f>
        <v>0</v>
      </c>
      <c r="D6763" s="2" t="str">
        <f t="shared" ca="1" si="104"/>
        <v>Error?</v>
      </c>
      <c r="E6763" s="2" t="s">
        <v>190</v>
      </c>
    </row>
    <row r="6764" spans="1:5" x14ac:dyDescent="0.2">
      <c r="A6764">
        <v>6703</v>
      </c>
      <c r="B6764" s="138">
        <f ca="1">'Revenues 9-14'!F243</f>
        <v>0</v>
      </c>
      <c r="D6764" s="2" t="str">
        <f t="shared" ca="1" si="104"/>
        <v>Error?</v>
      </c>
      <c r="E6764" s="2" t="s">
        <v>190</v>
      </c>
    </row>
    <row r="6765" spans="1:5" x14ac:dyDescent="0.2">
      <c r="A6765">
        <v>6704</v>
      </c>
      <c r="B6765" s="138">
        <f ca="1">'Revenues 9-14'!G243</f>
        <v>0</v>
      </c>
      <c r="D6765" s="2" t="str">
        <f t="shared" ca="1" si="104"/>
        <v>Error?</v>
      </c>
      <c r="E6765" s="2" t="s">
        <v>190</v>
      </c>
    </row>
    <row r="6766" spans="1:5" x14ac:dyDescent="0.2">
      <c r="A6766">
        <v>6705</v>
      </c>
      <c r="B6766" s="138">
        <f ca="1">'Revenues 9-14'!H243</f>
        <v>0</v>
      </c>
      <c r="D6766" s="2" t="str">
        <f t="shared" ca="1" si="104"/>
        <v>Error?</v>
      </c>
      <c r="E6766" s="2" t="s">
        <v>190</v>
      </c>
    </row>
    <row r="6767" spans="1:5" x14ac:dyDescent="0.2">
      <c r="A6767">
        <v>6706</v>
      </c>
      <c r="B6767" s="138">
        <f ca="1">'Revenues 9-14'!J243</f>
        <v>0</v>
      </c>
      <c r="D6767" s="2" t="str">
        <f t="shared" ca="1" si="104"/>
        <v>Error?</v>
      </c>
      <c r="E6767" s="2" t="s">
        <v>190</v>
      </c>
    </row>
    <row r="6768" spans="1:5" x14ac:dyDescent="0.2">
      <c r="A6768">
        <v>6707</v>
      </c>
      <c r="B6768" s="138">
        <f ca="1">'Revenues 9-14'!K243</f>
        <v>0</v>
      </c>
      <c r="D6768" s="2" t="str">
        <f t="shared" ca="1" si="104"/>
        <v>Error?</v>
      </c>
      <c r="E6768" s="2" t="s">
        <v>190</v>
      </c>
    </row>
    <row r="6769" spans="1:5" x14ac:dyDescent="0.2">
      <c r="A6769">
        <v>6708</v>
      </c>
      <c r="B6769" s="138">
        <f ca="1">'Revenues 9-14'!C244</f>
        <v>0</v>
      </c>
      <c r="D6769" s="2" t="str">
        <f t="shared" ca="1" si="104"/>
        <v>Error?</v>
      </c>
      <c r="E6769" s="2" t="s">
        <v>190</v>
      </c>
    </row>
    <row r="6770" spans="1:5" x14ac:dyDescent="0.2">
      <c r="A6770">
        <v>6709</v>
      </c>
      <c r="B6770" s="138">
        <f ca="1">'Revenues 9-14'!D244</f>
        <v>0</v>
      </c>
      <c r="D6770" s="2" t="str">
        <f t="shared" ca="1" si="104"/>
        <v>Error?</v>
      </c>
      <c r="E6770" s="2" t="s">
        <v>190</v>
      </c>
    </row>
    <row r="6771" spans="1:5" x14ac:dyDescent="0.2">
      <c r="A6771">
        <v>6710</v>
      </c>
      <c r="B6771" s="138">
        <f ca="1">'Revenues 9-14'!E244</f>
        <v>0</v>
      </c>
      <c r="D6771" s="2" t="str">
        <f t="shared" ca="1" si="104"/>
        <v>Error?</v>
      </c>
      <c r="E6771" s="2" t="s">
        <v>190</v>
      </c>
    </row>
    <row r="6772" spans="1:5" x14ac:dyDescent="0.2">
      <c r="A6772">
        <v>6711</v>
      </c>
      <c r="B6772" s="138">
        <f ca="1">'Revenues 9-14'!F244</f>
        <v>0</v>
      </c>
      <c r="D6772" s="2" t="str">
        <f t="shared" ca="1" si="104"/>
        <v>Error?</v>
      </c>
      <c r="E6772" s="2" t="s">
        <v>190</v>
      </c>
    </row>
    <row r="6773" spans="1:5" x14ac:dyDescent="0.2">
      <c r="A6773">
        <v>6712</v>
      </c>
      <c r="B6773" s="138">
        <f ca="1">'Revenues 9-14'!G244</f>
        <v>0</v>
      </c>
      <c r="D6773" s="2" t="str">
        <f t="shared" ca="1" si="104"/>
        <v>Error?</v>
      </c>
      <c r="E6773" s="2" t="s">
        <v>190</v>
      </c>
    </row>
    <row r="6774" spans="1:5" x14ac:dyDescent="0.2">
      <c r="A6774">
        <v>6713</v>
      </c>
      <c r="B6774" s="138">
        <f ca="1">'Revenues 9-14'!H244</f>
        <v>0</v>
      </c>
      <c r="D6774" s="2" t="str">
        <f t="shared" ca="1" si="104"/>
        <v>Error?</v>
      </c>
      <c r="E6774" s="2" t="s">
        <v>190</v>
      </c>
    </row>
    <row r="6775" spans="1:5" x14ac:dyDescent="0.2">
      <c r="A6775">
        <v>6714</v>
      </c>
      <c r="B6775" s="138">
        <f ca="1">'Revenues 9-14'!J244</f>
        <v>0</v>
      </c>
      <c r="D6775" s="2" t="str">
        <f t="shared" ca="1" si="104"/>
        <v>Error?</v>
      </c>
      <c r="E6775" s="2" t="s">
        <v>190</v>
      </c>
    </row>
    <row r="6776" spans="1:5" x14ac:dyDescent="0.2">
      <c r="A6776">
        <v>6715</v>
      </c>
      <c r="B6776" s="138">
        <f ca="1">'Revenues 9-14'!K244</f>
        <v>0</v>
      </c>
      <c r="D6776" s="2" t="str">
        <f t="shared" ca="1" si="104"/>
        <v>Error?</v>
      </c>
      <c r="E6776" s="2" t="s">
        <v>190</v>
      </c>
    </row>
    <row r="6777" spans="1:5" x14ac:dyDescent="0.2">
      <c r="A6777">
        <v>6716</v>
      </c>
      <c r="B6777" s="138">
        <f ca="1">'Revenues 9-14'!C245</f>
        <v>0</v>
      </c>
      <c r="D6777" s="2" t="str">
        <f t="shared" ca="1" si="104"/>
        <v>Error?</v>
      </c>
      <c r="E6777" s="2" t="s">
        <v>190</v>
      </c>
    </row>
    <row r="6778" spans="1:5" x14ac:dyDescent="0.2">
      <c r="A6778">
        <v>6717</v>
      </c>
      <c r="B6778" s="138">
        <f ca="1">'Revenues 9-14'!D245</f>
        <v>0</v>
      </c>
      <c r="D6778" s="2" t="str">
        <f t="shared" ca="1" si="104"/>
        <v>Error?</v>
      </c>
      <c r="E6778" s="2" t="s">
        <v>190</v>
      </c>
    </row>
    <row r="6779" spans="1:5" x14ac:dyDescent="0.2">
      <c r="A6779">
        <v>6718</v>
      </c>
      <c r="B6779" s="138">
        <f ca="1">'Revenues 9-14'!E245</f>
        <v>0</v>
      </c>
      <c r="D6779" s="2" t="str">
        <f t="shared" ca="1" si="104"/>
        <v>Error?</v>
      </c>
      <c r="E6779" s="2" t="s">
        <v>190</v>
      </c>
    </row>
    <row r="6780" spans="1:5" x14ac:dyDescent="0.2">
      <c r="A6780">
        <v>6719</v>
      </c>
      <c r="B6780" s="138">
        <f ca="1">'Revenues 9-14'!F245</f>
        <v>0</v>
      </c>
      <c r="D6780" s="2" t="str">
        <f t="shared" ca="1" si="104"/>
        <v>Error?</v>
      </c>
      <c r="E6780" s="2" t="s">
        <v>190</v>
      </c>
    </row>
    <row r="6781" spans="1:5" x14ac:dyDescent="0.2">
      <c r="A6781">
        <v>6720</v>
      </c>
      <c r="B6781" s="138">
        <f ca="1">'Revenues 9-14'!G245</f>
        <v>0</v>
      </c>
      <c r="D6781" s="2" t="str">
        <f t="shared" ca="1" si="104"/>
        <v>Error?</v>
      </c>
      <c r="E6781" s="2" t="s">
        <v>190</v>
      </c>
    </row>
    <row r="6782" spans="1:5" x14ac:dyDescent="0.2">
      <c r="A6782">
        <v>6721</v>
      </c>
      <c r="B6782" s="138">
        <f ca="1">'Revenues 9-14'!H245</f>
        <v>0</v>
      </c>
      <c r="D6782" s="2" t="str">
        <f t="shared" ca="1" si="104"/>
        <v>Error?</v>
      </c>
      <c r="E6782" s="2" t="s">
        <v>190</v>
      </c>
    </row>
    <row r="6783" spans="1:5" x14ac:dyDescent="0.2">
      <c r="A6783">
        <v>6722</v>
      </c>
      <c r="B6783" s="138">
        <f ca="1">'Revenues 9-14'!J245</f>
        <v>0</v>
      </c>
      <c r="D6783" s="2" t="str">
        <f t="shared" ref="D6783:D6846" ca="1" si="105">IF(ISBLANK(B6783),"OK",IF(A6783-B6783=0,"OK","Error?"))</f>
        <v>Error?</v>
      </c>
      <c r="E6783" s="2" t="s">
        <v>190</v>
      </c>
    </row>
    <row r="6784" spans="1:5" x14ac:dyDescent="0.2">
      <c r="A6784">
        <v>6723</v>
      </c>
      <c r="B6784" s="138">
        <f ca="1">'Revenues 9-14'!K245</f>
        <v>0</v>
      </c>
      <c r="D6784" s="2" t="str">
        <f t="shared" ca="1" si="105"/>
        <v>Error?</v>
      </c>
      <c r="E6784" s="2" t="s">
        <v>190</v>
      </c>
    </row>
    <row r="6785" spans="1:5" x14ac:dyDescent="0.2">
      <c r="A6785">
        <v>6724</v>
      </c>
      <c r="B6785" s="138">
        <f ca="1">'Revenues 9-14'!C246</f>
        <v>0</v>
      </c>
      <c r="D6785" s="2" t="str">
        <f t="shared" ca="1" si="105"/>
        <v>Error?</v>
      </c>
      <c r="E6785" s="2" t="s">
        <v>190</v>
      </c>
    </row>
    <row r="6786" spans="1:5" x14ac:dyDescent="0.2">
      <c r="A6786">
        <v>6725</v>
      </c>
      <c r="B6786" s="138">
        <f ca="1">'Revenues 9-14'!D246</f>
        <v>0</v>
      </c>
      <c r="D6786" s="2" t="str">
        <f t="shared" ca="1" si="105"/>
        <v>Error?</v>
      </c>
      <c r="E6786" s="2" t="s">
        <v>190</v>
      </c>
    </row>
    <row r="6787" spans="1:5" x14ac:dyDescent="0.2">
      <c r="A6787">
        <v>6726</v>
      </c>
      <c r="B6787" s="138">
        <f ca="1">'Revenues 9-14'!E246</f>
        <v>0</v>
      </c>
      <c r="D6787" s="2" t="str">
        <f t="shared" ca="1" si="105"/>
        <v>Error?</v>
      </c>
      <c r="E6787" s="2" t="s">
        <v>190</v>
      </c>
    </row>
    <row r="6788" spans="1:5" x14ac:dyDescent="0.2">
      <c r="A6788">
        <v>6727</v>
      </c>
      <c r="B6788" s="138">
        <f ca="1">'Revenues 9-14'!F246</f>
        <v>0</v>
      </c>
      <c r="D6788" s="2" t="str">
        <f t="shared" ca="1" si="105"/>
        <v>Error?</v>
      </c>
      <c r="E6788" s="2" t="s">
        <v>190</v>
      </c>
    </row>
    <row r="6789" spans="1:5" x14ac:dyDescent="0.2">
      <c r="A6789">
        <v>6728</v>
      </c>
      <c r="B6789" s="138">
        <f ca="1">'Revenues 9-14'!G246</f>
        <v>0</v>
      </c>
      <c r="D6789" s="2" t="str">
        <f t="shared" ca="1" si="105"/>
        <v>Error?</v>
      </c>
      <c r="E6789" s="2" t="s">
        <v>190</v>
      </c>
    </row>
    <row r="6790" spans="1:5" x14ac:dyDescent="0.2">
      <c r="A6790">
        <v>6729</v>
      </c>
      <c r="B6790" s="138">
        <f ca="1">'Revenues 9-14'!H246</f>
        <v>0</v>
      </c>
      <c r="D6790" s="2" t="str">
        <f t="shared" ca="1" si="105"/>
        <v>Error?</v>
      </c>
      <c r="E6790" s="2" t="s">
        <v>190</v>
      </c>
    </row>
    <row r="6791" spans="1:5" x14ac:dyDescent="0.2">
      <c r="A6791">
        <v>6730</v>
      </c>
      <c r="B6791" s="138">
        <f ca="1">'Revenues 9-14'!J246</f>
        <v>0</v>
      </c>
      <c r="D6791" s="2" t="str">
        <f t="shared" ca="1" si="105"/>
        <v>Error?</v>
      </c>
      <c r="E6791" s="2" t="s">
        <v>190</v>
      </c>
    </row>
    <row r="6792" spans="1:5" x14ac:dyDescent="0.2">
      <c r="A6792">
        <v>6731</v>
      </c>
      <c r="B6792" s="138">
        <f ca="1">'Revenues 9-14'!K246</f>
        <v>0</v>
      </c>
      <c r="D6792" s="2" t="str">
        <f t="shared" ca="1" si="105"/>
        <v>Error?</v>
      </c>
      <c r="E6792" s="2" t="s">
        <v>190</v>
      </c>
    </row>
    <row r="6793" spans="1:5" x14ac:dyDescent="0.2">
      <c r="A6793">
        <v>6732</v>
      </c>
      <c r="B6793" s="138">
        <f ca="1">'Revenues 9-14'!C247</f>
        <v>0</v>
      </c>
      <c r="D6793" s="2" t="str">
        <f t="shared" ca="1" si="105"/>
        <v>Error?</v>
      </c>
      <c r="E6793" s="2" t="s">
        <v>190</v>
      </c>
    </row>
    <row r="6794" spans="1:5" x14ac:dyDescent="0.2">
      <c r="A6794">
        <v>6733</v>
      </c>
      <c r="B6794" s="138">
        <f ca="1">'Revenues 9-14'!D247</f>
        <v>0</v>
      </c>
      <c r="D6794" s="2" t="str">
        <f t="shared" ca="1" si="105"/>
        <v>Error?</v>
      </c>
      <c r="E6794" s="2" t="s">
        <v>190</v>
      </c>
    </row>
    <row r="6795" spans="1:5" x14ac:dyDescent="0.2">
      <c r="A6795">
        <v>6734</v>
      </c>
      <c r="B6795" s="138">
        <f ca="1">'Revenues 9-14'!E247</f>
        <v>0</v>
      </c>
      <c r="D6795" s="2" t="str">
        <f t="shared" ca="1" si="105"/>
        <v>Error?</v>
      </c>
      <c r="E6795" s="2" t="s">
        <v>190</v>
      </c>
    </row>
    <row r="6796" spans="1:5" x14ac:dyDescent="0.2">
      <c r="A6796">
        <v>6735</v>
      </c>
      <c r="B6796" s="138">
        <f ca="1">'Revenues 9-14'!F247</f>
        <v>0</v>
      </c>
      <c r="D6796" s="2" t="str">
        <f t="shared" ca="1" si="105"/>
        <v>Error?</v>
      </c>
      <c r="E6796" s="2" t="s">
        <v>190</v>
      </c>
    </row>
    <row r="6797" spans="1:5" x14ac:dyDescent="0.2">
      <c r="A6797">
        <v>6736</v>
      </c>
      <c r="B6797" s="138">
        <f ca="1">'Revenues 9-14'!G247</f>
        <v>0</v>
      </c>
      <c r="D6797" s="2" t="str">
        <f t="shared" ca="1" si="105"/>
        <v>Error?</v>
      </c>
      <c r="E6797" s="2" t="s">
        <v>190</v>
      </c>
    </row>
    <row r="6798" spans="1:5" x14ac:dyDescent="0.2">
      <c r="A6798">
        <v>6737</v>
      </c>
      <c r="B6798" s="138">
        <f ca="1">'Revenues 9-14'!H247</f>
        <v>0</v>
      </c>
      <c r="D6798" s="2" t="str">
        <f t="shared" ca="1" si="105"/>
        <v>Error?</v>
      </c>
      <c r="E6798" s="2" t="s">
        <v>190</v>
      </c>
    </row>
    <row r="6799" spans="1:5" x14ac:dyDescent="0.2">
      <c r="A6799">
        <v>6738</v>
      </c>
      <c r="B6799" s="138">
        <f ca="1">'Revenues 9-14'!J247</f>
        <v>0</v>
      </c>
      <c r="D6799" s="2" t="str">
        <f t="shared" ca="1" si="105"/>
        <v>Error?</v>
      </c>
      <c r="E6799" s="2" t="s">
        <v>190</v>
      </c>
    </row>
    <row r="6800" spans="1:5" x14ac:dyDescent="0.2">
      <c r="A6800">
        <v>6739</v>
      </c>
      <c r="B6800" s="138">
        <f ca="1">'Revenues 9-14'!K247</f>
        <v>0</v>
      </c>
      <c r="D6800" s="2" t="str">
        <f t="shared" ca="1" si="105"/>
        <v>Error?</v>
      </c>
      <c r="E6800" s="2" t="s">
        <v>190</v>
      </c>
    </row>
    <row r="6801" spans="1:5" x14ac:dyDescent="0.2">
      <c r="A6801">
        <v>6740</v>
      </c>
      <c r="B6801" s="138">
        <f ca="1">'Revenues 9-14'!C248</f>
        <v>0</v>
      </c>
      <c r="D6801" s="2" t="str">
        <f t="shared" ca="1" si="105"/>
        <v>Error?</v>
      </c>
      <c r="E6801" s="2" t="s">
        <v>190</v>
      </c>
    </row>
    <row r="6802" spans="1:5" x14ac:dyDescent="0.2">
      <c r="A6802">
        <v>6741</v>
      </c>
      <c r="B6802" s="138">
        <f ca="1">'Revenues 9-14'!D248</f>
        <v>0</v>
      </c>
      <c r="D6802" s="2" t="str">
        <f t="shared" ca="1" si="105"/>
        <v>Error?</v>
      </c>
      <c r="E6802" s="2" t="s">
        <v>190</v>
      </c>
    </row>
    <row r="6803" spans="1:5" x14ac:dyDescent="0.2">
      <c r="A6803">
        <v>6742</v>
      </c>
      <c r="B6803" s="138">
        <f ca="1">'Revenues 9-14'!E248</f>
        <v>0</v>
      </c>
      <c r="D6803" s="2" t="str">
        <f t="shared" ca="1" si="105"/>
        <v>Error?</v>
      </c>
      <c r="E6803" s="2" t="s">
        <v>190</v>
      </c>
    </row>
    <row r="6804" spans="1:5" x14ac:dyDescent="0.2">
      <c r="A6804">
        <v>6743</v>
      </c>
      <c r="B6804" s="138">
        <f ca="1">'Revenues 9-14'!F248</f>
        <v>0</v>
      </c>
      <c r="D6804" s="2" t="str">
        <f t="shared" ca="1" si="105"/>
        <v>Error?</v>
      </c>
      <c r="E6804" s="2" t="s">
        <v>190</v>
      </c>
    </row>
    <row r="6805" spans="1:5" x14ac:dyDescent="0.2">
      <c r="A6805">
        <v>6744</v>
      </c>
      <c r="B6805" s="138">
        <f ca="1">'Revenues 9-14'!G248</f>
        <v>0</v>
      </c>
      <c r="D6805" s="2" t="str">
        <f t="shared" ca="1" si="105"/>
        <v>Error?</v>
      </c>
      <c r="E6805" s="2" t="s">
        <v>190</v>
      </c>
    </row>
    <row r="6806" spans="1:5" x14ac:dyDescent="0.2">
      <c r="A6806">
        <v>6745</v>
      </c>
      <c r="B6806" s="138">
        <f ca="1">'Revenues 9-14'!H248</f>
        <v>0</v>
      </c>
      <c r="D6806" s="2" t="str">
        <f t="shared" ca="1" si="105"/>
        <v>Error?</v>
      </c>
      <c r="E6806" s="2" t="s">
        <v>190</v>
      </c>
    </row>
    <row r="6807" spans="1:5" x14ac:dyDescent="0.2">
      <c r="A6807">
        <v>6746</v>
      </c>
      <c r="B6807" s="138">
        <f ca="1">'Revenues 9-14'!J248</f>
        <v>0</v>
      </c>
      <c r="D6807" s="2" t="str">
        <f t="shared" ca="1" si="105"/>
        <v>Error?</v>
      </c>
      <c r="E6807" s="2" t="s">
        <v>190</v>
      </c>
    </row>
    <row r="6808" spans="1:5" x14ac:dyDescent="0.2">
      <c r="A6808">
        <v>6747</v>
      </c>
      <c r="B6808" s="138">
        <f ca="1">'Revenues 9-14'!K248</f>
        <v>0</v>
      </c>
      <c r="D6808" s="2" t="str">
        <f t="shared" ca="1" si="105"/>
        <v>Error?</v>
      </c>
      <c r="E6808" s="2" t="s">
        <v>190</v>
      </c>
    </row>
    <row r="6809" spans="1:5" x14ac:dyDescent="0.2">
      <c r="A6809">
        <v>6748</v>
      </c>
      <c r="B6809" s="138">
        <f ca="1">'Revenues 9-14'!C249</f>
        <v>0</v>
      </c>
      <c r="D6809" s="2" t="str">
        <f t="shared" ca="1" si="105"/>
        <v>Error?</v>
      </c>
      <c r="E6809" s="2" t="s">
        <v>190</v>
      </c>
    </row>
    <row r="6810" spans="1:5" x14ac:dyDescent="0.2">
      <c r="A6810">
        <v>6749</v>
      </c>
      <c r="B6810" s="138">
        <f ca="1">'Revenues 9-14'!D249</f>
        <v>0</v>
      </c>
      <c r="D6810" s="2" t="str">
        <f t="shared" ca="1" si="105"/>
        <v>Error?</v>
      </c>
      <c r="E6810" s="2" t="s">
        <v>190</v>
      </c>
    </row>
    <row r="6811" spans="1:5" x14ac:dyDescent="0.2">
      <c r="A6811">
        <v>6750</v>
      </c>
      <c r="B6811" s="138">
        <f ca="1">'Revenues 9-14'!E249</f>
        <v>0</v>
      </c>
      <c r="D6811" s="2" t="str">
        <f t="shared" ca="1" si="105"/>
        <v>Error?</v>
      </c>
      <c r="E6811" s="2" t="s">
        <v>190</v>
      </c>
    </row>
    <row r="6812" spans="1:5" x14ac:dyDescent="0.2">
      <c r="A6812">
        <v>6751</v>
      </c>
      <c r="B6812" s="138">
        <f ca="1">'Revenues 9-14'!F249</f>
        <v>0</v>
      </c>
      <c r="D6812" s="2" t="str">
        <f t="shared" ca="1" si="105"/>
        <v>Error?</v>
      </c>
      <c r="E6812" s="2" t="s">
        <v>190</v>
      </c>
    </row>
    <row r="6813" spans="1:5" x14ac:dyDescent="0.2">
      <c r="A6813">
        <v>6752</v>
      </c>
      <c r="B6813" s="138">
        <f ca="1">'Revenues 9-14'!G249</f>
        <v>0</v>
      </c>
      <c r="D6813" s="2" t="str">
        <f t="shared" ca="1" si="105"/>
        <v>Error?</v>
      </c>
      <c r="E6813" s="2" t="s">
        <v>190</v>
      </c>
    </row>
    <row r="6814" spans="1:5" x14ac:dyDescent="0.2">
      <c r="A6814">
        <v>6753</v>
      </c>
      <c r="B6814" s="138">
        <f ca="1">'Revenues 9-14'!H249</f>
        <v>0</v>
      </c>
      <c r="D6814" s="2" t="str">
        <f t="shared" ca="1" si="105"/>
        <v>Error?</v>
      </c>
      <c r="E6814" s="2" t="s">
        <v>190</v>
      </c>
    </row>
    <row r="6815" spans="1:5" x14ac:dyDescent="0.2">
      <c r="A6815">
        <v>6754</v>
      </c>
      <c r="B6815" s="138">
        <f ca="1">'Revenues 9-14'!J249</f>
        <v>0</v>
      </c>
      <c r="D6815" s="2" t="str">
        <f t="shared" ca="1" si="105"/>
        <v>Error?</v>
      </c>
      <c r="E6815" s="2" t="s">
        <v>190</v>
      </c>
    </row>
    <row r="6816" spans="1:5" x14ac:dyDescent="0.2">
      <c r="A6816">
        <v>6755</v>
      </c>
      <c r="B6816" s="138">
        <f ca="1">'Revenues 9-14'!K249</f>
        <v>0</v>
      </c>
      <c r="D6816" s="2" t="str">
        <f t="shared" ca="1" si="105"/>
        <v>Error?</v>
      </c>
      <c r="E6816" s="2" t="s">
        <v>190</v>
      </c>
    </row>
    <row r="6817" spans="1:5" x14ac:dyDescent="0.2">
      <c r="A6817">
        <v>6756</v>
      </c>
      <c r="B6817" s="138">
        <f ca="1">'Revenues 9-14'!C250</f>
        <v>0</v>
      </c>
      <c r="D6817" s="2" t="str">
        <f t="shared" ca="1" si="105"/>
        <v>Error?</v>
      </c>
      <c r="E6817" s="2" t="s">
        <v>190</v>
      </c>
    </row>
    <row r="6818" spans="1:5" x14ac:dyDescent="0.2">
      <c r="A6818">
        <v>6757</v>
      </c>
      <c r="B6818" s="138">
        <f ca="1">'Revenues 9-14'!D250</f>
        <v>0</v>
      </c>
      <c r="D6818" s="2" t="str">
        <f t="shared" ca="1" si="105"/>
        <v>Error?</v>
      </c>
      <c r="E6818" s="2" t="s">
        <v>190</v>
      </c>
    </row>
    <row r="6819" spans="1:5" x14ac:dyDescent="0.2">
      <c r="A6819">
        <v>6758</v>
      </c>
      <c r="B6819" s="138">
        <f ca="1">'Revenues 9-14'!E250</f>
        <v>0</v>
      </c>
      <c r="D6819" s="2" t="str">
        <f t="shared" ca="1" si="105"/>
        <v>Error?</v>
      </c>
      <c r="E6819" s="2" t="s">
        <v>190</v>
      </c>
    </row>
    <row r="6820" spans="1:5" x14ac:dyDescent="0.2">
      <c r="A6820">
        <v>6759</v>
      </c>
      <c r="B6820" s="138">
        <f ca="1">'Revenues 9-14'!F250</f>
        <v>0</v>
      </c>
      <c r="D6820" s="2" t="str">
        <f t="shared" ca="1" si="105"/>
        <v>Error?</v>
      </c>
      <c r="E6820" s="2" t="s">
        <v>190</v>
      </c>
    </row>
    <row r="6821" spans="1:5" x14ac:dyDescent="0.2">
      <c r="A6821">
        <v>6760</v>
      </c>
      <c r="B6821" s="138">
        <f ca="1">'Revenues 9-14'!G250</f>
        <v>0</v>
      </c>
      <c r="D6821" s="2" t="str">
        <f t="shared" ca="1" si="105"/>
        <v>Error?</v>
      </c>
      <c r="E6821" s="2" t="s">
        <v>190</v>
      </c>
    </row>
    <row r="6822" spans="1:5" x14ac:dyDescent="0.2">
      <c r="A6822">
        <v>6761</v>
      </c>
      <c r="B6822" s="138">
        <f ca="1">'Revenues 9-14'!H250</f>
        <v>0</v>
      </c>
      <c r="D6822" s="2" t="str">
        <f t="shared" ca="1" si="105"/>
        <v>Error?</v>
      </c>
      <c r="E6822" s="2" t="s">
        <v>190</v>
      </c>
    </row>
    <row r="6823" spans="1:5" x14ac:dyDescent="0.2">
      <c r="A6823">
        <v>6762</v>
      </c>
      <c r="B6823" s="138">
        <f ca="1">'Revenues 9-14'!J250</f>
        <v>0</v>
      </c>
      <c r="D6823" s="2" t="str">
        <f t="shared" ca="1" si="105"/>
        <v>Error?</v>
      </c>
      <c r="E6823" s="2" t="s">
        <v>190</v>
      </c>
    </row>
    <row r="6824" spans="1:5" x14ac:dyDescent="0.2">
      <c r="A6824">
        <v>6763</v>
      </c>
      <c r="B6824" s="138">
        <f ca="1">'Revenues 9-14'!K250</f>
        <v>0</v>
      </c>
      <c r="D6824" s="2" t="str">
        <f t="shared" ca="1" si="105"/>
        <v>Error?</v>
      </c>
      <c r="E6824" s="2" t="s">
        <v>190</v>
      </c>
    </row>
    <row r="6825" spans="1:5" x14ac:dyDescent="0.2">
      <c r="A6825">
        <v>6764</v>
      </c>
      <c r="B6825" s="138">
        <f ca="1">'Revenues 9-14'!C251</f>
        <v>0</v>
      </c>
      <c r="D6825" s="2" t="str">
        <f t="shared" ca="1" si="105"/>
        <v>Error?</v>
      </c>
      <c r="E6825" s="2" t="s">
        <v>190</v>
      </c>
    </row>
    <row r="6826" spans="1:5" x14ac:dyDescent="0.2">
      <c r="A6826">
        <v>6765</v>
      </c>
      <c r="B6826" s="138">
        <f ca="1">'Revenues 9-14'!D251</f>
        <v>0</v>
      </c>
      <c r="D6826" s="2" t="str">
        <f t="shared" ca="1" si="105"/>
        <v>Error?</v>
      </c>
      <c r="E6826" s="2" t="s">
        <v>190</v>
      </c>
    </row>
    <row r="6827" spans="1:5" x14ac:dyDescent="0.2">
      <c r="A6827">
        <v>6766</v>
      </c>
      <c r="B6827" s="138">
        <f ca="1">'Revenues 9-14'!E251</f>
        <v>0</v>
      </c>
      <c r="D6827" s="2" t="str">
        <f t="shared" ca="1" si="105"/>
        <v>Error?</v>
      </c>
      <c r="E6827" s="2" t="s">
        <v>190</v>
      </c>
    </row>
    <row r="6828" spans="1:5" x14ac:dyDescent="0.2">
      <c r="A6828">
        <v>6767</v>
      </c>
      <c r="B6828" s="138">
        <f ca="1">'Revenues 9-14'!F251</f>
        <v>0</v>
      </c>
      <c r="D6828" s="2" t="str">
        <f t="shared" ca="1" si="105"/>
        <v>Error?</v>
      </c>
      <c r="E6828" s="2" t="s">
        <v>190</v>
      </c>
    </row>
    <row r="6829" spans="1:5" x14ac:dyDescent="0.2">
      <c r="A6829">
        <v>6768</v>
      </c>
      <c r="B6829" s="138">
        <f ca="1">'Revenues 9-14'!G251</f>
        <v>0</v>
      </c>
      <c r="D6829" s="2" t="str">
        <f t="shared" ca="1" si="105"/>
        <v>Error?</v>
      </c>
      <c r="E6829" s="2" t="s">
        <v>190</v>
      </c>
    </row>
    <row r="6830" spans="1:5" x14ac:dyDescent="0.2">
      <c r="A6830">
        <v>6769</v>
      </c>
      <c r="B6830" s="138">
        <f ca="1">'Revenues 9-14'!H251</f>
        <v>0</v>
      </c>
      <c r="D6830" s="2" t="str">
        <f t="shared" ca="1" si="105"/>
        <v>Error?</v>
      </c>
      <c r="E6830" s="2" t="s">
        <v>190</v>
      </c>
    </row>
    <row r="6831" spans="1:5" x14ac:dyDescent="0.2">
      <c r="A6831">
        <v>6770</v>
      </c>
      <c r="B6831" s="138">
        <f ca="1">'Revenues 9-14'!J251</f>
        <v>0</v>
      </c>
      <c r="D6831" s="2" t="str">
        <f t="shared" ca="1" si="105"/>
        <v>Error?</v>
      </c>
      <c r="E6831" s="2" t="s">
        <v>190</v>
      </c>
    </row>
    <row r="6832" spans="1:5" x14ac:dyDescent="0.2">
      <c r="A6832">
        <v>6771</v>
      </c>
      <c r="B6832" s="138">
        <f ca="1">'Revenues 9-14'!K251</f>
        <v>0</v>
      </c>
      <c r="D6832" s="2" t="str">
        <f t="shared" ca="1" si="105"/>
        <v>Error?</v>
      </c>
    </row>
    <row r="6833" spans="1:5" x14ac:dyDescent="0.2">
      <c r="A6833">
        <v>6772</v>
      </c>
      <c r="B6833" s="138">
        <f ca="1">'Revenues 9-14'!C252</f>
        <v>0</v>
      </c>
      <c r="D6833" s="2" t="str">
        <f t="shared" ca="1" si="105"/>
        <v>Error?</v>
      </c>
    </row>
    <row r="6834" spans="1:5" x14ac:dyDescent="0.2">
      <c r="A6834">
        <v>6773</v>
      </c>
      <c r="B6834" s="138">
        <f ca="1">'Revenues 9-14'!D252</f>
        <v>0</v>
      </c>
      <c r="D6834" s="2" t="str">
        <f t="shared" ca="1" si="105"/>
        <v>Error?</v>
      </c>
    </row>
    <row r="6835" spans="1:5" x14ac:dyDescent="0.2">
      <c r="A6835">
        <v>6774</v>
      </c>
      <c r="B6835" s="138">
        <f ca="1">'Revenues 9-14'!E252</f>
        <v>0</v>
      </c>
      <c r="D6835" s="2" t="str">
        <f t="shared" ca="1" si="105"/>
        <v>Error?</v>
      </c>
    </row>
    <row r="6836" spans="1:5" x14ac:dyDescent="0.2">
      <c r="A6836">
        <v>6775</v>
      </c>
      <c r="B6836" s="138">
        <f ca="1">'Revenues 9-14'!F252</f>
        <v>0</v>
      </c>
      <c r="D6836" s="2" t="str">
        <f t="shared" ca="1" si="105"/>
        <v>Error?</v>
      </c>
    </row>
    <row r="6837" spans="1:5" x14ac:dyDescent="0.2">
      <c r="A6837">
        <v>6776</v>
      </c>
      <c r="B6837" s="138">
        <f ca="1">'Revenues 9-14'!G252</f>
        <v>0</v>
      </c>
      <c r="D6837" s="2" t="str">
        <f t="shared" ca="1" si="105"/>
        <v>Error?</v>
      </c>
    </row>
    <row r="6838" spans="1:5" x14ac:dyDescent="0.2">
      <c r="A6838">
        <v>6777</v>
      </c>
      <c r="B6838" s="138">
        <f ca="1">'Revenues 9-14'!H252</f>
        <v>0</v>
      </c>
      <c r="D6838" s="2" t="str">
        <f t="shared" ca="1" si="105"/>
        <v>Error?</v>
      </c>
    </row>
    <row r="6839" spans="1:5" x14ac:dyDescent="0.2">
      <c r="A6839">
        <v>6778</v>
      </c>
      <c r="B6839" s="138">
        <f ca="1">'Revenues 9-14'!J252</f>
        <v>0</v>
      </c>
      <c r="D6839" s="2" t="str">
        <f t="shared" ca="1" si="105"/>
        <v>Error?</v>
      </c>
    </row>
    <row r="6840" spans="1:5" x14ac:dyDescent="0.2">
      <c r="A6840">
        <v>6779</v>
      </c>
      <c r="B6840" s="138">
        <f ca="1">'Revenues 9-14'!K252</f>
        <v>0</v>
      </c>
      <c r="D6840" s="2" t="str">
        <f t="shared" ca="1" si="105"/>
        <v>Error?</v>
      </c>
    </row>
    <row r="6841" spans="1:5" x14ac:dyDescent="0.2">
      <c r="A6841" s="129">
        <v>6780</v>
      </c>
      <c r="D6841" s="2" t="str">
        <f t="shared" si="105"/>
        <v>OK</v>
      </c>
      <c r="E6841" s="1" t="s">
        <v>1938</v>
      </c>
    </row>
    <row r="6842" spans="1:5" x14ac:dyDescent="0.2">
      <c r="A6842" s="129">
        <v>6781</v>
      </c>
      <c r="D6842" s="2" t="str">
        <f t="shared" si="105"/>
        <v>OK</v>
      </c>
      <c r="E6842" s="1" t="s">
        <v>1938</v>
      </c>
    </row>
    <row r="6843" spans="1:5" x14ac:dyDescent="0.2">
      <c r="A6843" s="129">
        <v>6782</v>
      </c>
      <c r="D6843" s="2" t="str">
        <f t="shared" si="105"/>
        <v>OK</v>
      </c>
      <c r="E6843" s="1" t="s">
        <v>1938</v>
      </c>
    </row>
    <row r="6844" spans="1:5" x14ac:dyDescent="0.2">
      <c r="A6844">
        <v>6783</v>
      </c>
      <c r="B6844" s="138">
        <f ca="1">'Expenditures 15-22'!I5</f>
        <v>0</v>
      </c>
      <c r="D6844" s="2" t="str">
        <f t="shared" ca="1" si="105"/>
        <v>Error?</v>
      </c>
    </row>
    <row r="6845" spans="1:5" x14ac:dyDescent="0.2">
      <c r="A6845">
        <v>6784</v>
      </c>
      <c r="B6845" s="138">
        <f ca="1">'Expenditures 15-22'!J5</f>
        <v>0</v>
      </c>
      <c r="D6845" s="2" t="str">
        <f t="shared" ca="1" si="105"/>
        <v>Error?</v>
      </c>
    </row>
    <row r="6846" spans="1:5" x14ac:dyDescent="0.2">
      <c r="A6846">
        <v>6785</v>
      </c>
      <c r="B6846" s="138">
        <f ca="1">'Expenditures 15-22'!I7</f>
        <v>0</v>
      </c>
      <c r="D6846" s="2" t="str">
        <f t="shared" ca="1" si="105"/>
        <v>Error?</v>
      </c>
    </row>
    <row r="6847" spans="1:5" x14ac:dyDescent="0.2">
      <c r="A6847">
        <v>6786</v>
      </c>
      <c r="B6847" s="138">
        <f ca="1">'Expenditures 15-22'!J7</f>
        <v>0</v>
      </c>
      <c r="D6847" s="2" t="str">
        <f t="shared" ref="D6847:D6910" ca="1" si="106">IF(ISBLANK(B6847),"OK",IF(A6847-B6847=0,"OK","Error?"))</f>
        <v>Error?</v>
      </c>
    </row>
    <row r="6848" spans="1:5" x14ac:dyDescent="0.2">
      <c r="A6848">
        <v>6787</v>
      </c>
      <c r="B6848" s="138">
        <f ca="1">'Expenditures 15-22'!K7</f>
        <v>71471</v>
      </c>
      <c r="D6848" s="2" t="str">
        <f t="shared" ca="1" si="106"/>
        <v>Error?</v>
      </c>
    </row>
    <row r="6849" spans="1:4" x14ac:dyDescent="0.2">
      <c r="A6849">
        <v>6788</v>
      </c>
      <c r="B6849" s="138">
        <f ca="1">'Expenditures 15-22'!I8</f>
        <v>0</v>
      </c>
      <c r="D6849" s="2" t="str">
        <f t="shared" ca="1" si="106"/>
        <v>Error?</v>
      </c>
    </row>
    <row r="6850" spans="1:4" x14ac:dyDescent="0.2">
      <c r="A6850">
        <v>6789</v>
      </c>
      <c r="B6850" s="138">
        <f ca="1">'Expenditures 15-22'!J8</f>
        <v>0</v>
      </c>
      <c r="D6850" s="2" t="str">
        <f t="shared" ca="1" si="106"/>
        <v>Error?</v>
      </c>
    </row>
    <row r="6851" spans="1:4" x14ac:dyDescent="0.2">
      <c r="A6851">
        <v>6790</v>
      </c>
      <c r="B6851" s="138">
        <f ca="1">'Expenditures 15-22'!I9</f>
        <v>0</v>
      </c>
      <c r="D6851" s="2" t="str">
        <f t="shared" ca="1" si="106"/>
        <v>Error?</v>
      </c>
    </row>
    <row r="6852" spans="1:4" x14ac:dyDescent="0.2">
      <c r="A6852">
        <v>6791</v>
      </c>
      <c r="B6852" s="138">
        <f ca="1">'Expenditures 15-22'!J9</f>
        <v>0</v>
      </c>
      <c r="D6852" s="2" t="str">
        <f t="shared" ca="1" si="106"/>
        <v>Error?</v>
      </c>
    </row>
    <row r="6853" spans="1:4" x14ac:dyDescent="0.2">
      <c r="A6853">
        <v>6792</v>
      </c>
      <c r="B6853" s="138">
        <f ca="1">'Expenditures 15-22'!K9</f>
        <v>0</v>
      </c>
      <c r="D6853" s="2" t="str">
        <f t="shared" ca="1" si="106"/>
        <v>Error?</v>
      </c>
    </row>
    <row r="6854" spans="1:4" x14ac:dyDescent="0.2">
      <c r="A6854">
        <v>6793</v>
      </c>
      <c r="B6854" s="138">
        <f ca="1">'Expenditures 15-22'!I10</f>
        <v>0</v>
      </c>
      <c r="D6854" s="2" t="str">
        <f t="shared" ca="1" si="106"/>
        <v>Error?</v>
      </c>
    </row>
    <row r="6855" spans="1:4" x14ac:dyDescent="0.2">
      <c r="A6855">
        <v>6794</v>
      </c>
      <c r="B6855" s="138">
        <f ca="1">'Expenditures 15-22'!J10</f>
        <v>0</v>
      </c>
      <c r="D6855" s="2" t="str">
        <f t="shared" ca="1" si="106"/>
        <v>Error?</v>
      </c>
    </row>
    <row r="6856" spans="1:4" x14ac:dyDescent="0.2">
      <c r="A6856">
        <v>6795</v>
      </c>
      <c r="B6856" s="138">
        <f ca="1">'Expenditures 15-22'!I11</f>
        <v>0</v>
      </c>
      <c r="D6856" s="2" t="str">
        <f t="shared" ca="1" si="106"/>
        <v>Error?</v>
      </c>
    </row>
    <row r="6857" spans="1:4" x14ac:dyDescent="0.2">
      <c r="A6857">
        <v>6796</v>
      </c>
      <c r="B6857" s="138">
        <f ca="1">'Expenditures 15-22'!J11</f>
        <v>0</v>
      </c>
      <c r="D6857" s="2" t="str">
        <f t="shared" ca="1" si="106"/>
        <v>Error?</v>
      </c>
    </row>
    <row r="6858" spans="1:4" x14ac:dyDescent="0.2">
      <c r="A6858">
        <v>6797</v>
      </c>
      <c r="B6858" s="138">
        <f ca="1">'Expenditures 15-22'!K11</f>
        <v>0</v>
      </c>
      <c r="D6858" s="2" t="str">
        <f t="shared" ca="1" si="106"/>
        <v>Error?</v>
      </c>
    </row>
    <row r="6859" spans="1:4" x14ac:dyDescent="0.2">
      <c r="A6859">
        <v>6798</v>
      </c>
      <c r="B6859" s="138">
        <f ca="1">'Expenditures 15-22'!I12</f>
        <v>0</v>
      </c>
      <c r="D6859" s="2" t="str">
        <f t="shared" ca="1" si="106"/>
        <v>Error?</v>
      </c>
    </row>
    <row r="6860" spans="1:4" x14ac:dyDescent="0.2">
      <c r="A6860">
        <v>6799</v>
      </c>
      <c r="B6860" s="138">
        <f ca="1">'Expenditures 15-22'!J12</f>
        <v>0</v>
      </c>
      <c r="D6860" s="2" t="str">
        <f t="shared" ca="1" si="106"/>
        <v>Error?</v>
      </c>
    </row>
    <row r="6861" spans="1:4" x14ac:dyDescent="0.2">
      <c r="A6861">
        <v>6800</v>
      </c>
      <c r="B6861" s="138">
        <f ca="1">'Expenditures 15-22'!I13</f>
        <v>0</v>
      </c>
      <c r="D6861" s="2" t="str">
        <f t="shared" ca="1" si="106"/>
        <v>Error?</v>
      </c>
    </row>
    <row r="6862" spans="1:4" x14ac:dyDescent="0.2">
      <c r="A6862">
        <v>6801</v>
      </c>
      <c r="B6862" s="138">
        <f ca="1">'Expenditures 15-22'!J13</f>
        <v>0</v>
      </c>
      <c r="D6862" s="2" t="str">
        <f t="shared" ca="1" si="106"/>
        <v>Error?</v>
      </c>
    </row>
    <row r="6863" spans="1:4" x14ac:dyDescent="0.2">
      <c r="A6863">
        <v>6802</v>
      </c>
      <c r="B6863" s="138">
        <f ca="1">'Expenditures 15-22'!I14</f>
        <v>0</v>
      </c>
      <c r="D6863" s="2" t="str">
        <f t="shared" ca="1" si="106"/>
        <v>Error?</v>
      </c>
    </row>
    <row r="6864" spans="1:4" x14ac:dyDescent="0.2">
      <c r="A6864">
        <v>6803</v>
      </c>
      <c r="B6864" s="138">
        <f ca="1">'Expenditures 15-22'!J14</f>
        <v>0</v>
      </c>
      <c r="D6864" s="2" t="str">
        <f t="shared" ca="1" si="106"/>
        <v>Error?</v>
      </c>
    </row>
    <row r="6865" spans="1:4" x14ac:dyDescent="0.2">
      <c r="A6865">
        <v>6804</v>
      </c>
      <c r="B6865" s="138">
        <f ca="1">'Expenditures 15-22'!I15</f>
        <v>0</v>
      </c>
      <c r="D6865" s="2" t="str">
        <f t="shared" ca="1" si="106"/>
        <v>Error?</v>
      </c>
    </row>
    <row r="6866" spans="1:4" x14ac:dyDescent="0.2">
      <c r="A6866">
        <v>6805</v>
      </c>
      <c r="B6866" s="138">
        <f ca="1">'Expenditures 15-22'!J15</f>
        <v>0</v>
      </c>
      <c r="D6866" s="2" t="str">
        <f t="shared" ca="1" si="106"/>
        <v>Error?</v>
      </c>
    </row>
    <row r="6867" spans="1:4" x14ac:dyDescent="0.2">
      <c r="A6867">
        <v>6806</v>
      </c>
      <c r="B6867" s="138">
        <f ca="1">'Expenditures 15-22'!I16</f>
        <v>0</v>
      </c>
      <c r="D6867" s="2" t="str">
        <f t="shared" ca="1" si="106"/>
        <v>Error?</v>
      </c>
    </row>
    <row r="6868" spans="1:4" x14ac:dyDescent="0.2">
      <c r="A6868">
        <v>6807</v>
      </c>
      <c r="B6868" s="138">
        <f ca="1">'Expenditures 15-22'!J16</f>
        <v>0</v>
      </c>
      <c r="D6868" s="2" t="str">
        <f t="shared" ca="1" si="106"/>
        <v>Error?</v>
      </c>
    </row>
    <row r="6869" spans="1:4" x14ac:dyDescent="0.2">
      <c r="A6869">
        <v>6808</v>
      </c>
      <c r="B6869" s="138">
        <f ca="1">'Expenditures 15-22'!I17</f>
        <v>0</v>
      </c>
      <c r="D6869" s="2" t="str">
        <f t="shared" ca="1" si="106"/>
        <v>Error?</v>
      </c>
    </row>
    <row r="6870" spans="1:4" x14ac:dyDescent="0.2">
      <c r="A6870">
        <v>6809</v>
      </c>
      <c r="B6870" s="138">
        <f ca="1">'Expenditures 15-22'!J17</f>
        <v>0</v>
      </c>
      <c r="D6870" s="2" t="str">
        <f t="shared" ca="1" si="106"/>
        <v>Error?</v>
      </c>
    </row>
    <row r="6871" spans="1:4" x14ac:dyDescent="0.2">
      <c r="A6871">
        <v>6810</v>
      </c>
      <c r="B6871" s="138">
        <f ca="1">'Expenditures 15-22'!K17</f>
        <v>0</v>
      </c>
      <c r="D6871" s="2" t="str">
        <f t="shared" ca="1" si="106"/>
        <v>Error?</v>
      </c>
    </row>
    <row r="6872" spans="1:4" x14ac:dyDescent="0.2">
      <c r="A6872">
        <v>6811</v>
      </c>
      <c r="B6872" s="138">
        <f ca="1">'Expenditures 15-22'!I18</f>
        <v>0</v>
      </c>
      <c r="D6872" s="2" t="str">
        <f t="shared" ca="1" si="106"/>
        <v>Error?</v>
      </c>
    </row>
    <row r="6873" spans="1:4" x14ac:dyDescent="0.2">
      <c r="A6873">
        <v>6812</v>
      </c>
      <c r="B6873" s="138">
        <f ca="1">'Expenditures 15-22'!J18</f>
        <v>0</v>
      </c>
      <c r="D6873" s="2" t="str">
        <f t="shared" ca="1" si="106"/>
        <v>Error?</v>
      </c>
    </row>
    <row r="6874" spans="1:4" x14ac:dyDescent="0.2">
      <c r="A6874">
        <v>6813</v>
      </c>
      <c r="B6874" s="138">
        <f ca="1">'Expenditures 15-22'!I19</f>
        <v>0</v>
      </c>
      <c r="D6874" s="2" t="str">
        <f t="shared" ca="1" si="106"/>
        <v>Error?</v>
      </c>
    </row>
    <row r="6875" spans="1:4" x14ac:dyDescent="0.2">
      <c r="A6875">
        <v>6814</v>
      </c>
      <c r="B6875" s="138">
        <f ca="1">'Expenditures 15-22'!J19</f>
        <v>0</v>
      </c>
      <c r="D6875" s="2" t="str">
        <f t="shared" ca="1" si="106"/>
        <v>Error?</v>
      </c>
    </row>
    <row r="6876" spans="1:4" x14ac:dyDescent="0.2">
      <c r="A6876">
        <v>6815</v>
      </c>
      <c r="B6876" s="138">
        <f ca="1">'Expenditures 15-22'!H20</f>
        <v>0</v>
      </c>
      <c r="D6876" s="2" t="str">
        <f t="shared" ca="1" si="106"/>
        <v>Error?</v>
      </c>
    </row>
    <row r="6877" spans="1:4" x14ac:dyDescent="0.2">
      <c r="A6877">
        <v>6816</v>
      </c>
      <c r="B6877" s="138">
        <f ca="1">'Expenditures 15-22'!K20</f>
        <v>0</v>
      </c>
      <c r="D6877" s="2" t="str">
        <f t="shared" ca="1" si="106"/>
        <v>Error?</v>
      </c>
    </row>
    <row r="6878" spans="1:4" x14ac:dyDescent="0.2">
      <c r="A6878">
        <v>6817</v>
      </c>
      <c r="B6878" s="138">
        <f ca="1">'Expenditures 15-22'!H21</f>
        <v>0</v>
      </c>
      <c r="D6878" s="2" t="str">
        <f t="shared" ca="1" si="106"/>
        <v>Error?</v>
      </c>
    </row>
    <row r="6879" spans="1:4" x14ac:dyDescent="0.2">
      <c r="A6879">
        <v>6818</v>
      </c>
      <c r="B6879" s="138">
        <f ca="1">'Expenditures 15-22'!K21</f>
        <v>0</v>
      </c>
      <c r="D6879" s="2" t="str">
        <f t="shared" ca="1" si="106"/>
        <v>Error?</v>
      </c>
    </row>
    <row r="6880" spans="1:4" x14ac:dyDescent="0.2">
      <c r="A6880">
        <v>6819</v>
      </c>
      <c r="B6880" s="138">
        <f ca="1">'Expenditures 15-22'!H22</f>
        <v>0</v>
      </c>
      <c r="D6880" s="2" t="str">
        <f t="shared" ca="1" si="106"/>
        <v>Error?</v>
      </c>
    </row>
    <row r="6881" spans="1:4" x14ac:dyDescent="0.2">
      <c r="A6881">
        <v>6820</v>
      </c>
      <c r="B6881" s="138">
        <f ca="1">'Expenditures 15-22'!K22</f>
        <v>0</v>
      </c>
      <c r="D6881" s="2" t="str">
        <f t="shared" ca="1" si="106"/>
        <v>Error?</v>
      </c>
    </row>
    <row r="6882" spans="1:4" x14ac:dyDescent="0.2">
      <c r="A6882">
        <v>6821</v>
      </c>
      <c r="B6882" s="138">
        <f ca="1">'Expenditures 15-22'!H23</f>
        <v>0</v>
      </c>
      <c r="D6882" s="2" t="str">
        <f t="shared" ca="1" si="106"/>
        <v>Error?</v>
      </c>
    </row>
    <row r="6883" spans="1:4" x14ac:dyDescent="0.2">
      <c r="A6883">
        <v>6822</v>
      </c>
      <c r="B6883" s="138">
        <f ca="1">'Expenditures 15-22'!K23</f>
        <v>0</v>
      </c>
      <c r="D6883" s="2" t="str">
        <f t="shared" ca="1" si="106"/>
        <v>Error?</v>
      </c>
    </row>
    <row r="6884" spans="1:4" x14ac:dyDescent="0.2">
      <c r="A6884">
        <v>6823</v>
      </c>
      <c r="B6884" s="138">
        <f ca="1">'Expenditures 15-22'!H24</f>
        <v>0</v>
      </c>
      <c r="D6884" s="2" t="str">
        <f t="shared" ca="1" si="106"/>
        <v>Error?</v>
      </c>
    </row>
    <row r="6885" spans="1:4" x14ac:dyDescent="0.2">
      <c r="A6885">
        <v>6824</v>
      </c>
      <c r="B6885" s="138">
        <f ca="1">'Expenditures 15-22'!K24</f>
        <v>0</v>
      </c>
      <c r="D6885" s="2" t="str">
        <f t="shared" ca="1" si="106"/>
        <v>Error?</v>
      </c>
    </row>
    <row r="6886" spans="1:4" x14ac:dyDescent="0.2">
      <c r="A6886">
        <v>6825</v>
      </c>
      <c r="B6886" s="138">
        <f ca="1">'Expenditures 15-22'!H25</f>
        <v>0</v>
      </c>
      <c r="D6886" s="2" t="str">
        <f t="shared" ca="1" si="106"/>
        <v>Error?</v>
      </c>
    </row>
    <row r="6887" spans="1:4" x14ac:dyDescent="0.2">
      <c r="A6887">
        <v>6826</v>
      </c>
      <c r="B6887" s="138">
        <f ca="1">'Expenditures 15-22'!K25</f>
        <v>0</v>
      </c>
      <c r="D6887" s="2" t="str">
        <f t="shared" ca="1" si="106"/>
        <v>Error?</v>
      </c>
    </row>
    <row r="6888" spans="1:4" x14ac:dyDescent="0.2">
      <c r="A6888">
        <v>6827</v>
      </c>
      <c r="B6888" s="138">
        <f ca="1">'Expenditures 15-22'!H26</f>
        <v>0</v>
      </c>
      <c r="D6888" s="2" t="str">
        <f t="shared" ca="1" si="106"/>
        <v>Error?</v>
      </c>
    </row>
    <row r="6889" spans="1:4" x14ac:dyDescent="0.2">
      <c r="A6889">
        <v>6828</v>
      </c>
      <c r="B6889" s="138">
        <f ca="1">'Expenditures 15-22'!K26</f>
        <v>0</v>
      </c>
      <c r="D6889" s="2" t="str">
        <f t="shared" ca="1" si="106"/>
        <v>Error?</v>
      </c>
    </row>
    <row r="6890" spans="1:4" x14ac:dyDescent="0.2">
      <c r="A6890">
        <v>6829</v>
      </c>
      <c r="B6890" s="138">
        <f ca="1">'Expenditures 15-22'!H27</f>
        <v>0</v>
      </c>
      <c r="D6890" s="2" t="str">
        <f t="shared" ca="1" si="106"/>
        <v>Error?</v>
      </c>
    </row>
    <row r="6891" spans="1:4" x14ac:dyDescent="0.2">
      <c r="A6891">
        <v>6830</v>
      </c>
      <c r="B6891" s="138">
        <f ca="1">'Expenditures 15-22'!K27</f>
        <v>0</v>
      </c>
      <c r="D6891" s="2" t="str">
        <f t="shared" ca="1" si="106"/>
        <v>Error?</v>
      </c>
    </row>
    <row r="6892" spans="1:4" x14ac:dyDescent="0.2">
      <c r="A6892">
        <v>6831</v>
      </c>
      <c r="B6892" s="138">
        <f ca="1">'Expenditures 15-22'!H28</f>
        <v>0</v>
      </c>
      <c r="D6892" s="2" t="str">
        <f t="shared" ca="1" si="106"/>
        <v>Error?</v>
      </c>
    </row>
    <row r="6893" spans="1:4" x14ac:dyDescent="0.2">
      <c r="A6893">
        <v>6832</v>
      </c>
      <c r="B6893" s="138">
        <f ca="1">'Expenditures 15-22'!K28</f>
        <v>0</v>
      </c>
      <c r="D6893" s="2" t="str">
        <f t="shared" ca="1" si="106"/>
        <v>Error?</v>
      </c>
    </row>
    <row r="6894" spans="1:4" x14ac:dyDescent="0.2">
      <c r="A6894">
        <v>6833</v>
      </c>
      <c r="B6894" s="138">
        <f ca="1">'Expenditures 15-22'!H29</f>
        <v>0</v>
      </c>
      <c r="D6894" s="2" t="str">
        <f t="shared" ca="1" si="106"/>
        <v>Error?</v>
      </c>
    </row>
    <row r="6895" spans="1:4" x14ac:dyDescent="0.2">
      <c r="A6895">
        <v>6834</v>
      </c>
      <c r="B6895" s="138">
        <f ca="1">'Expenditures 15-22'!K29</f>
        <v>0</v>
      </c>
      <c r="D6895" s="2" t="str">
        <f t="shared" ca="1" si="106"/>
        <v>Error?</v>
      </c>
    </row>
    <row r="6896" spans="1:4" x14ac:dyDescent="0.2">
      <c r="A6896">
        <v>6835</v>
      </c>
      <c r="B6896" s="138">
        <f ca="1">'Expenditures 15-22'!H30</f>
        <v>0</v>
      </c>
      <c r="D6896" s="2" t="str">
        <f t="shared" ca="1" si="106"/>
        <v>Error?</v>
      </c>
    </row>
    <row r="6897" spans="1:4" x14ac:dyDescent="0.2">
      <c r="A6897">
        <v>6836</v>
      </c>
      <c r="B6897" s="138">
        <f ca="1">'Expenditures 15-22'!K30</f>
        <v>0</v>
      </c>
      <c r="D6897" s="2" t="str">
        <f t="shared" ca="1" si="106"/>
        <v>Error?</v>
      </c>
    </row>
    <row r="6898" spans="1:4" x14ac:dyDescent="0.2">
      <c r="A6898">
        <v>6837</v>
      </c>
      <c r="B6898" s="138">
        <f ca="1">'Expenditures 15-22'!H31</f>
        <v>0</v>
      </c>
      <c r="D6898" s="2" t="str">
        <f t="shared" ca="1" si="106"/>
        <v>Error?</v>
      </c>
    </row>
    <row r="6899" spans="1:4" x14ac:dyDescent="0.2">
      <c r="A6899">
        <v>6838</v>
      </c>
      <c r="B6899" s="138">
        <f ca="1">'Expenditures 15-22'!K31</f>
        <v>0</v>
      </c>
      <c r="D6899" s="2" t="str">
        <f t="shared" ca="1" si="106"/>
        <v>Error?</v>
      </c>
    </row>
    <row r="6900" spans="1:4" x14ac:dyDescent="0.2">
      <c r="A6900">
        <v>6839</v>
      </c>
      <c r="B6900" s="138">
        <f ca="1">'Expenditures 15-22'!H32</f>
        <v>0</v>
      </c>
      <c r="D6900" s="2" t="str">
        <f t="shared" ca="1" si="106"/>
        <v>Error?</v>
      </c>
    </row>
    <row r="6901" spans="1:4" x14ac:dyDescent="0.2">
      <c r="A6901">
        <v>6840</v>
      </c>
      <c r="B6901" s="138">
        <f ca="1">'Expenditures 15-22'!K32</f>
        <v>0</v>
      </c>
      <c r="D6901" s="2" t="str">
        <f t="shared" ca="1" si="106"/>
        <v>Error?</v>
      </c>
    </row>
    <row r="6902" spans="1:4" x14ac:dyDescent="0.2">
      <c r="A6902">
        <v>6841</v>
      </c>
      <c r="B6902" s="138">
        <f ca="1">'Expenditures 15-22'!I33</f>
        <v>0</v>
      </c>
      <c r="D6902" s="2" t="str">
        <f t="shared" ca="1" si="106"/>
        <v>Error?</v>
      </c>
    </row>
    <row r="6903" spans="1:4" x14ac:dyDescent="0.2">
      <c r="A6903">
        <v>6842</v>
      </c>
      <c r="B6903" s="138">
        <f ca="1">'Expenditures 15-22'!J33</f>
        <v>0</v>
      </c>
      <c r="D6903" s="2" t="str">
        <f t="shared" ca="1" si="106"/>
        <v>Error?</v>
      </c>
    </row>
    <row r="6904" spans="1:4" x14ac:dyDescent="0.2">
      <c r="A6904">
        <v>6843</v>
      </c>
      <c r="B6904" s="138">
        <f ca="1">'Expenditures 15-22'!I36</f>
        <v>0</v>
      </c>
      <c r="D6904" s="2" t="str">
        <f t="shared" ca="1" si="106"/>
        <v>Error?</v>
      </c>
    </row>
    <row r="6905" spans="1:4" x14ac:dyDescent="0.2">
      <c r="A6905">
        <v>6844</v>
      </c>
      <c r="B6905" s="138">
        <f ca="1">'Expenditures 15-22'!J36</f>
        <v>0</v>
      </c>
      <c r="D6905" s="2" t="str">
        <f t="shared" ca="1" si="106"/>
        <v>Error?</v>
      </c>
    </row>
    <row r="6906" spans="1:4" x14ac:dyDescent="0.2">
      <c r="A6906">
        <v>6845</v>
      </c>
      <c r="B6906" s="138">
        <f ca="1">'Expenditures 15-22'!I37</f>
        <v>0</v>
      </c>
      <c r="D6906" s="2" t="str">
        <f t="shared" ca="1" si="106"/>
        <v>Error?</v>
      </c>
    </row>
    <row r="6907" spans="1:4" x14ac:dyDescent="0.2">
      <c r="A6907">
        <v>6846</v>
      </c>
      <c r="B6907" s="138">
        <f ca="1">'Expenditures 15-22'!J37</f>
        <v>0</v>
      </c>
      <c r="D6907" s="2" t="str">
        <f t="shared" ca="1" si="106"/>
        <v>Error?</v>
      </c>
    </row>
    <row r="6908" spans="1:4" x14ac:dyDescent="0.2">
      <c r="A6908">
        <v>6847</v>
      </c>
      <c r="B6908" s="138">
        <f ca="1">'Expenditures 15-22'!I38</f>
        <v>0</v>
      </c>
      <c r="D6908" s="2" t="str">
        <f t="shared" ca="1" si="106"/>
        <v>Error?</v>
      </c>
    </row>
    <row r="6909" spans="1:4" x14ac:dyDescent="0.2">
      <c r="A6909">
        <v>6848</v>
      </c>
      <c r="B6909" s="138">
        <f ca="1">'Expenditures 15-22'!J38</f>
        <v>0</v>
      </c>
      <c r="D6909" s="2" t="str">
        <f t="shared" ca="1" si="106"/>
        <v>Error?</v>
      </c>
    </row>
    <row r="6910" spans="1:4" x14ac:dyDescent="0.2">
      <c r="A6910">
        <v>6849</v>
      </c>
      <c r="B6910" s="138">
        <f ca="1">'Expenditures 15-22'!I39</f>
        <v>0</v>
      </c>
      <c r="D6910" s="2" t="str">
        <f t="shared" ca="1" si="106"/>
        <v>Error?</v>
      </c>
    </row>
    <row r="6911" spans="1:4" x14ac:dyDescent="0.2">
      <c r="A6911">
        <v>6850</v>
      </c>
      <c r="B6911" s="138">
        <f ca="1">'Expenditures 15-22'!J39</f>
        <v>0</v>
      </c>
      <c r="D6911" s="2" t="str">
        <f t="shared" ref="D6911:D6974" ca="1" si="107">IF(ISBLANK(B6911),"OK",IF(A6911-B6911=0,"OK","Error?"))</f>
        <v>Error?</v>
      </c>
    </row>
    <row r="6912" spans="1:4" x14ac:dyDescent="0.2">
      <c r="A6912">
        <v>6851</v>
      </c>
      <c r="B6912" s="138">
        <f ca="1">'Expenditures 15-22'!I40</f>
        <v>0</v>
      </c>
      <c r="D6912" s="2" t="str">
        <f t="shared" ca="1" si="107"/>
        <v>Error?</v>
      </c>
    </row>
    <row r="6913" spans="1:4" x14ac:dyDescent="0.2">
      <c r="A6913">
        <v>6852</v>
      </c>
      <c r="B6913" s="138">
        <f ca="1">'Expenditures 15-22'!J40</f>
        <v>0</v>
      </c>
      <c r="D6913" s="2" t="str">
        <f t="shared" ca="1" si="107"/>
        <v>Error?</v>
      </c>
    </row>
    <row r="6914" spans="1:4" x14ac:dyDescent="0.2">
      <c r="A6914">
        <v>6853</v>
      </c>
      <c r="B6914" s="138">
        <f ca="1">'Expenditures 15-22'!I41</f>
        <v>0</v>
      </c>
      <c r="D6914" s="2" t="str">
        <f t="shared" ca="1" si="107"/>
        <v>Error?</v>
      </c>
    </row>
    <row r="6915" spans="1:4" x14ac:dyDescent="0.2">
      <c r="A6915">
        <v>6854</v>
      </c>
      <c r="B6915" s="138">
        <f ca="1">'Expenditures 15-22'!J41</f>
        <v>0</v>
      </c>
      <c r="D6915" s="2" t="str">
        <f t="shared" ca="1" si="107"/>
        <v>Error?</v>
      </c>
    </row>
    <row r="6916" spans="1:4" x14ac:dyDescent="0.2">
      <c r="A6916">
        <v>6855</v>
      </c>
      <c r="B6916" s="138">
        <f ca="1">'Expenditures 15-22'!I42</f>
        <v>0</v>
      </c>
      <c r="D6916" s="2" t="str">
        <f t="shared" ca="1" si="107"/>
        <v>Error?</v>
      </c>
    </row>
    <row r="6917" spans="1:4" x14ac:dyDescent="0.2">
      <c r="A6917">
        <v>6856</v>
      </c>
      <c r="B6917" s="138">
        <f ca="1">'Expenditures 15-22'!J42</f>
        <v>0</v>
      </c>
      <c r="D6917" s="2" t="str">
        <f t="shared" ca="1" si="107"/>
        <v>Error?</v>
      </c>
    </row>
    <row r="6918" spans="1:4" x14ac:dyDescent="0.2">
      <c r="A6918">
        <v>6857</v>
      </c>
      <c r="B6918" s="138">
        <f ca="1">'Expenditures 15-22'!I44</f>
        <v>0</v>
      </c>
      <c r="D6918" s="2" t="str">
        <f t="shared" ca="1" si="107"/>
        <v>Error?</v>
      </c>
    </row>
    <row r="6919" spans="1:4" x14ac:dyDescent="0.2">
      <c r="A6919">
        <v>6858</v>
      </c>
      <c r="B6919" s="138">
        <f ca="1">'Expenditures 15-22'!J44</f>
        <v>0</v>
      </c>
      <c r="D6919" s="2" t="str">
        <f t="shared" ca="1" si="107"/>
        <v>Error?</v>
      </c>
    </row>
    <row r="6920" spans="1:4" x14ac:dyDescent="0.2">
      <c r="A6920">
        <v>6859</v>
      </c>
      <c r="B6920" s="138">
        <f ca="1">'Expenditures 15-22'!I45</f>
        <v>0</v>
      </c>
      <c r="D6920" s="2" t="str">
        <f t="shared" ca="1" si="107"/>
        <v>Error?</v>
      </c>
    </row>
    <row r="6921" spans="1:4" x14ac:dyDescent="0.2">
      <c r="A6921">
        <v>6860</v>
      </c>
      <c r="B6921" s="138">
        <f ca="1">'Expenditures 15-22'!J45</f>
        <v>0</v>
      </c>
      <c r="D6921" s="2" t="str">
        <f t="shared" ca="1" si="107"/>
        <v>Error?</v>
      </c>
    </row>
    <row r="6922" spans="1:4" x14ac:dyDescent="0.2">
      <c r="A6922">
        <v>6861</v>
      </c>
      <c r="B6922" s="138">
        <f ca="1">'Expenditures 15-22'!I46</f>
        <v>0</v>
      </c>
      <c r="D6922" s="2" t="str">
        <f t="shared" ca="1" si="107"/>
        <v>Error?</v>
      </c>
    </row>
    <row r="6923" spans="1:4" x14ac:dyDescent="0.2">
      <c r="A6923">
        <v>6862</v>
      </c>
      <c r="B6923" s="138">
        <f ca="1">'Expenditures 15-22'!J46</f>
        <v>0</v>
      </c>
      <c r="D6923" s="2" t="str">
        <f t="shared" ca="1" si="107"/>
        <v>Error?</v>
      </c>
    </row>
    <row r="6924" spans="1:4" x14ac:dyDescent="0.2">
      <c r="A6924">
        <v>6863</v>
      </c>
      <c r="B6924" s="138">
        <f ca="1">'Expenditures 15-22'!I47</f>
        <v>0</v>
      </c>
      <c r="D6924" s="2" t="str">
        <f t="shared" ca="1" si="107"/>
        <v>Error?</v>
      </c>
    </row>
    <row r="6925" spans="1:4" x14ac:dyDescent="0.2">
      <c r="A6925">
        <v>6864</v>
      </c>
      <c r="B6925" s="138">
        <f ca="1">'Expenditures 15-22'!J47</f>
        <v>0</v>
      </c>
      <c r="D6925" s="2" t="str">
        <f t="shared" ca="1" si="107"/>
        <v>Error?</v>
      </c>
    </row>
    <row r="6926" spans="1:4" x14ac:dyDescent="0.2">
      <c r="A6926">
        <v>6865</v>
      </c>
      <c r="B6926" s="138">
        <f ca="1">'Expenditures 15-22'!I49</f>
        <v>0</v>
      </c>
      <c r="D6926" s="2" t="str">
        <f t="shared" ca="1" si="107"/>
        <v>Error?</v>
      </c>
    </row>
    <row r="6927" spans="1:4" x14ac:dyDescent="0.2">
      <c r="A6927">
        <v>6866</v>
      </c>
      <c r="B6927" s="138">
        <f ca="1">'Expenditures 15-22'!J49</f>
        <v>0</v>
      </c>
      <c r="D6927" s="2" t="str">
        <f t="shared" ca="1" si="107"/>
        <v>Error?</v>
      </c>
    </row>
    <row r="6928" spans="1:4" x14ac:dyDescent="0.2">
      <c r="A6928">
        <v>6867</v>
      </c>
      <c r="B6928" s="138">
        <f ca="1">'Expenditures 15-22'!I50</f>
        <v>0</v>
      </c>
      <c r="D6928" s="2" t="str">
        <f t="shared" ca="1" si="107"/>
        <v>Error?</v>
      </c>
    </row>
    <row r="6929" spans="1:4" x14ac:dyDescent="0.2">
      <c r="A6929">
        <v>6868</v>
      </c>
      <c r="B6929" s="138">
        <f ca="1">'Expenditures 15-22'!J50</f>
        <v>0</v>
      </c>
      <c r="D6929" s="2" t="str">
        <f t="shared" ca="1" si="107"/>
        <v>Error?</v>
      </c>
    </row>
    <row r="6930" spans="1:4" x14ac:dyDescent="0.2">
      <c r="A6930">
        <v>6869</v>
      </c>
      <c r="B6930" s="138">
        <f ca="1">'Expenditures 15-22'!I51</f>
        <v>0</v>
      </c>
      <c r="D6930" s="2" t="str">
        <f t="shared" ca="1" si="107"/>
        <v>Error?</v>
      </c>
    </row>
    <row r="6931" spans="1:4" x14ac:dyDescent="0.2">
      <c r="A6931">
        <v>6870</v>
      </c>
      <c r="B6931" s="138">
        <f ca="1">'Expenditures 15-22'!J51</f>
        <v>0</v>
      </c>
      <c r="D6931" s="2" t="str">
        <f t="shared" ca="1" si="107"/>
        <v>Error?</v>
      </c>
    </row>
    <row r="6932" spans="1:4" x14ac:dyDescent="0.2">
      <c r="A6932">
        <v>6871</v>
      </c>
      <c r="B6932" s="138">
        <f ca="1">'Expenditures 15-22'!C52</f>
        <v>0</v>
      </c>
      <c r="D6932" s="2" t="str">
        <f t="shared" ca="1" si="107"/>
        <v>Error?</v>
      </c>
    </row>
    <row r="6933" spans="1:4" x14ac:dyDescent="0.2">
      <c r="A6933">
        <v>6872</v>
      </c>
      <c r="B6933" s="138">
        <f ca="1">'Expenditures 15-22'!D52</f>
        <v>0</v>
      </c>
      <c r="D6933" s="2" t="str">
        <f t="shared" ca="1" si="107"/>
        <v>Error?</v>
      </c>
    </row>
    <row r="6934" spans="1:4" x14ac:dyDescent="0.2">
      <c r="A6934">
        <v>6873</v>
      </c>
      <c r="B6934" s="138">
        <f ca="1">'Expenditures 15-22'!E52</f>
        <v>0</v>
      </c>
      <c r="D6934" s="2" t="str">
        <f t="shared" ca="1" si="107"/>
        <v>Error?</v>
      </c>
    </row>
    <row r="6935" spans="1:4" x14ac:dyDescent="0.2">
      <c r="A6935">
        <v>6874</v>
      </c>
      <c r="B6935" s="138">
        <f ca="1">'Expenditures 15-22'!F52</f>
        <v>0</v>
      </c>
      <c r="D6935" s="2" t="str">
        <f t="shared" ca="1" si="107"/>
        <v>Error?</v>
      </c>
    </row>
    <row r="6936" spans="1:4" x14ac:dyDescent="0.2">
      <c r="A6936">
        <v>6875</v>
      </c>
      <c r="B6936" s="138">
        <f ca="1">'Expenditures 15-22'!G52</f>
        <v>0</v>
      </c>
      <c r="D6936" s="2" t="str">
        <f t="shared" ca="1" si="107"/>
        <v>Error?</v>
      </c>
    </row>
    <row r="6937" spans="1:4" x14ac:dyDescent="0.2">
      <c r="A6937">
        <v>6876</v>
      </c>
      <c r="B6937" s="138">
        <f ca="1">'Expenditures 15-22'!H52</f>
        <v>0</v>
      </c>
      <c r="D6937" s="2" t="str">
        <f t="shared" ca="1" si="107"/>
        <v>Error?</v>
      </c>
    </row>
    <row r="6938" spans="1:4" x14ac:dyDescent="0.2">
      <c r="A6938">
        <v>6877</v>
      </c>
      <c r="B6938" s="138">
        <f ca="1">'Expenditures 15-22'!I52</f>
        <v>0</v>
      </c>
      <c r="D6938" s="2" t="str">
        <f t="shared" ca="1" si="107"/>
        <v>Error?</v>
      </c>
    </row>
    <row r="6939" spans="1:4" x14ac:dyDescent="0.2">
      <c r="A6939">
        <v>6878</v>
      </c>
      <c r="B6939" s="138">
        <f ca="1">'Expenditures 15-22'!J52</f>
        <v>0</v>
      </c>
      <c r="D6939" s="2" t="str">
        <f t="shared" ca="1" si="107"/>
        <v>Error?</v>
      </c>
    </row>
    <row r="6940" spans="1:4" x14ac:dyDescent="0.2">
      <c r="A6940">
        <v>6879</v>
      </c>
      <c r="B6940" s="138">
        <f ca="1">'Expenditures 15-22'!K52</f>
        <v>0</v>
      </c>
      <c r="D6940" s="2" t="str">
        <f t="shared" ca="1" si="107"/>
        <v>Error?</v>
      </c>
    </row>
    <row r="6941" spans="1:4" x14ac:dyDescent="0.2">
      <c r="A6941">
        <v>6880</v>
      </c>
      <c r="B6941" s="138">
        <f>'Expenditures 15-22'!L52</f>
        <v>0</v>
      </c>
      <c r="D6941" s="2" t="str">
        <f t="shared" si="107"/>
        <v>Error?</v>
      </c>
    </row>
    <row r="6942" spans="1:4" x14ac:dyDescent="0.2">
      <c r="A6942">
        <v>6881</v>
      </c>
      <c r="B6942" s="138">
        <f ca="1">'Expenditures 15-22'!I53</f>
        <v>0</v>
      </c>
      <c r="D6942" s="2" t="str">
        <f t="shared" ca="1" si="107"/>
        <v>Error?</v>
      </c>
    </row>
    <row r="6943" spans="1:4" x14ac:dyDescent="0.2">
      <c r="A6943">
        <v>6882</v>
      </c>
      <c r="B6943" s="138">
        <f ca="1">'Expenditures 15-22'!J53</f>
        <v>0</v>
      </c>
      <c r="D6943" s="2" t="str">
        <f t="shared" ca="1" si="107"/>
        <v>Error?</v>
      </c>
    </row>
    <row r="6944" spans="1:4" x14ac:dyDescent="0.2">
      <c r="A6944">
        <v>6883</v>
      </c>
      <c r="B6944" s="138">
        <f ca="1">'Expenditures 15-22'!I55</f>
        <v>0</v>
      </c>
      <c r="D6944" s="2" t="str">
        <f t="shared" ca="1" si="107"/>
        <v>Error?</v>
      </c>
    </row>
    <row r="6945" spans="1:4" x14ac:dyDescent="0.2">
      <c r="A6945">
        <v>6884</v>
      </c>
      <c r="B6945" s="138">
        <f ca="1">'Expenditures 15-22'!J55</f>
        <v>0</v>
      </c>
      <c r="D6945" s="2" t="str">
        <f t="shared" ca="1" si="107"/>
        <v>Error?</v>
      </c>
    </row>
    <row r="6946" spans="1:4" x14ac:dyDescent="0.2">
      <c r="A6946">
        <v>6885</v>
      </c>
      <c r="B6946" s="138">
        <f ca="1">'Expenditures 15-22'!I56</f>
        <v>0</v>
      </c>
      <c r="D6946" s="2" t="str">
        <f t="shared" ca="1" si="107"/>
        <v>Error?</v>
      </c>
    </row>
    <row r="6947" spans="1:4" x14ac:dyDescent="0.2">
      <c r="A6947">
        <v>6886</v>
      </c>
      <c r="B6947" s="138">
        <f ca="1">'Expenditures 15-22'!J56</f>
        <v>0</v>
      </c>
      <c r="D6947" s="2" t="str">
        <f t="shared" ca="1" si="107"/>
        <v>Error?</v>
      </c>
    </row>
    <row r="6948" spans="1:4" x14ac:dyDescent="0.2">
      <c r="A6948">
        <v>6887</v>
      </c>
      <c r="B6948" s="138">
        <f ca="1">'Expenditures 15-22'!I57</f>
        <v>0</v>
      </c>
      <c r="D6948" s="2" t="str">
        <f t="shared" ca="1" si="107"/>
        <v>Error?</v>
      </c>
    </row>
    <row r="6949" spans="1:4" x14ac:dyDescent="0.2">
      <c r="A6949">
        <v>6888</v>
      </c>
      <c r="B6949" s="138">
        <f ca="1">'Expenditures 15-22'!J57</f>
        <v>0</v>
      </c>
      <c r="D6949" s="2" t="str">
        <f t="shared" ca="1" si="107"/>
        <v>Error?</v>
      </c>
    </row>
    <row r="6950" spans="1:4" x14ac:dyDescent="0.2">
      <c r="A6950">
        <v>6889</v>
      </c>
      <c r="B6950" s="138">
        <f ca="1">'Expenditures 15-22'!I59</f>
        <v>0</v>
      </c>
      <c r="D6950" s="2" t="str">
        <f t="shared" ca="1" si="107"/>
        <v>Error?</v>
      </c>
    </row>
    <row r="6951" spans="1:4" x14ac:dyDescent="0.2">
      <c r="A6951">
        <v>6890</v>
      </c>
      <c r="B6951" s="138">
        <f ca="1">'Expenditures 15-22'!J59</f>
        <v>0</v>
      </c>
      <c r="D6951" s="2" t="str">
        <f t="shared" ca="1" si="107"/>
        <v>Error?</v>
      </c>
    </row>
    <row r="6952" spans="1:4" x14ac:dyDescent="0.2">
      <c r="A6952">
        <v>6891</v>
      </c>
      <c r="B6952" s="138">
        <f ca="1">'Expenditures 15-22'!I60</f>
        <v>0</v>
      </c>
      <c r="D6952" s="2" t="str">
        <f t="shared" ca="1" si="107"/>
        <v>Error?</v>
      </c>
    </row>
    <row r="6953" spans="1:4" x14ac:dyDescent="0.2">
      <c r="A6953">
        <v>6892</v>
      </c>
      <c r="B6953" s="138">
        <f ca="1">'Expenditures 15-22'!J60</f>
        <v>0</v>
      </c>
      <c r="D6953" s="2" t="str">
        <f t="shared" ca="1" si="107"/>
        <v>Error?</v>
      </c>
    </row>
    <row r="6954" spans="1:4" x14ac:dyDescent="0.2">
      <c r="A6954">
        <v>6893</v>
      </c>
      <c r="B6954" s="138">
        <f ca="1">'Expenditures 15-22'!I61</f>
        <v>0</v>
      </c>
      <c r="D6954" s="2" t="str">
        <f t="shared" ca="1" si="107"/>
        <v>Error?</v>
      </c>
    </row>
    <row r="6955" spans="1:4" x14ac:dyDescent="0.2">
      <c r="A6955">
        <v>6894</v>
      </c>
      <c r="B6955" s="138">
        <f ca="1">'Expenditures 15-22'!J61</f>
        <v>0</v>
      </c>
      <c r="D6955" s="2" t="str">
        <f t="shared" ca="1" si="107"/>
        <v>Error?</v>
      </c>
    </row>
    <row r="6956" spans="1:4" x14ac:dyDescent="0.2">
      <c r="A6956">
        <v>6895</v>
      </c>
      <c r="B6956" s="138">
        <f ca="1">'Expenditures 15-22'!I62</f>
        <v>0</v>
      </c>
      <c r="D6956" s="2" t="str">
        <f t="shared" ca="1" si="107"/>
        <v>Error?</v>
      </c>
    </row>
    <row r="6957" spans="1:4" x14ac:dyDescent="0.2">
      <c r="A6957">
        <v>6896</v>
      </c>
      <c r="B6957" s="138">
        <f ca="1">'Expenditures 15-22'!J62</f>
        <v>0</v>
      </c>
      <c r="D6957" s="2" t="str">
        <f t="shared" ca="1" si="107"/>
        <v>Error?</v>
      </c>
    </row>
    <row r="6958" spans="1:4" x14ac:dyDescent="0.2">
      <c r="A6958">
        <v>6897</v>
      </c>
      <c r="B6958" s="138">
        <f ca="1">'Expenditures 15-22'!I63</f>
        <v>0</v>
      </c>
      <c r="D6958" s="2" t="str">
        <f t="shared" ca="1" si="107"/>
        <v>Error?</v>
      </c>
    </row>
    <row r="6959" spans="1:4" x14ac:dyDescent="0.2">
      <c r="A6959">
        <v>6898</v>
      </c>
      <c r="B6959" s="138">
        <f ca="1">'Expenditures 15-22'!J63</f>
        <v>0</v>
      </c>
      <c r="D6959" s="2" t="str">
        <f t="shared" ca="1" si="107"/>
        <v>Error?</v>
      </c>
    </row>
    <row r="6960" spans="1:4" x14ac:dyDescent="0.2">
      <c r="A6960">
        <v>6899</v>
      </c>
      <c r="B6960" s="138">
        <f ca="1">'Expenditures 15-22'!J64</f>
        <v>0</v>
      </c>
      <c r="D6960" s="2" t="str">
        <f t="shared" ca="1" si="107"/>
        <v>Error?</v>
      </c>
    </row>
    <row r="6961" spans="1:4" x14ac:dyDescent="0.2">
      <c r="A6961">
        <v>6900</v>
      </c>
      <c r="B6961" s="138">
        <f ca="1">'Expenditures 15-22'!I65</f>
        <v>0</v>
      </c>
      <c r="D6961" s="2" t="str">
        <f t="shared" ca="1" si="107"/>
        <v>Error?</v>
      </c>
    </row>
    <row r="6962" spans="1:4" x14ac:dyDescent="0.2">
      <c r="A6962">
        <v>6901</v>
      </c>
      <c r="B6962" s="138">
        <f ca="1">'Expenditures 15-22'!J65</f>
        <v>0</v>
      </c>
      <c r="D6962" s="2" t="str">
        <f t="shared" ca="1" si="107"/>
        <v>Error?</v>
      </c>
    </row>
    <row r="6963" spans="1:4" x14ac:dyDescent="0.2">
      <c r="A6963">
        <v>6902</v>
      </c>
      <c r="B6963" s="138">
        <f ca="1">'Expenditures 15-22'!I67</f>
        <v>0</v>
      </c>
      <c r="D6963" s="2" t="str">
        <f t="shared" ca="1" si="107"/>
        <v>Error?</v>
      </c>
    </row>
    <row r="6964" spans="1:4" x14ac:dyDescent="0.2">
      <c r="A6964">
        <v>6903</v>
      </c>
      <c r="B6964" s="138">
        <f ca="1">'Expenditures 15-22'!J67</f>
        <v>0</v>
      </c>
      <c r="D6964" s="2" t="str">
        <f t="shared" ca="1" si="107"/>
        <v>Error?</v>
      </c>
    </row>
    <row r="6965" spans="1:4" x14ac:dyDescent="0.2">
      <c r="A6965">
        <v>6904</v>
      </c>
      <c r="B6965" s="138">
        <f ca="1">'Expenditures 15-22'!I68</f>
        <v>0</v>
      </c>
      <c r="D6965" s="2" t="str">
        <f t="shared" ca="1" si="107"/>
        <v>Error?</v>
      </c>
    </row>
    <row r="6966" spans="1:4" x14ac:dyDescent="0.2">
      <c r="A6966">
        <v>6905</v>
      </c>
      <c r="B6966" s="138">
        <f ca="1">'Expenditures 15-22'!J68</f>
        <v>0</v>
      </c>
      <c r="D6966" s="2" t="str">
        <f t="shared" ca="1" si="107"/>
        <v>Error?</v>
      </c>
    </row>
    <row r="6967" spans="1:4" x14ac:dyDescent="0.2">
      <c r="A6967">
        <v>6906</v>
      </c>
      <c r="B6967" s="138">
        <f ca="1">'Expenditures 15-22'!I69</f>
        <v>0</v>
      </c>
      <c r="D6967" s="2" t="str">
        <f t="shared" ca="1" si="107"/>
        <v>Error?</v>
      </c>
    </row>
    <row r="6968" spans="1:4" x14ac:dyDescent="0.2">
      <c r="A6968">
        <v>6907</v>
      </c>
      <c r="B6968" s="138">
        <f ca="1">'Expenditures 15-22'!J69</f>
        <v>0</v>
      </c>
      <c r="D6968" s="2" t="str">
        <f t="shared" ca="1" si="107"/>
        <v>Error?</v>
      </c>
    </row>
    <row r="6969" spans="1:4" x14ac:dyDescent="0.2">
      <c r="A6969">
        <v>6908</v>
      </c>
      <c r="B6969" s="138">
        <f ca="1">'Expenditures 15-22'!I70</f>
        <v>0</v>
      </c>
      <c r="D6969" s="2" t="str">
        <f t="shared" ca="1" si="107"/>
        <v>Error?</v>
      </c>
    </row>
    <row r="6970" spans="1:4" x14ac:dyDescent="0.2">
      <c r="A6970">
        <v>6909</v>
      </c>
      <c r="B6970" s="138">
        <f ca="1">'Expenditures 15-22'!J70</f>
        <v>0</v>
      </c>
      <c r="D6970" s="2" t="str">
        <f t="shared" ca="1" si="107"/>
        <v>Error?</v>
      </c>
    </row>
    <row r="6971" spans="1:4" x14ac:dyDescent="0.2">
      <c r="A6971">
        <v>6910</v>
      </c>
      <c r="B6971" s="138">
        <f ca="1">'Expenditures 15-22'!I71</f>
        <v>0</v>
      </c>
      <c r="D6971" s="2" t="str">
        <f t="shared" ca="1" si="107"/>
        <v>Error?</v>
      </c>
    </row>
    <row r="6972" spans="1:4" x14ac:dyDescent="0.2">
      <c r="A6972">
        <v>6911</v>
      </c>
      <c r="B6972" s="138">
        <f ca="1">'Expenditures 15-22'!J71</f>
        <v>0</v>
      </c>
      <c r="D6972" s="2" t="str">
        <f t="shared" ca="1" si="107"/>
        <v>Error?</v>
      </c>
    </row>
    <row r="6973" spans="1:4" x14ac:dyDescent="0.2">
      <c r="A6973">
        <v>6912</v>
      </c>
      <c r="B6973" s="138">
        <f ca="1">'Expenditures 15-22'!I72</f>
        <v>0</v>
      </c>
      <c r="D6973" s="2" t="str">
        <f t="shared" ca="1" si="107"/>
        <v>Error?</v>
      </c>
    </row>
    <row r="6974" spans="1:4" x14ac:dyDescent="0.2">
      <c r="A6974">
        <v>6913</v>
      </c>
      <c r="B6974" s="138">
        <f ca="1">'Expenditures 15-22'!J72</f>
        <v>0</v>
      </c>
      <c r="D6974" s="2" t="str">
        <f t="shared" ca="1" si="107"/>
        <v>Error?</v>
      </c>
    </row>
    <row r="6975" spans="1:4" x14ac:dyDescent="0.2">
      <c r="A6975">
        <v>6914</v>
      </c>
      <c r="B6975" s="138">
        <f ca="1">'Expenditures 15-22'!I73</f>
        <v>0</v>
      </c>
      <c r="D6975" s="2" t="str">
        <f t="shared" ref="D6975:D7038" ca="1" si="108">IF(ISBLANK(B6975),"OK",IF(A6975-B6975=0,"OK","Error?"))</f>
        <v>Error?</v>
      </c>
    </row>
    <row r="6976" spans="1:4" x14ac:dyDescent="0.2">
      <c r="A6976">
        <v>6915</v>
      </c>
      <c r="B6976" s="138">
        <f ca="1">'Expenditures 15-22'!J73</f>
        <v>0</v>
      </c>
      <c r="D6976" s="2" t="str">
        <f t="shared" ca="1" si="108"/>
        <v>Error?</v>
      </c>
    </row>
    <row r="6977" spans="1:4" x14ac:dyDescent="0.2">
      <c r="A6977">
        <v>6916</v>
      </c>
      <c r="B6977" s="138">
        <f ca="1">'Expenditures 15-22'!I74</f>
        <v>0</v>
      </c>
      <c r="D6977" s="2" t="str">
        <f t="shared" ca="1" si="108"/>
        <v>Error?</v>
      </c>
    </row>
    <row r="6978" spans="1:4" x14ac:dyDescent="0.2">
      <c r="A6978">
        <v>6917</v>
      </c>
      <c r="B6978" s="138">
        <f ca="1">'Expenditures 15-22'!J74</f>
        <v>0</v>
      </c>
      <c r="D6978" s="2" t="str">
        <f t="shared" ca="1" si="108"/>
        <v>Error?</v>
      </c>
    </row>
    <row r="6979" spans="1:4" x14ac:dyDescent="0.2">
      <c r="A6979">
        <v>6918</v>
      </c>
      <c r="B6979" s="138">
        <f ca="1">'Expenditures 15-22'!I75</f>
        <v>0</v>
      </c>
      <c r="D6979" s="2" t="str">
        <f t="shared" ca="1" si="108"/>
        <v>Error?</v>
      </c>
    </row>
    <row r="6980" spans="1:4" x14ac:dyDescent="0.2">
      <c r="A6980">
        <v>6919</v>
      </c>
      <c r="B6980" s="138">
        <f ca="1">'Expenditures 15-22'!J75</f>
        <v>0</v>
      </c>
      <c r="D6980" s="2" t="str">
        <f t="shared" ca="1" si="108"/>
        <v>Error?</v>
      </c>
    </row>
    <row r="6981" spans="1:4" x14ac:dyDescent="0.2">
      <c r="A6981">
        <v>6920</v>
      </c>
      <c r="B6981" s="138">
        <f ca="1">'Expenditures 15-22'!H85</f>
        <v>0</v>
      </c>
      <c r="D6981" s="2" t="str">
        <f t="shared" ca="1" si="108"/>
        <v>Error?</v>
      </c>
    </row>
    <row r="6982" spans="1:4" x14ac:dyDescent="0.2">
      <c r="A6982">
        <v>6921</v>
      </c>
      <c r="B6982" s="138">
        <f ca="1">'Expenditures 15-22'!K85</f>
        <v>0</v>
      </c>
      <c r="D6982" s="2" t="str">
        <f t="shared" ca="1" si="108"/>
        <v>Error?</v>
      </c>
    </row>
    <row r="6983" spans="1:4" x14ac:dyDescent="0.2">
      <c r="A6983">
        <v>6922</v>
      </c>
      <c r="B6983" s="138">
        <f ca="1">'Expenditures 15-22'!H86</f>
        <v>0</v>
      </c>
      <c r="D6983" s="2" t="str">
        <f t="shared" ca="1" si="108"/>
        <v>Error?</v>
      </c>
    </row>
    <row r="6984" spans="1:4" x14ac:dyDescent="0.2">
      <c r="A6984">
        <v>6923</v>
      </c>
      <c r="B6984" s="138">
        <f ca="1">'Expenditures 15-22'!K86</f>
        <v>0</v>
      </c>
      <c r="D6984" s="2" t="str">
        <f t="shared" ca="1" si="108"/>
        <v>Error?</v>
      </c>
    </row>
    <row r="6985" spans="1:4" x14ac:dyDescent="0.2">
      <c r="A6985">
        <v>6924</v>
      </c>
      <c r="B6985" s="138">
        <f ca="1">'Expenditures 15-22'!H87</f>
        <v>0</v>
      </c>
      <c r="D6985" s="2" t="str">
        <f t="shared" ca="1" si="108"/>
        <v>Error?</v>
      </c>
    </row>
    <row r="6986" spans="1:4" x14ac:dyDescent="0.2">
      <c r="A6986">
        <v>6925</v>
      </c>
      <c r="B6986" s="138">
        <f ca="1">'Expenditures 15-22'!K87</f>
        <v>0</v>
      </c>
      <c r="D6986" s="2" t="str">
        <f t="shared" ca="1" si="108"/>
        <v>Error?</v>
      </c>
    </row>
    <row r="6987" spans="1:4" x14ac:dyDescent="0.2">
      <c r="A6987">
        <v>6926</v>
      </c>
      <c r="B6987" s="138">
        <f ca="1">'Expenditures 15-22'!H88</f>
        <v>0</v>
      </c>
      <c r="D6987" s="2" t="str">
        <f t="shared" ca="1" si="108"/>
        <v>Error?</v>
      </c>
    </row>
    <row r="6988" spans="1:4" x14ac:dyDescent="0.2">
      <c r="A6988">
        <v>6927</v>
      </c>
      <c r="B6988" s="138">
        <f ca="1">'Expenditures 15-22'!K88</f>
        <v>0</v>
      </c>
      <c r="D6988" s="2" t="str">
        <f t="shared" ca="1" si="108"/>
        <v>Error?</v>
      </c>
    </row>
    <row r="6989" spans="1:4" x14ac:dyDescent="0.2">
      <c r="A6989">
        <v>6928</v>
      </c>
      <c r="B6989" s="138">
        <f ca="1">'Expenditures 15-22'!H89</f>
        <v>0</v>
      </c>
      <c r="D6989" s="2" t="str">
        <f t="shared" ca="1" si="108"/>
        <v>Error?</v>
      </c>
    </row>
    <row r="6990" spans="1:4" x14ac:dyDescent="0.2">
      <c r="A6990">
        <v>6929</v>
      </c>
      <c r="B6990" s="138">
        <f ca="1">'Expenditures 15-22'!K89</f>
        <v>0</v>
      </c>
      <c r="D6990" s="2" t="str">
        <f t="shared" ca="1" si="108"/>
        <v>Error?</v>
      </c>
    </row>
    <row r="6991" spans="1:4" x14ac:dyDescent="0.2">
      <c r="A6991">
        <v>6930</v>
      </c>
      <c r="B6991" s="138">
        <f ca="1">'Expenditures 15-22'!H90</f>
        <v>0</v>
      </c>
      <c r="D6991" s="2" t="str">
        <f t="shared" ca="1" si="108"/>
        <v>Error?</v>
      </c>
    </row>
    <row r="6992" spans="1:4" x14ac:dyDescent="0.2">
      <c r="A6992">
        <v>6931</v>
      </c>
      <c r="B6992" s="138">
        <f ca="1">'Expenditures 15-22'!K90</f>
        <v>0</v>
      </c>
      <c r="D6992" s="2" t="str">
        <f t="shared" ca="1" si="108"/>
        <v>Error?</v>
      </c>
    </row>
    <row r="6993" spans="1:4" x14ac:dyDescent="0.2">
      <c r="A6993">
        <v>6932</v>
      </c>
      <c r="B6993" s="138">
        <f ca="1">'Expenditures 15-22'!H91</f>
        <v>0</v>
      </c>
      <c r="D6993" s="2" t="str">
        <f t="shared" ca="1" si="108"/>
        <v>Error?</v>
      </c>
    </row>
    <row r="6994" spans="1:4" x14ac:dyDescent="0.2">
      <c r="A6994">
        <v>6933</v>
      </c>
      <c r="B6994" s="138">
        <f ca="1">'Expenditures 15-22'!K91</f>
        <v>0</v>
      </c>
      <c r="D6994" s="2" t="str">
        <f t="shared" ca="1" si="108"/>
        <v>Error?</v>
      </c>
    </row>
    <row r="6995" spans="1:4" x14ac:dyDescent="0.2">
      <c r="A6995">
        <v>6934</v>
      </c>
      <c r="B6995" s="138">
        <f ca="1">'Expenditures 15-22'!H92</f>
        <v>0</v>
      </c>
      <c r="D6995" s="2" t="str">
        <f t="shared" ca="1" si="108"/>
        <v>Error?</v>
      </c>
    </row>
    <row r="6996" spans="1:4" x14ac:dyDescent="0.2">
      <c r="A6996">
        <v>6935</v>
      </c>
      <c r="B6996" s="138">
        <f ca="1">'Expenditures 15-22'!H93</f>
        <v>0</v>
      </c>
      <c r="D6996" s="2" t="str">
        <f t="shared" ca="1" si="108"/>
        <v>Error?</v>
      </c>
    </row>
    <row r="6997" spans="1:4" x14ac:dyDescent="0.2">
      <c r="A6997">
        <v>6936</v>
      </c>
      <c r="B6997" s="138">
        <f ca="1">'Expenditures 15-22'!K93</f>
        <v>0</v>
      </c>
      <c r="D6997" s="2" t="str">
        <f t="shared" ca="1" si="108"/>
        <v>Error?</v>
      </c>
    </row>
    <row r="6998" spans="1:4" x14ac:dyDescent="0.2">
      <c r="A6998">
        <v>6937</v>
      </c>
      <c r="B6998" s="138">
        <f ca="1">'Expenditures 15-22'!H94</f>
        <v>0</v>
      </c>
      <c r="D6998" s="2" t="str">
        <f t="shared" ca="1" si="108"/>
        <v>Error?</v>
      </c>
    </row>
    <row r="6999" spans="1:4" x14ac:dyDescent="0.2">
      <c r="A6999">
        <v>6938</v>
      </c>
      <c r="B6999" s="138">
        <f ca="1">'Expenditures 15-22'!K94</f>
        <v>0</v>
      </c>
      <c r="D6999" s="2" t="str">
        <f t="shared" ca="1" si="108"/>
        <v>Error?</v>
      </c>
    </row>
    <row r="7000" spans="1:4" x14ac:dyDescent="0.2">
      <c r="A7000">
        <v>6939</v>
      </c>
      <c r="B7000" s="138">
        <f ca="1">'Expenditures 15-22'!H95</f>
        <v>0</v>
      </c>
      <c r="D7000" s="2" t="str">
        <f t="shared" ca="1" si="108"/>
        <v>Error?</v>
      </c>
    </row>
    <row r="7001" spans="1:4" x14ac:dyDescent="0.2">
      <c r="A7001">
        <v>6940</v>
      </c>
      <c r="B7001" s="138">
        <f ca="1">'Expenditures 15-22'!K95</f>
        <v>0</v>
      </c>
      <c r="D7001" s="2" t="str">
        <f t="shared" ca="1" si="108"/>
        <v>Error?</v>
      </c>
    </row>
    <row r="7002" spans="1:4" x14ac:dyDescent="0.2">
      <c r="A7002">
        <v>6941</v>
      </c>
      <c r="B7002" s="138">
        <f ca="1">'Expenditures 15-22'!H96</f>
        <v>0</v>
      </c>
      <c r="D7002" s="2" t="str">
        <f t="shared" ca="1" si="108"/>
        <v>Error?</v>
      </c>
    </row>
    <row r="7003" spans="1:4" x14ac:dyDescent="0.2">
      <c r="A7003">
        <v>6942</v>
      </c>
      <c r="B7003" s="138">
        <f ca="1">'Expenditures 15-22'!K96</f>
        <v>0</v>
      </c>
      <c r="D7003" s="2" t="str">
        <f t="shared" ca="1" si="108"/>
        <v>Error?</v>
      </c>
    </row>
    <row r="7004" spans="1:4" x14ac:dyDescent="0.2">
      <c r="A7004">
        <v>6943</v>
      </c>
      <c r="B7004" s="138">
        <f ca="1">'Expenditures 15-22'!H97</f>
        <v>0</v>
      </c>
      <c r="D7004" s="2" t="str">
        <f t="shared" ca="1" si="108"/>
        <v>Error?</v>
      </c>
    </row>
    <row r="7005" spans="1:4" x14ac:dyDescent="0.2">
      <c r="A7005">
        <v>6944</v>
      </c>
      <c r="B7005" s="138">
        <f ca="1">'Expenditures 15-22'!K97</f>
        <v>0</v>
      </c>
      <c r="D7005" s="2" t="str">
        <f t="shared" ca="1" si="108"/>
        <v>Error?</v>
      </c>
    </row>
    <row r="7006" spans="1:4" x14ac:dyDescent="0.2">
      <c r="A7006">
        <v>6945</v>
      </c>
      <c r="B7006" s="138">
        <f ca="1">'Expenditures 15-22'!H98</f>
        <v>0</v>
      </c>
      <c r="D7006" s="2" t="str">
        <f t="shared" ca="1" si="108"/>
        <v>Error?</v>
      </c>
    </row>
    <row r="7007" spans="1:4" x14ac:dyDescent="0.2">
      <c r="A7007">
        <v>6946</v>
      </c>
      <c r="B7007" s="138">
        <f ca="1">'Expenditures 15-22'!K98</f>
        <v>0</v>
      </c>
      <c r="D7007" s="2" t="str">
        <f t="shared" ca="1" si="108"/>
        <v>Error?</v>
      </c>
    </row>
    <row r="7008" spans="1:4" x14ac:dyDescent="0.2">
      <c r="A7008">
        <v>6947</v>
      </c>
      <c r="B7008" s="138">
        <f ca="1">'Expenditures 15-22'!E99</f>
        <v>0</v>
      </c>
      <c r="D7008" s="2" t="str">
        <f t="shared" ca="1" si="108"/>
        <v>Error?</v>
      </c>
    </row>
    <row r="7009" spans="1:4" x14ac:dyDescent="0.2">
      <c r="A7009">
        <v>6948</v>
      </c>
      <c r="B7009" s="138">
        <f ca="1">'Expenditures 15-22'!H99</f>
        <v>0</v>
      </c>
      <c r="D7009" s="2" t="str">
        <f t="shared" ca="1" si="108"/>
        <v>Error?</v>
      </c>
    </row>
    <row r="7010" spans="1:4" x14ac:dyDescent="0.2">
      <c r="A7010">
        <v>6949</v>
      </c>
      <c r="B7010" s="138">
        <f ca="1">'Expenditures 15-22'!K99</f>
        <v>0</v>
      </c>
      <c r="D7010" s="2" t="str">
        <f t="shared" ca="1" si="108"/>
        <v>Error?</v>
      </c>
    </row>
    <row r="7011" spans="1:4" x14ac:dyDescent="0.2">
      <c r="A7011">
        <v>6950</v>
      </c>
      <c r="B7011" s="138">
        <f ca="1">'Expenditures 15-22'!E100</f>
        <v>0</v>
      </c>
      <c r="D7011" s="2" t="str">
        <f t="shared" ca="1" si="108"/>
        <v>Error?</v>
      </c>
    </row>
    <row r="7012" spans="1:4" x14ac:dyDescent="0.2">
      <c r="A7012">
        <v>6951</v>
      </c>
      <c r="B7012" s="138">
        <f ca="1">'Expenditures 15-22'!H100</f>
        <v>0</v>
      </c>
      <c r="D7012" s="2" t="str">
        <f t="shared" ca="1" si="108"/>
        <v>Error?</v>
      </c>
    </row>
    <row r="7013" spans="1:4" x14ac:dyDescent="0.2">
      <c r="A7013">
        <v>6952</v>
      </c>
      <c r="B7013" s="138">
        <f ca="1">'Expenditures 15-22'!K100</f>
        <v>0</v>
      </c>
      <c r="D7013" s="2" t="str">
        <f t="shared" ca="1" si="108"/>
        <v>Error?</v>
      </c>
    </row>
    <row r="7014" spans="1:4" x14ac:dyDescent="0.2">
      <c r="A7014">
        <v>6953</v>
      </c>
      <c r="B7014" s="138">
        <f ca="1">'Expenditures 15-22'!H101</f>
        <v>0</v>
      </c>
      <c r="D7014" s="2" t="str">
        <f t="shared" ca="1" si="108"/>
        <v>Error?</v>
      </c>
    </row>
    <row r="7015" spans="1:4" x14ac:dyDescent="0.2">
      <c r="A7015">
        <v>6954</v>
      </c>
      <c r="B7015" s="138">
        <f ca="1">'Expenditures 15-22'!K101</f>
        <v>0</v>
      </c>
      <c r="D7015" s="2" t="str">
        <f t="shared" ca="1" si="108"/>
        <v>Error?</v>
      </c>
    </row>
    <row r="7016" spans="1:4" x14ac:dyDescent="0.2">
      <c r="A7016">
        <v>6955</v>
      </c>
      <c r="B7016" s="138">
        <f ca="1">'Expenditures 15-22'!H111</f>
        <v>0</v>
      </c>
      <c r="D7016" s="2" t="str">
        <f t="shared" ca="1" si="108"/>
        <v>Error?</v>
      </c>
    </row>
    <row r="7017" spans="1:4" x14ac:dyDescent="0.2">
      <c r="A7017">
        <v>6956</v>
      </c>
      <c r="B7017" s="138">
        <f ca="1">'Expenditures 15-22'!K111</f>
        <v>0</v>
      </c>
      <c r="D7017" s="2" t="str">
        <f t="shared" ca="1" si="108"/>
        <v>Error?</v>
      </c>
    </row>
    <row r="7018" spans="1:4" x14ac:dyDescent="0.2">
      <c r="A7018">
        <v>6957</v>
      </c>
      <c r="B7018" s="138">
        <f ca="1">'Expenditures 15-22'!H112</f>
        <v>0</v>
      </c>
      <c r="D7018" s="2" t="str">
        <f t="shared" ca="1" si="108"/>
        <v>Error?</v>
      </c>
    </row>
    <row r="7019" spans="1:4" x14ac:dyDescent="0.2">
      <c r="A7019">
        <v>6958</v>
      </c>
      <c r="B7019" s="138">
        <f ca="1">'Expenditures 15-22'!K112</f>
        <v>0</v>
      </c>
      <c r="D7019" s="2" t="str">
        <f t="shared" ca="1" si="108"/>
        <v>Error?</v>
      </c>
    </row>
    <row r="7020" spans="1:4" x14ac:dyDescent="0.2">
      <c r="A7020">
        <v>6959</v>
      </c>
      <c r="B7020" s="138">
        <f ca="1">'Expenditures 15-22'!I114</f>
        <v>0</v>
      </c>
      <c r="D7020" s="2" t="str">
        <f t="shared" ca="1" si="108"/>
        <v>Error?</v>
      </c>
    </row>
    <row r="7021" spans="1:4" x14ac:dyDescent="0.2">
      <c r="A7021">
        <v>6960</v>
      </c>
      <c r="B7021" s="138">
        <f ca="1">'Expenditures 15-22'!J114</f>
        <v>0</v>
      </c>
      <c r="D7021" s="2" t="str">
        <f t="shared" ca="1" si="108"/>
        <v>Error?</v>
      </c>
    </row>
    <row r="7022" spans="1:4" x14ac:dyDescent="0.2">
      <c r="A7022">
        <v>6961</v>
      </c>
      <c r="B7022" s="138">
        <f ca="1">'Expenditures 15-22'!I120</f>
        <v>0</v>
      </c>
      <c r="D7022" s="2" t="str">
        <f t="shared" ca="1" si="108"/>
        <v>Error?</v>
      </c>
    </row>
    <row r="7023" spans="1:4" x14ac:dyDescent="0.2">
      <c r="A7023">
        <v>6962</v>
      </c>
      <c r="B7023" s="138">
        <f ca="1">'Expenditures 15-22'!J120</f>
        <v>0</v>
      </c>
      <c r="D7023" s="2" t="str">
        <f t="shared" ca="1" si="108"/>
        <v>Error?</v>
      </c>
    </row>
    <row r="7024" spans="1:4" x14ac:dyDescent="0.2">
      <c r="A7024">
        <v>6963</v>
      </c>
      <c r="B7024" s="138">
        <f ca="1">'Expenditures 15-22'!I122</f>
        <v>0</v>
      </c>
      <c r="D7024" s="2" t="str">
        <f t="shared" ca="1" si="108"/>
        <v>Error?</v>
      </c>
    </row>
    <row r="7025" spans="1:4" x14ac:dyDescent="0.2">
      <c r="A7025">
        <v>6964</v>
      </c>
      <c r="B7025" s="138">
        <f ca="1">'Expenditures 15-22'!J122</f>
        <v>0</v>
      </c>
      <c r="D7025" s="2" t="str">
        <f t="shared" ca="1" si="108"/>
        <v>Error?</v>
      </c>
    </row>
    <row r="7026" spans="1:4" x14ac:dyDescent="0.2">
      <c r="A7026">
        <v>6965</v>
      </c>
      <c r="B7026" s="138">
        <f ca="1">'Expenditures 15-22'!I123</f>
        <v>0</v>
      </c>
      <c r="D7026" s="2" t="str">
        <f t="shared" ca="1" si="108"/>
        <v>Error?</v>
      </c>
    </row>
    <row r="7027" spans="1:4" x14ac:dyDescent="0.2">
      <c r="A7027">
        <v>6966</v>
      </c>
      <c r="B7027" s="138">
        <f ca="1">'Expenditures 15-22'!J123</f>
        <v>0</v>
      </c>
      <c r="D7027" s="2" t="str">
        <f t="shared" ca="1" si="108"/>
        <v>Error?</v>
      </c>
    </row>
    <row r="7028" spans="1:4" x14ac:dyDescent="0.2">
      <c r="A7028">
        <v>6967</v>
      </c>
      <c r="B7028" s="138">
        <f ca="1">'Expenditures 15-22'!I124</f>
        <v>0</v>
      </c>
      <c r="D7028" s="2" t="str">
        <f t="shared" ca="1" si="108"/>
        <v>Error?</v>
      </c>
    </row>
    <row r="7029" spans="1:4" x14ac:dyDescent="0.2">
      <c r="A7029">
        <v>6968</v>
      </c>
      <c r="B7029" s="138">
        <f ca="1">'Expenditures 15-22'!J124</f>
        <v>0</v>
      </c>
      <c r="D7029" s="2" t="str">
        <f t="shared" ca="1" si="108"/>
        <v>Error?</v>
      </c>
    </row>
    <row r="7030" spans="1:4" x14ac:dyDescent="0.2">
      <c r="A7030">
        <v>6969</v>
      </c>
      <c r="B7030" s="138">
        <f ca="1">'Expenditures 15-22'!I125</f>
        <v>0</v>
      </c>
      <c r="D7030" s="2" t="str">
        <f t="shared" ca="1" si="108"/>
        <v>Error?</v>
      </c>
    </row>
    <row r="7031" spans="1:4" x14ac:dyDescent="0.2">
      <c r="A7031">
        <v>6970</v>
      </c>
      <c r="B7031" s="138">
        <f ca="1">'Expenditures 15-22'!J125</f>
        <v>0</v>
      </c>
      <c r="D7031" s="2" t="str">
        <f t="shared" ca="1" si="108"/>
        <v>Error?</v>
      </c>
    </row>
    <row r="7032" spans="1:4" x14ac:dyDescent="0.2">
      <c r="A7032">
        <v>6971</v>
      </c>
      <c r="B7032" s="138">
        <f ca="1">'Expenditures 15-22'!I126</f>
        <v>0</v>
      </c>
      <c r="D7032" s="2" t="str">
        <f t="shared" ca="1" si="108"/>
        <v>Error?</v>
      </c>
    </row>
    <row r="7033" spans="1:4" x14ac:dyDescent="0.2">
      <c r="A7033">
        <v>6972</v>
      </c>
      <c r="B7033" s="138">
        <f ca="1">'Expenditures 15-22'!I127</f>
        <v>0</v>
      </c>
      <c r="D7033" s="2" t="str">
        <f t="shared" ca="1" si="108"/>
        <v>Error?</v>
      </c>
    </row>
    <row r="7034" spans="1:4" x14ac:dyDescent="0.2">
      <c r="A7034">
        <v>6973</v>
      </c>
      <c r="B7034" s="138">
        <f ca="1">'Expenditures 15-22'!J127</f>
        <v>0</v>
      </c>
      <c r="D7034" s="2" t="str">
        <f t="shared" ca="1" si="108"/>
        <v>Error?</v>
      </c>
    </row>
    <row r="7035" spans="1:4" x14ac:dyDescent="0.2">
      <c r="A7035">
        <v>6974</v>
      </c>
      <c r="B7035" s="138">
        <f ca="1">'Expenditures 15-22'!I128</f>
        <v>0</v>
      </c>
      <c r="D7035" s="2" t="str">
        <f t="shared" ca="1" si="108"/>
        <v>Error?</v>
      </c>
    </row>
    <row r="7036" spans="1:4" x14ac:dyDescent="0.2">
      <c r="A7036">
        <v>6975</v>
      </c>
      <c r="B7036" s="138">
        <f ca="1">'Expenditures 15-22'!J128</f>
        <v>0</v>
      </c>
      <c r="D7036" s="2" t="str">
        <f t="shared" ca="1" si="108"/>
        <v>Error?</v>
      </c>
    </row>
    <row r="7037" spans="1:4" x14ac:dyDescent="0.2">
      <c r="A7037">
        <v>6976</v>
      </c>
      <c r="B7037" s="138">
        <f ca="1">'Expenditures 15-22'!I129</f>
        <v>0</v>
      </c>
      <c r="D7037" s="2" t="str">
        <f t="shared" ca="1" si="108"/>
        <v>Error?</v>
      </c>
    </row>
    <row r="7038" spans="1:4" x14ac:dyDescent="0.2">
      <c r="A7038">
        <v>6977</v>
      </c>
      <c r="B7038" s="138">
        <f ca="1">'Expenditures 15-22'!J129</f>
        <v>0</v>
      </c>
      <c r="D7038" s="2" t="str">
        <f t="shared" ca="1" si="108"/>
        <v>Error?</v>
      </c>
    </row>
    <row r="7039" spans="1:4" x14ac:dyDescent="0.2">
      <c r="A7039">
        <v>6978</v>
      </c>
      <c r="B7039" s="138">
        <f ca="1">'Expenditures 15-22'!I130</f>
        <v>0</v>
      </c>
      <c r="D7039" s="2" t="str">
        <f t="shared" ref="D7039:D7102" ca="1" si="109">IF(ISBLANK(B7039),"OK",IF(A7039-B7039=0,"OK","Error?"))</f>
        <v>Error?</v>
      </c>
    </row>
    <row r="7040" spans="1:4" x14ac:dyDescent="0.2">
      <c r="A7040">
        <v>6979</v>
      </c>
      <c r="B7040" s="138">
        <f ca="1">'Expenditures 15-22'!J130</f>
        <v>0</v>
      </c>
      <c r="D7040" s="2" t="str">
        <f t="shared" ca="1" si="109"/>
        <v>Error?</v>
      </c>
    </row>
    <row r="7041" spans="1:5" x14ac:dyDescent="0.2">
      <c r="A7041">
        <v>6980</v>
      </c>
      <c r="B7041" s="138">
        <f ca="1">'Revenues 9-14'!J266</f>
        <v>0</v>
      </c>
      <c r="D7041" s="2" t="str">
        <f t="shared" ca="1" si="109"/>
        <v>Error?</v>
      </c>
    </row>
    <row r="7042" spans="1:5" x14ac:dyDescent="0.2">
      <c r="A7042">
        <v>6981</v>
      </c>
      <c r="B7042" s="138">
        <f ca="1">'Acct Summary 7-8'!J13</f>
        <v>38115</v>
      </c>
      <c r="D7042" s="2" t="str">
        <f t="shared" ca="1" si="109"/>
        <v>Error?</v>
      </c>
    </row>
    <row r="7043" spans="1:5" x14ac:dyDescent="0.2">
      <c r="A7043">
        <v>6982</v>
      </c>
      <c r="B7043" s="138">
        <f ca="1">'Revenues 9-14'!H9</f>
        <v>0</v>
      </c>
      <c r="D7043" s="2" t="str">
        <f t="shared" ca="1" si="109"/>
        <v>Error?</v>
      </c>
    </row>
    <row r="7044" spans="1:5" x14ac:dyDescent="0.2">
      <c r="A7044">
        <v>6983</v>
      </c>
      <c r="B7044" s="138">
        <f ca="1">'Revenues 9-14'!D106</f>
        <v>0</v>
      </c>
      <c r="D7044" s="2" t="str">
        <f t="shared" ca="1" si="109"/>
        <v>Error?</v>
      </c>
    </row>
    <row r="7045" spans="1:5" x14ac:dyDescent="0.2">
      <c r="A7045">
        <v>6984</v>
      </c>
      <c r="B7045" s="138">
        <f ca="1">'Revenues 9-14'!E106</f>
        <v>0</v>
      </c>
      <c r="D7045" s="2" t="str">
        <f t="shared" ca="1" si="109"/>
        <v>Error?</v>
      </c>
    </row>
    <row r="7046" spans="1:5" x14ac:dyDescent="0.2">
      <c r="A7046">
        <v>6985</v>
      </c>
      <c r="B7046" s="138">
        <f ca="1">'Revenues 9-14'!F106</f>
        <v>0</v>
      </c>
      <c r="D7046" s="2" t="str">
        <f t="shared" ca="1" si="109"/>
        <v>Error?</v>
      </c>
    </row>
    <row r="7047" spans="1:5" x14ac:dyDescent="0.2">
      <c r="A7047">
        <v>6986</v>
      </c>
      <c r="B7047" s="138">
        <f ca="1">'Expenditures 15-22'!H147</f>
        <v>0</v>
      </c>
      <c r="D7047" s="2" t="str">
        <f t="shared" ca="1" si="109"/>
        <v>Error?</v>
      </c>
    </row>
    <row r="7048" spans="1:5" x14ac:dyDescent="0.2">
      <c r="A7048">
        <v>6987</v>
      </c>
      <c r="B7048" s="138">
        <f ca="1">'Expenditures 15-22'!K147</f>
        <v>0</v>
      </c>
      <c r="D7048" s="2" t="str">
        <f t="shared" ca="1" si="109"/>
        <v>Error?</v>
      </c>
    </row>
    <row r="7049" spans="1:5" x14ac:dyDescent="0.2">
      <c r="A7049">
        <v>6988</v>
      </c>
      <c r="B7049" s="138">
        <f ca="1">'Expenditures 15-22'!H148</f>
        <v>0</v>
      </c>
      <c r="D7049" s="2" t="str">
        <f t="shared" ca="1" si="109"/>
        <v>Error?</v>
      </c>
    </row>
    <row r="7050" spans="1:5" x14ac:dyDescent="0.2">
      <c r="A7050">
        <v>6989</v>
      </c>
      <c r="B7050" s="138">
        <f ca="1">'Expenditures 15-22'!K148</f>
        <v>0</v>
      </c>
      <c r="D7050" s="2" t="str">
        <f t="shared" ca="1" si="109"/>
        <v>Error?</v>
      </c>
    </row>
    <row r="7051" spans="1:5" x14ac:dyDescent="0.2">
      <c r="A7051">
        <v>6990</v>
      </c>
      <c r="B7051" s="138">
        <f ca="1">'Expenditures 15-22'!I151</f>
        <v>0</v>
      </c>
      <c r="D7051" s="2" t="str">
        <f t="shared" ca="1" si="109"/>
        <v>Error?</v>
      </c>
    </row>
    <row r="7052" spans="1:5" x14ac:dyDescent="0.2">
      <c r="A7052">
        <v>6991</v>
      </c>
      <c r="B7052" s="138">
        <f ca="1">'Expenditures 15-22'!J151</f>
        <v>0</v>
      </c>
      <c r="D7052" s="2" t="str">
        <f t="shared" ca="1" si="109"/>
        <v>Error?</v>
      </c>
    </row>
    <row r="7053" spans="1:5" x14ac:dyDescent="0.2">
      <c r="A7053">
        <v>6992</v>
      </c>
      <c r="B7053" s="138">
        <f>'Expenditures 15-22'!H155</f>
        <v>0</v>
      </c>
      <c r="D7053" s="2" t="str">
        <f t="shared" si="109"/>
        <v>Error?</v>
      </c>
    </row>
    <row r="7054" spans="1:5" x14ac:dyDescent="0.2">
      <c r="A7054">
        <v>6993</v>
      </c>
      <c r="B7054" s="138">
        <f ca="1">'Revenues 9-14'!J267</f>
        <v>0</v>
      </c>
      <c r="D7054" s="2" t="str">
        <f t="shared" ca="1" si="109"/>
        <v>Error?</v>
      </c>
      <c r="E7054" s="2" t="s">
        <v>114</v>
      </c>
    </row>
    <row r="7055" spans="1:5" x14ac:dyDescent="0.2">
      <c r="A7055">
        <v>6994</v>
      </c>
      <c r="B7055" s="138">
        <f ca="1">'Revenues 9-14'!J268</f>
        <v>90006</v>
      </c>
      <c r="D7055" s="2" t="str">
        <f t="shared" ca="1" si="109"/>
        <v>Error?</v>
      </c>
      <c r="E7055" s="2" t="s">
        <v>114</v>
      </c>
    </row>
    <row r="7056" spans="1:5" x14ac:dyDescent="0.2">
      <c r="A7056">
        <v>6995</v>
      </c>
      <c r="D7056" s="2" t="str">
        <f t="shared" si="109"/>
        <v>OK</v>
      </c>
      <c r="E7056" s="2" t="s">
        <v>114</v>
      </c>
    </row>
    <row r="7057" spans="1:4" x14ac:dyDescent="0.2">
      <c r="A7057">
        <v>6996</v>
      </c>
      <c r="B7057" s="138">
        <f ca="1">'Expenditures 15-22'!I180</f>
        <v>0</v>
      </c>
      <c r="D7057" s="2" t="str">
        <f t="shared" ca="1" si="109"/>
        <v>Error?</v>
      </c>
    </row>
    <row r="7058" spans="1:4" x14ac:dyDescent="0.2">
      <c r="A7058">
        <v>6997</v>
      </c>
      <c r="B7058" s="138">
        <f ca="1">'Expenditures 15-22'!J180</f>
        <v>0</v>
      </c>
      <c r="D7058" s="2" t="str">
        <f t="shared" ca="1" si="109"/>
        <v>Error?</v>
      </c>
    </row>
    <row r="7059" spans="1:4" x14ac:dyDescent="0.2">
      <c r="A7059">
        <v>6998</v>
      </c>
      <c r="B7059" s="138">
        <f ca="1">'Expenditures 15-22'!I182</f>
        <v>0</v>
      </c>
      <c r="D7059" s="2" t="str">
        <f t="shared" ca="1" si="109"/>
        <v>Error?</v>
      </c>
    </row>
    <row r="7060" spans="1:4" x14ac:dyDescent="0.2">
      <c r="A7060">
        <v>6999</v>
      </c>
      <c r="B7060" s="138">
        <f ca="1">'Expenditures 15-22'!J182</f>
        <v>0</v>
      </c>
      <c r="D7060" s="2" t="str">
        <f t="shared" ca="1" si="109"/>
        <v>Error?</v>
      </c>
    </row>
    <row r="7061" spans="1:4" x14ac:dyDescent="0.2">
      <c r="A7061">
        <v>7000</v>
      </c>
      <c r="B7061" s="138">
        <f ca="1">'Expenditures 15-22'!I183</f>
        <v>0</v>
      </c>
      <c r="D7061" s="2" t="str">
        <f t="shared" ca="1" si="109"/>
        <v>Error?</v>
      </c>
    </row>
    <row r="7062" spans="1:4" x14ac:dyDescent="0.2">
      <c r="A7062">
        <v>7001</v>
      </c>
      <c r="B7062" s="138">
        <f ca="1">'Expenditures 15-22'!J183</f>
        <v>0</v>
      </c>
      <c r="D7062" s="2" t="str">
        <f t="shared" ca="1" si="109"/>
        <v>Error?</v>
      </c>
    </row>
    <row r="7063" spans="1:4" x14ac:dyDescent="0.2">
      <c r="A7063">
        <v>7002</v>
      </c>
      <c r="B7063" s="138">
        <f ca="1">'Expenditures 15-22'!I184</f>
        <v>0</v>
      </c>
      <c r="D7063" s="2" t="str">
        <f t="shared" ca="1" si="109"/>
        <v>Error?</v>
      </c>
    </row>
    <row r="7064" spans="1:4" x14ac:dyDescent="0.2">
      <c r="A7064">
        <v>7003</v>
      </c>
      <c r="B7064" s="138">
        <f ca="1">'Expenditures 15-22'!J184</f>
        <v>0</v>
      </c>
      <c r="D7064" s="2" t="str">
        <f t="shared" ca="1" si="109"/>
        <v>Error?</v>
      </c>
    </row>
    <row r="7065" spans="1:4" x14ac:dyDescent="0.2">
      <c r="A7065">
        <v>7004</v>
      </c>
      <c r="B7065" s="138">
        <f ca="1">'Expenditures 15-22'!I185</f>
        <v>0</v>
      </c>
      <c r="D7065" s="2" t="str">
        <f t="shared" ca="1" si="109"/>
        <v>Error?</v>
      </c>
    </row>
    <row r="7066" spans="1:4" x14ac:dyDescent="0.2">
      <c r="A7066">
        <v>7005</v>
      </c>
      <c r="B7066" s="138">
        <f ca="1">'Expenditures 15-22'!J185</f>
        <v>0</v>
      </c>
      <c r="D7066" s="2" t="str">
        <f t="shared" ca="1" si="109"/>
        <v>Error?</v>
      </c>
    </row>
    <row r="7067" spans="1:4" x14ac:dyDescent="0.2">
      <c r="A7067">
        <v>7006</v>
      </c>
      <c r="B7067" s="138">
        <f ca="1">'Expenditures 15-22'!H205</f>
        <v>0</v>
      </c>
      <c r="D7067" s="2" t="str">
        <f t="shared" ca="1" si="109"/>
        <v>Error?</v>
      </c>
    </row>
    <row r="7068" spans="1:4" x14ac:dyDescent="0.2">
      <c r="A7068">
        <v>7007</v>
      </c>
      <c r="B7068" s="138">
        <f ca="1">'Expenditures 15-22'!K205</f>
        <v>0</v>
      </c>
      <c r="D7068" s="2" t="str">
        <f t="shared" ca="1" si="109"/>
        <v>Error?</v>
      </c>
    </row>
    <row r="7069" spans="1:4" x14ac:dyDescent="0.2">
      <c r="A7069">
        <v>7008</v>
      </c>
      <c r="B7069" s="138">
        <f ca="1">'Expenditures 15-22'!H207</f>
        <v>0</v>
      </c>
      <c r="D7069" s="2" t="str">
        <f t="shared" ca="1" si="109"/>
        <v>Error?</v>
      </c>
    </row>
    <row r="7070" spans="1:4" x14ac:dyDescent="0.2">
      <c r="A7070">
        <v>7009</v>
      </c>
      <c r="B7070" s="138">
        <f ca="1">'Expenditures 15-22'!K207</f>
        <v>0</v>
      </c>
      <c r="D7070" s="2" t="str">
        <f t="shared" ca="1" si="109"/>
        <v>Error?</v>
      </c>
    </row>
    <row r="7071" spans="1:4" x14ac:dyDescent="0.2">
      <c r="A7071">
        <v>7010</v>
      </c>
      <c r="B7071" s="138">
        <f ca="1">'Expenditures 15-22'!I210</f>
        <v>0</v>
      </c>
      <c r="D7071" s="2" t="str">
        <f t="shared" ca="1" si="109"/>
        <v>Error?</v>
      </c>
    </row>
    <row r="7072" spans="1:4" x14ac:dyDescent="0.2">
      <c r="A7072">
        <v>7011</v>
      </c>
      <c r="B7072" s="138">
        <f ca="1">'Expenditures 15-22'!J210</f>
        <v>0</v>
      </c>
      <c r="D7072" s="2" t="str">
        <f t="shared" ca="1" si="109"/>
        <v>Error?</v>
      </c>
    </row>
    <row r="7073" spans="1:4" x14ac:dyDescent="0.2">
      <c r="A7073">
        <v>7012</v>
      </c>
      <c r="B7073" s="138">
        <f ca="1">'Expenditures 15-22'!D216</f>
        <v>2180</v>
      </c>
      <c r="D7073" s="2" t="str">
        <f t="shared" ca="1" si="109"/>
        <v>Error?</v>
      </c>
    </row>
    <row r="7074" spans="1:4" x14ac:dyDescent="0.2">
      <c r="A7074">
        <v>7013</v>
      </c>
      <c r="B7074" s="138">
        <f ca="1">'Expenditures 15-22'!K216</f>
        <v>2180</v>
      </c>
      <c r="D7074" s="2" t="str">
        <f t="shared" ca="1" si="109"/>
        <v>Error?</v>
      </c>
    </row>
    <row r="7075" spans="1:4" x14ac:dyDescent="0.2">
      <c r="A7075">
        <v>7014</v>
      </c>
      <c r="B7075" s="138">
        <f ca="1">'Expenditures 15-22'!D218</f>
        <v>0</v>
      </c>
      <c r="D7075" s="2" t="str">
        <f t="shared" ca="1" si="109"/>
        <v>Error?</v>
      </c>
    </row>
    <row r="7076" spans="1:4" x14ac:dyDescent="0.2">
      <c r="A7076">
        <v>7015</v>
      </c>
      <c r="B7076" s="138">
        <f ca="1">'Expenditures 15-22'!K218</f>
        <v>0</v>
      </c>
      <c r="D7076" s="2" t="str">
        <f t="shared" ca="1" si="109"/>
        <v>Error?</v>
      </c>
    </row>
    <row r="7077" spans="1:4" x14ac:dyDescent="0.2">
      <c r="A7077">
        <v>7016</v>
      </c>
      <c r="B7077" s="138">
        <f ca="1">'Expenditures 15-22'!D220</f>
        <v>0</v>
      </c>
      <c r="D7077" s="2" t="str">
        <f t="shared" ca="1" si="109"/>
        <v>Error?</v>
      </c>
    </row>
    <row r="7078" spans="1:4" x14ac:dyDescent="0.2">
      <c r="A7078">
        <v>7017</v>
      </c>
      <c r="B7078" s="138">
        <f ca="1">'Expenditures 15-22'!K220</f>
        <v>0</v>
      </c>
      <c r="D7078" s="2" t="str">
        <f t="shared" ca="1" si="109"/>
        <v>Error?</v>
      </c>
    </row>
    <row r="7079" spans="1:4" x14ac:dyDescent="0.2">
      <c r="A7079">
        <v>7018</v>
      </c>
      <c r="B7079" s="138">
        <f ca="1">'Expenditures 15-22'!D226</f>
        <v>0</v>
      </c>
      <c r="D7079" s="2" t="str">
        <f t="shared" ca="1" si="109"/>
        <v>Error?</v>
      </c>
    </row>
    <row r="7080" spans="1:4" x14ac:dyDescent="0.2">
      <c r="A7080">
        <v>7019</v>
      </c>
      <c r="B7080" s="138">
        <f ca="1">'Expenditures 15-22'!K226</f>
        <v>0</v>
      </c>
      <c r="D7080" s="2" t="str">
        <f t="shared" ca="1" si="109"/>
        <v>Error?</v>
      </c>
    </row>
    <row r="7081" spans="1:4" x14ac:dyDescent="0.2">
      <c r="A7081">
        <v>7020</v>
      </c>
      <c r="B7081" s="138">
        <f ca="1">'Expenditures 15-22'!D248</f>
        <v>0</v>
      </c>
      <c r="D7081" s="2" t="str">
        <f t="shared" ca="1" si="109"/>
        <v>Error?</v>
      </c>
    </row>
    <row r="7082" spans="1:4" x14ac:dyDescent="0.2">
      <c r="A7082">
        <v>7021</v>
      </c>
      <c r="B7082" s="138">
        <f ca="1">'Expenditures 15-22'!K248</f>
        <v>0</v>
      </c>
      <c r="D7082" s="2" t="str">
        <f t="shared" ca="1" si="109"/>
        <v>Error?</v>
      </c>
    </row>
    <row r="7083" spans="1:4" x14ac:dyDescent="0.2">
      <c r="A7083">
        <v>7022</v>
      </c>
      <c r="B7083" s="138">
        <f ca="1">'Expenditures 15-22'!D249</f>
        <v>0</v>
      </c>
      <c r="D7083" s="2" t="str">
        <f t="shared" ca="1" si="109"/>
        <v>Error?</v>
      </c>
    </row>
    <row r="7084" spans="1:4" x14ac:dyDescent="0.2">
      <c r="A7084">
        <v>7023</v>
      </c>
      <c r="B7084" s="138">
        <f ca="1">'Expenditures 15-22'!K249</f>
        <v>0</v>
      </c>
      <c r="D7084" s="2" t="str">
        <f t="shared" ca="1" si="109"/>
        <v>Error?</v>
      </c>
    </row>
    <row r="7085" spans="1:4" x14ac:dyDescent="0.2">
      <c r="A7085">
        <v>7024</v>
      </c>
      <c r="B7085" s="138">
        <f ca="1">'Expenditures 15-22'!D250</f>
        <v>0</v>
      </c>
      <c r="D7085" s="2" t="str">
        <f t="shared" ca="1" si="109"/>
        <v>Error?</v>
      </c>
    </row>
    <row r="7086" spans="1:4" x14ac:dyDescent="0.2">
      <c r="A7086">
        <v>7025</v>
      </c>
      <c r="B7086" s="138">
        <f ca="1">'Expenditures 15-22'!K250</f>
        <v>0</v>
      </c>
      <c r="D7086" s="2" t="str">
        <f t="shared" ca="1" si="109"/>
        <v>Error?</v>
      </c>
    </row>
    <row r="7087" spans="1:4" x14ac:dyDescent="0.2">
      <c r="A7087">
        <v>7026</v>
      </c>
      <c r="B7087" s="138">
        <f ca="1">'Expenditures 15-22'!D251</f>
        <v>0</v>
      </c>
      <c r="D7087" s="2" t="str">
        <f t="shared" ca="1" si="109"/>
        <v>Error?</v>
      </c>
    </row>
    <row r="7088" spans="1:4" x14ac:dyDescent="0.2">
      <c r="A7088">
        <v>7027</v>
      </c>
      <c r="B7088" s="138">
        <f ca="1">'Expenditures 15-22'!K251</f>
        <v>0</v>
      </c>
      <c r="D7088" s="2" t="str">
        <f t="shared" ca="1" si="109"/>
        <v>Error?</v>
      </c>
    </row>
    <row r="7089" spans="1:4" x14ac:dyDescent="0.2">
      <c r="A7089">
        <v>7028</v>
      </c>
      <c r="B7089" s="138">
        <f ca="1">'Expenditures 15-22'!D252</f>
        <v>118</v>
      </c>
      <c r="D7089" s="2" t="str">
        <f t="shared" ca="1" si="109"/>
        <v>Error?</v>
      </c>
    </row>
    <row r="7090" spans="1:4" x14ac:dyDescent="0.2">
      <c r="A7090">
        <v>7029</v>
      </c>
      <c r="B7090" s="138">
        <f ca="1">'Expenditures 15-22'!K252</f>
        <v>118</v>
      </c>
      <c r="D7090" s="2" t="str">
        <f t="shared" ca="1" si="109"/>
        <v>Error?</v>
      </c>
    </row>
    <row r="7091" spans="1:4" x14ac:dyDescent="0.2">
      <c r="A7091">
        <v>7030</v>
      </c>
      <c r="B7091" s="138">
        <f ca="1">'Expenditures 15-22'!D253</f>
        <v>0</v>
      </c>
      <c r="D7091" s="2" t="str">
        <f t="shared" ca="1" si="109"/>
        <v>Error?</v>
      </c>
    </row>
    <row r="7092" spans="1:4" x14ac:dyDescent="0.2">
      <c r="A7092">
        <v>7031</v>
      </c>
      <c r="B7092" s="138">
        <f ca="1">'Expenditures 15-22'!K253</f>
        <v>0</v>
      </c>
      <c r="D7092" s="2" t="str">
        <f t="shared" ca="1" si="109"/>
        <v>Error?</v>
      </c>
    </row>
    <row r="7093" spans="1:4" x14ac:dyDescent="0.2">
      <c r="A7093">
        <v>7032</v>
      </c>
      <c r="B7093" s="138">
        <f ca="1">'Expenditures 15-22'!D254</f>
        <v>0</v>
      </c>
      <c r="D7093" s="2" t="str">
        <f t="shared" ca="1" si="109"/>
        <v>Error?</v>
      </c>
    </row>
    <row r="7094" spans="1:4" x14ac:dyDescent="0.2">
      <c r="A7094">
        <v>7033</v>
      </c>
      <c r="B7094" s="138">
        <f ca="1">'Expenditures 15-22'!K254</f>
        <v>0</v>
      </c>
      <c r="D7094" s="2" t="str">
        <f t="shared" ca="1" si="109"/>
        <v>Error?</v>
      </c>
    </row>
    <row r="7095" spans="1:4" x14ac:dyDescent="0.2">
      <c r="A7095">
        <v>7034</v>
      </c>
      <c r="B7095" s="138">
        <f ca="1">'Expenditures 15-22'!D255</f>
        <v>0</v>
      </c>
      <c r="D7095" s="2" t="str">
        <f t="shared" ca="1" si="109"/>
        <v>Error?</v>
      </c>
    </row>
    <row r="7096" spans="1:4" x14ac:dyDescent="0.2">
      <c r="A7096">
        <v>7035</v>
      </c>
      <c r="B7096" s="138">
        <f ca="1">'Expenditures 15-22'!K255</f>
        <v>0</v>
      </c>
      <c r="D7096" s="2" t="str">
        <f t="shared" ca="1" si="109"/>
        <v>Error?</v>
      </c>
    </row>
    <row r="7097" spans="1:4" x14ac:dyDescent="0.2">
      <c r="A7097">
        <v>7036</v>
      </c>
      <c r="B7097" s="138">
        <f ca="1">'Expenditures 15-22'!D256</f>
        <v>0</v>
      </c>
      <c r="D7097" s="2" t="str">
        <f t="shared" ca="1" si="109"/>
        <v>Error?</v>
      </c>
    </row>
    <row r="7098" spans="1:4" x14ac:dyDescent="0.2">
      <c r="A7098">
        <v>7037</v>
      </c>
      <c r="B7098" s="138">
        <f ca="1">'Expenditures 15-22'!K256</f>
        <v>0</v>
      </c>
      <c r="D7098" s="2" t="str">
        <f t="shared" ca="1" si="109"/>
        <v>Error?</v>
      </c>
    </row>
    <row r="7099" spans="1:4" x14ac:dyDescent="0.2">
      <c r="A7099">
        <v>7038</v>
      </c>
      <c r="B7099" s="138">
        <f ca="1">'Expenditures 15-22'!I301</f>
        <v>0</v>
      </c>
      <c r="D7099" s="2" t="str">
        <f t="shared" ca="1" si="109"/>
        <v>Error?</v>
      </c>
    </row>
    <row r="7100" spans="1:4" x14ac:dyDescent="0.2">
      <c r="A7100">
        <v>7039</v>
      </c>
      <c r="B7100" s="138">
        <f ca="1">'Expenditures 15-22'!J301</f>
        <v>0</v>
      </c>
      <c r="D7100" s="2" t="str">
        <f t="shared" ca="1" si="109"/>
        <v>Error?</v>
      </c>
    </row>
    <row r="7101" spans="1:4" x14ac:dyDescent="0.2">
      <c r="A7101">
        <v>7040</v>
      </c>
      <c r="B7101" s="138">
        <f ca="1">'Expenditures 15-22'!I302</f>
        <v>0</v>
      </c>
      <c r="D7101" s="2" t="str">
        <f t="shared" ca="1" si="109"/>
        <v>Error?</v>
      </c>
    </row>
    <row r="7102" spans="1:4" x14ac:dyDescent="0.2">
      <c r="A7102">
        <v>7041</v>
      </c>
      <c r="B7102" s="138">
        <f ca="1">'Expenditures 15-22'!J302</f>
        <v>0</v>
      </c>
      <c r="D7102" s="2" t="str">
        <f t="shared" ca="1" si="109"/>
        <v>Error?</v>
      </c>
    </row>
    <row r="7103" spans="1:4" x14ac:dyDescent="0.2">
      <c r="A7103">
        <v>7042</v>
      </c>
      <c r="B7103" s="138">
        <f ca="1">'Expenditures 15-22'!I303</f>
        <v>0</v>
      </c>
      <c r="D7103" s="2" t="str">
        <f t="shared" ref="D7103:D7166" ca="1" si="110">IF(ISBLANK(B7103),"OK",IF(A7103-B7103=0,"OK","Error?"))</f>
        <v>Error?</v>
      </c>
    </row>
    <row r="7104" spans="1:4" x14ac:dyDescent="0.2">
      <c r="A7104">
        <v>7043</v>
      </c>
      <c r="B7104" s="138">
        <f ca="1">'Expenditures 15-22'!J303</f>
        <v>0</v>
      </c>
      <c r="D7104" s="2" t="str">
        <f t="shared" ca="1" si="110"/>
        <v>Error?</v>
      </c>
    </row>
    <row r="7105" spans="1:4" x14ac:dyDescent="0.2">
      <c r="A7105">
        <v>7044</v>
      </c>
      <c r="B7105" s="138">
        <f ca="1">'Expenditures 15-22'!E306</f>
        <v>0</v>
      </c>
      <c r="D7105" s="2" t="str">
        <f t="shared" ca="1" si="110"/>
        <v>Error?</v>
      </c>
    </row>
    <row r="7106" spans="1:4" x14ac:dyDescent="0.2">
      <c r="A7106">
        <v>7045</v>
      </c>
      <c r="B7106" s="138">
        <f ca="1">'Expenditures 15-22'!H306</f>
        <v>0</v>
      </c>
      <c r="D7106" s="2" t="str">
        <f t="shared" ca="1" si="110"/>
        <v>Error?</v>
      </c>
    </row>
    <row r="7107" spans="1:4" x14ac:dyDescent="0.2">
      <c r="A7107">
        <v>7046</v>
      </c>
      <c r="B7107" s="138">
        <f ca="1">'Expenditures 15-22'!K306</f>
        <v>0</v>
      </c>
      <c r="D7107" s="2" t="str">
        <f t="shared" ca="1" si="110"/>
        <v>Error?</v>
      </c>
    </row>
    <row r="7108" spans="1:4" x14ac:dyDescent="0.2">
      <c r="A7108">
        <v>7047</v>
      </c>
      <c r="B7108" s="138">
        <f ca="1">'Expenditures 15-22'!E307</f>
        <v>0</v>
      </c>
      <c r="D7108" s="2" t="str">
        <f t="shared" ca="1" si="110"/>
        <v>Error?</v>
      </c>
    </row>
    <row r="7109" spans="1:4" x14ac:dyDescent="0.2">
      <c r="A7109">
        <v>7048</v>
      </c>
      <c r="B7109" s="138">
        <f ca="1">'Expenditures 15-22'!H307</f>
        <v>0</v>
      </c>
      <c r="D7109" s="2" t="str">
        <f t="shared" ca="1" si="110"/>
        <v>Error?</v>
      </c>
    </row>
    <row r="7110" spans="1:4" x14ac:dyDescent="0.2">
      <c r="A7110">
        <v>7049</v>
      </c>
      <c r="B7110" s="138">
        <f ca="1">'Expenditures 15-22'!E308</f>
        <v>0</v>
      </c>
      <c r="D7110" s="2" t="str">
        <f t="shared" ca="1" si="110"/>
        <v>Error?</v>
      </c>
    </row>
    <row r="7111" spans="1:4" x14ac:dyDescent="0.2">
      <c r="A7111">
        <v>7050</v>
      </c>
      <c r="B7111" s="138">
        <f ca="1">'Expenditures 15-22'!H308</f>
        <v>0</v>
      </c>
      <c r="D7111" s="2" t="str">
        <f t="shared" ca="1" si="110"/>
        <v>Error?</v>
      </c>
    </row>
    <row r="7112" spans="1:4" x14ac:dyDescent="0.2">
      <c r="A7112">
        <v>7051</v>
      </c>
      <c r="B7112" s="138">
        <f ca="1">'Expenditures 15-22'!E309</f>
        <v>0</v>
      </c>
      <c r="D7112" s="2" t="str">
        <f t="shared" ca="1" si="110"/>
        <v>Error?</v>
      </c>
    </row>
    <row r="7113" spans="1:4" x14ac:dyDescent="0.2">
      <c r="A7113">
        <v>7052</v>
      </c>
      <c r="B7113" s="138">
        <f ca="1">'Expenditures 15-22'!H309</f>
        <v>0</v>
      </c>
      <c r="D7113" s="2" t="str">
        <f t="shared" ca="1" si="110"/>
        <v>Error?</v>
      </c>
    </row>
    <row r="7114" spans="1:4" x14ac:dyDescent="0.2">
      <c r="A7114">
        <v>7053</v>
      </c>
      <c r="B7114" s="138">
        <f ca="1">'Expenditures 15-22'!E310</f>
        <v>0</v>
      </c>
      <c r="D7114" s="2" t="str">
        <f t="shared" ca="1" si="110"/>
        <v>Error?</v>
      </c>
    </row>
    <row r="7115" spans="1:4" x14ac:dyDescent="0.2">
      <c r="A7115">
        <v>7054</v>
      </c>
      <c r="B7115" s="138">
        <f ca="1">'Expenditures 15-22'!H310</f>
        <v>0</v>
      </c>
      <c r="D7115" s="2" t="str">
        <f t="shared" ca="1" si="110"/>
        <v>Error?</v>
      </c>
    </row>
    <row r="7116" spans="1:4" x14ac:dyDescent="0.2">
      <c r="A7116">
        <v>7055</v>
      </c>
      <c r="B7116" s="138">
        <f ca="1">'Expenditures 15-22'!I312</f>
        <v>0</v>
      </c>
      <c r="D7116" s="2" t="str">
        <f t="shared" ca="1" si="110"/>
        <v>Error?</v>
      </c>
    </row>
    <row r="7117" spans="1:4" x14ac:dyDescent="0.2">
      <c r="A7117">
        <v>7056</v>
      </c>
      <c r="B7117" s="138">
        <f ca="1">'Expenditures 15-22'!J312</f>
        <v>0</v>
      </c>
      <c r="D7117" s="2" t="str">
        <f t="shared" ca="1" si="110"/>
        <v>Error?</v>
      </c>
    </row>
    <row r="7118" spans="1:4" x14ac:dyDescent="0.2">
      <c r="A7118">
        <v>7057</v>
      </c>
      <c r="B7118" s="138">
        <f ca="1">'Expenditures 15-22'!C319</f>
        <v>0</v>
      </c>
      <c r="D7118" s="2" t="str">
        <f t="shared" ca="1" si="110"/>
        <v>Error?</v>
      </c>
    </row>
    <row r="7119" spans="1:4" x14ac:dyDescent="0.2">
      <c r="A7119">
        <v>7058</v>
      </c>
      <c r="B7119" s="138">
        <f ca="1">'Expenditures 15-22'!D319</f>
        <v>0</v>
      </c>
      <c r="D7119" s="2" t="str">
        <f t="shared" ca="1" si="110"/>
        <v>Error?</v>
      </c>
    </row>
    <row r="7120" spans="1:4" x14ac:dyDescent="0.2">
      <c r="A7120">
        <v>7059</v>
      </c>
      <c r="B7120" s="138">
        <f ca="1">'Expenditures 15-22'!E319</f>
        <v>0</v>
      </c>
      <c r="D7120" s="2" t="str">
        <f t="shared" ca="1" si="110"/>
        <v>Error?</v>
      </c>
    </row>
    <row r="7121" spans="1:4" x14ac:dyDescent="0.2">
      <c r="A7121">
        <v>7060</v>
      </c>
      <c r="B7121" s="138">
        <f ca="1">'Expenditures 15-22'!F319</f>
        <v>0</v>
      </c>
      <c r="D7121" s="2" t="str">
        <f t="shared" ca="1" si="110"/>
        <v>Error?</v>
      </c>
    </row>
    <row r="7122" spans="1:4" x14ac:dyDescent="0.2">
      <c r="A7122">
        <v>7061</v>
      </c>
      <c r="B7122" s="138">
        <f ca="1">'Expenditures 15-22'!G319</f>
        <v>0</v>
      </c>
      <c r="D7122" s="2" t="str">
        <f t="shared" ca="1" si="110"/>
        <v>Error?</v>
      </c>
    </row>
    <row r="7123" spans="1:4" x14ac:dyDescent="0.2">
      <c r="A7123">
        <v>7062</v>
      </c>
      <c r="B7123" s="138">
        <f ca="1">'Expenditures 15-22'!H319</f>
        <v>0</v>
      </c>
      <c r="D7123" s="2" t="str">
        <f t="shared" ca="1" si="110"/>
        <v>Error?</v>
      </c>
    </row>
    <row r="7124" spans="1:4" x14ac:dyDescent="0.2">
      <c r="A7124">
        <v>7063</v>
      </c>
      <c r="B7124" s="138">
        <f ca="1">'Expenditures 15-22'!I319</f>
        <v>0</v>
      </c>
      <c r="D7124" s="2" t="str">
        <f t="shared" ca="1" si="110"/>
        <v>Error?</v>
      </c>
    </row>
    <row r="7125" spans="1:4" x14ac:dyDescent="0.2">
      <c r="A7125">
        <v>7064</v>
      </c>
      <c r="B7125" s="138">
        <f ca="1">'Expenditures 15-22'!J319</f>
        <v>0</v>
      </c>
      <c r="D7125" s="2" t="str">
        <f t="shared" ca="1" si="110"/>
        <v>Error?</v>
      </c>
    </row>
    <row r="7126" spans="1:4" x14ac:dyDescent="0.2">
      <c r="A7126">
        <v>7065</v>
      </c>
      <c r="B7126" s="138">
        <f ca="1">'Expenditures 15-22'!K319</f>
        <v>0</v>
      </c>
      <c r="D7126" s="2" t="str">
        <f t="shared" ca="1" si="110"/>
        <v>Error?</v>
      </c>
    </row>
    <row r="7127" spans="1:4" x14ac:dyDescent="0.2">
      <c r="A7127">
        <v>7066</v>
      </c>
      <c r="B7127" s="138">
        <f ca="1">'Expenditures 15-22'!C320</f>
        <v>0</v>
      </c>
      <c r="D7127" s="2" t="str">
        <f t="shared" ca="1" si="110"/>
        <v>Error?</v>
      </c>
    </row>
    <row r="7128" spans="1:4" x14ac:dyDescent="0.2">
      <c r="A7128">
        <v>7067</v>
      </c>
      <c r="B7128" s="138">
        <f ca="1">'Expenditures 15-22'!D320</f>
        <v>0</v>
      </c>
      <c r="D7128" s="2" t="str">
        <f t="shared" ca="1" si="110"/>
        <v>Error?</v>
      </c>
    </row>
    <row r="7129" spans="1:4" x14ac:dyDescent="0.2">
      <c r="A7129">
        <v>7068</v>
      </c>
      <c r="B7129" s="138">
        <f ca="1">'Expenditures 15-22'!E320</f>
        <v>0</v>
      </c>
      <c r="D7129" s="2" t="str">
        <f t="shared" ca="1" si="110"/>
        <v>Error?</v>
      </c>
    </row>
    <row r="7130" spans="1:4" x14ac:dyDescent="0.2">
      <c r="A7130">
        <v>7069</v>
      </c>
      <c r="B7130" s="138">
        <f ca="1">'Expenditures 15-22'!F320</f>
        <v>0</v>
      </c>
      <c r="D7130" s="2" t="str">
        <f t="shared" ca="1" si="110"/>
        <v>Error?</v>
      </c>
    </row>
    <row r="7131" spans="1:4" x14ac:dyDescent="0.2">
      <c r="A7131">
        <v>7070</v>
      </c>
      <c r="B7131" s="138">
        <f ca="1">'Expenditures 15-22'!G320</f>
        <v>0</v>
      </c>
      <c r="D7131" s="2" t="str">
        <f t="shared" ca="1" si="110"/>
        <v>Error?</v>
      </c>
    </row>
    <row r="7132" spans="1:4" x14ac:dyDescent="0.2">
      <c r="A7132">
        <v>7071</v>
      </c>
      <c r="B7132" s="138">
        <f ca="1">'Expenditures 15-22'!H320</f>
        <v>0</v>
      </c>
      <c r="D7132" s="2" t="str">
        <f t="shared" ca="1" si="110"/>
        <v>Error?</v>
      </c>
    </row>
    <row r="7133" spans="1:4" x14ac:dyDescent="0.2">
      <c r="A7133">
        <v>7072</v>
      </c>
      <c r="B7133" s="138">
        <f ca="1">'Expenditures 15-22'!I320</f>
        <v>0</v>
      </c>
      <c r="D7133" s="2" t="str">
        <f t="shared" ca="1" si="110"/>
        <v>Error?</v>
      </c>
    </row>
    <row r="7134" spans="1:4" x14ac:dyDescent="0.2">
      <c r="A7134">
        <v>7073</v>
      </c>
      <c r="B7134" s="138">
        <f ca="1">'Expenditures 15-22'!J320</f>
        <v>0</v>
      </c>
      <c r="D7134" s="2" t="str">
        <f t="shared" ca="1" si="110"/>
        <v>Error?</v>
      </c>
    </row>
    <row r="7135" spans="1:4" x14ac:dyDescent="0.2">
      <c r="A7135">
        <v>7074</v>
      </c>
      <c r="B7135" s="138">
        <f ca="1">'Expenditures 15-22'!K320</f>
        <v>0</v>
      </c>
      <c r="D7135" s="2" t="str">
        <f t="shared" ca="1" si="110"/>
        <v>Error?</v>
      </c>
    </row>
    <row r="7136" spans="1:4" x14ac:dyDescent="0.2">
      <c r="A7136">
        <v>7075</v>
      </c>
      <c r="B7136" s="138">
        <f ca="1">'Expenditures 15-22'!C321</f>
        <v>0</v>
      </c>
      <c r="D7136" s="2" t="str">
        <f t="shared" ca="1" si="110"/>
        <v>Error?</v>
      </c>
    </row>
    <row r="7137" spans="1:4" x14ac:dyDescent="0.2">
      <c r="A7137">
        <v>7076</v>
      </c>
      <c r="B7137" s="138">
        <f ca="1">'Expenditures 15-22'!D321</f>
        <v>0</v>
      </c>
      <c r="D7137" s="2" t="str">
        <f t="shared" ca="1" si="110"/>
        <v>Error?</v>
      </c>
    </row>
    <row r="7138" spans="1:4" x14ac:dyDescent="0.2">
      <c r="A7138">
        <v>7077</v>
      </c>
      <c r="B7138" s="138">
        <f ca="1">'Expenditures 15-22'!E321</f>
        <v>0</v>
      </c>
      <c r="D7138" s="2" t="str">
        <f t="shared" ca="1" si="110"/>
        <v>Error?</v>
      </c>
    </row>
    <row r="7139" spans="1:4" x14ac:dyDescent="0.2">
      <c r="A7139">
        <v>7078</v>
      </c>
      <c r="B7139" s="138">
        <f ca="1">'Expenditures 15-22'!F321</f>
        <v>0</v>
      </c>
      <c r="D7139" s="2" t="str">
        <f t="shared" ca="1" si="110"/>
        <v>Error?</v>
      </c>
    </row>
    <row r="7140" spans="1:4" x14ac:dyDescent="0.2">
      <c r="A7140">
        <v>7079</v>
      </c>
      <c r="B7140" s="138">
        <f ca="1">'Expenditures 15-22'!G321</f>
        <v>0</v>
      </c>
      <c r="D7140" s="2" t="str">
        <f t="shared" ca="1" si="110"/>
        <v>Error?</v>
      </c>
    </row>
    <row r="7141" spans="1:4" x14ac:dyDescent="0.2">
      <c r="A7141">
        <v>7080</v>
      </c>
      <c r="B7141" s="138">
        <f ca="1">'Expenditures 15-22'!H321</f>
        <v>0</v>
      </c>
      <c r="D7141" s="2" t="str">
        <f t="shared" ca="1" si="110"/>
        <v>Error?</v>
      </c>
    </row>
    <row r="7142" spans="1:4" x14ac:dyDescent="0.2">
      <c r="A7142">
        <v>7081</v>
      </c>
      <c r="B7142" s="138">
        <f ca="1">'Expenditures 15-22'!I321</f>
        <v>0</v>
      </c>
      <c r="D7142" s="2" t="str">
        <f t="shared" ca="1" si="110"/>
        <v>Error?</v>
      </c>
    </row>
    <row r="7143" spans="1:4" x14ac:dyDescent="0.2">
      <c r="A7143">
        <v>7082</v>
      </c>
      <c r="B7143" s="138">
        <f ca="1">'Expenditures 15-22'!J321</f>
        <v>0</v>
      </c>
      <c r="D7143" s="2" t="str">
        <f t="shared" ca="1" si="110"/>
        <v>Error?</v>
      </c>
    </row>
    <row r="7144" spans="1:4" x14ac:dyDescent="0.2">
      <c r="A7144">
        <v>7083</v>
      </c>
      <c r="B7144" s="138">
        <f ca="1">'Expenditures 15-22'!K321</f>
        <v>0</v>
      </c>
      <c r="D7144" s="2" t="str">
        <f t="shared" ca="1" si="110"/>
        <v>Error?</v>
      </c>
    </row>
    <row r="7145" spans="1:4" x14ac:dyDescent="0.2">
      <c r="A7145">
        <v>7084</v>
      </c>
      <c r="B7145" s="138">
        <f ca="1">'Expenditures 15-22'!C322</f>
        <v>0</v>
      </c>
      <c r="D7145" s="2" t="str">
        <f t="shared" ca="1" si="110"/>
        <v>Error?</v>
      </c>
    </row>
    <row r="7146" spans="1:4" x14ac:dyDescent="0.2">
      <c r="A7146">
        <v>7085</v>
      </c>
      <c r="B7146" s="138">
        <f ca="1">'Expenditures 15-22'!D322</f>
        <v>0</v>
      </c>
      <c r="D7146" s="2" t="str">
        <f t="shared" ca="1" si="110"/>
        <v>Error?</v>
      </c>
    </row>
    <row r="7147" spans="1:4" x14ac:dyDescent="0.2">
      <c r="A7147">
        <v>7086</v>
      </c>
      <c r="B7147" s="138">
        <f ca="1">'Expenditures 15-22'!E322</f>
        <v>25112</v>
      </c>
      <c r="D7147" s="2" t="str">
        <f t="shared" ca="1" si="110"/>
        <v>Error?</v>
      </c>
    </row>
    <row r="7148" spans="1:4" x14ac:dyDescent="0.2">
      <c r="A7148">
        <v>7087</v>
      </c>
      <c r="B7148" s="138">
        <f ca="1">'Expenditures 15-22'!F322</f>
        <v>0</v>
      </c>
      <c r="D7148" s="2" t="str">
        <f t="shared" ca="1" si="110"/>
        <v>Error?</v>
      </c>
    </row>
    <row r="7149" spans="1:4" x14ac:dyDescent="0.2">
      <c r="A7149">
        <v>7088</v>
      </c>
      <c r="B7149" s="138">
        <f ca="1">'Expenditures 15-22'!G322</f>
        <v>0</v>
      </c>
      <c r="D7149" s="2" t="str">
        <f t="shared" ca="1" si="110"/>
        <v>Error?</v>
      </c>
    </row>
    <row r="7150" spans="1:4" x14ac:dyDescent="0.2">
      <c r="A7150">
        <v>7089</v>
      </c>
      <c r="B7150" s="138">
        <f ca="1">'Expenditures 15-22'!H322</f>
        <v>0</v>
      </c>
      <c r="D7150" s="2" t="str">
        <f t="shared" ca="1" si="110"/>
        <v>Error?</v>
      </c>
    </row>
    <row r="7151" spans="1:4" x14ac:dyDescent="0.2">
      <c r="A7151">
        <v>7090</v>
      </c>
      <c r="B7151" s="138">
        <f ca="1">'Expenditures 15-22'!I322</f>
        <v>0</v>
      </c>
      <c r="D7151" s="2" t="str">
        <f t="shared" ca="1" si="110"/>
        <v>Error?</v>
      </c>
    </row>
    <row r="7152" spans="1:4" x14ac:dyDescent="0.2">
      <c r="A7152">
        <v>7091</v>
      </c>
      <c r="B7152" s="138">
        <f ca="1">'Expenditures 15-22'!J322</f>
        <v>0</v>
      </c>
      <c r="D7152" s="2" t="str">
        <f t="shared" ca="1" si="110"/>
        <v>Error?</v>
      </c>
    </row>
    <row r="7153" spans="1:4" x14ac:dyDescent="0.2">
      <c r="A7153">
        <v>7092</v>
      </c>
      <c r="B7153" s="138">
        <f ca="1">'Expenditures 15-22'!K322</f>
        <v>25112</v>
      </c>
      <c r="D7153" s="2" t="str">
        <f t="shared" ca="1" si="110"/>
        <v>Error?</v>
      </c>
    </row>
    <row r="7154" spans="1:4" x14ac:dyDescent="0.2">
      <c r="A7154">
        <v>7093</v>
      </c>
      <c r="B7154" s="138">
        <f ca="1">'Expenditures 15-22'!C323</f>
        <v>2896</v>
      </c>
      <c r="D7154" s="2" t="str">
        <f t="shared" ca="1" si="110"/>
        <v>Error?</v>
      </c>
    </row>
    <row r="7155" spans="1:4" x14ac:dyDescent="0.2">
      <c r="A7155">
        <v>7094</v>
      </c>
      <c r="B7155" s="138">
        <f ca="1">'Expenditures 15-22'!D323</f>
        <v>33</v>
      </c>
      <c r="D7155" s="2" t="str">
        <f t="shared" ca="1" si="110"/>
        <v>Error?</v>
      </c>
    </row>
    <row r="7156" spans="1:4" x14ac:dyDescent="0.2">
      <c r="A7156">
        <v>7095</v>
      </c>
      <c r="B7156" s="138">
        <f ca="1">'Expenditures 15-22'!E323</f>
        <v>9250</v>
      </c>
      <c r="D7156" s="2" t="str">
        <f t="shared" ca="1" si="110"/>
        <v>Error?</v>
      </c>
    </row>
    <row r="7157" spans="1:4" x14ac:dyDescent="0.2">
      <c r="A7157">
        <v>7096</v>
      </c>
      <c r="B7157" s="138">
        <f ca="1">'Expenditures 15-22'!F323</f>
        <v>824</v>
      </c>
      <c r="D7157" s="2" t="str">
        <f t="shared" ca="1" si="110"/>
        <v>Error?</v>
      </c>
    </row>
    <row r="7158" spans="1:4" x14ac:dyDescent="0.2">
      <c r="A7158">
        <v>7097</v>
      </c>
      <c r="B7158" s="138">
        <f ca="1">'Expenditures 15-22'!G323</f>
        <v>0</v>
      </c>
      <c r="D7158" s="2" t="str">
        <f t="shared" ca="1" si="110"/>
        <v>Error?</v>
      </c>
    </row>
    <row r="7159" spans="1:4" x14ac:dyDescent="0.2">
      <c r="A7159">
        <v>7098</v>
      </c>
      <c r="B7159" s="138">
        <f ca="1">'Expenditures 15-22'!H323</f>
        <v>0</v>
      </c>
      <c r="D7159" s="2" t="str">
        <f t="shared" ca="1" si="110"/>
        <v>Error?</v>
      </c>
    </row>
    <row r="7160" spans="1:4" x14ac:dyDescent="0.2">
      <c r="A7160">
        <v>7099</v>
      </c>
      <c r="B7160" s="138">
        <f ca="1">'Expenditures 15-22'!I323</f>
        <v>0</v>
      </c>
      <c r="D7160" s="2" t="str">
        <f t="shared" ca="1" si="110"/>
        <v>Error?</v>
      </c>
    </row>
    <row r="7161" spans="1:4" x14ac:dyDescent="0.2">
      <c r="A7161">
        <v>7100</v>
      </c>
      <c r="B7161" s="138">
        <f ca="1">'Expenditures 15-22'!J323</f>
        <v>0</v>
      </c>
      <c r="D7161" s="2" t="str">
        <f t="shared" ca="1" si="110"/>
        <v>Error?</v>
      </c>
    </row>
    <row r="7162" spans="1:4" x14ac:dyDescent="0.2">
      <c r="A7162">
        <v>7101</v>
      </c>
      <c r="B7162" s="138">
        <f ca="1">'Expenditures 15-22'!K323</f>
        <v>13003</v>
      </c>
      <c r="D7162" s="2" t="str">
        <f t="shared" ca="1" si="110"/>
        <v>Error?</v>
      </c>
    </row>
    <row r="7163" spans="1:4" x14ac:dyDescent="0.2">
      <c r="A7163">
        <v>7102</v>
      </c>
      <c r="B7163" s="138">
        <f ca="1">'Expenditures 15-22'!C324</f>
        <v>0</v>
      </c>
      <c r="D7163" s="2" t="str">
        <f t="shared" ca="1" si="110"/>
        <v>Error?</v>
      </c>
    </row>
    <row r="7164" spans="1:4" x14ac:dyDescent="0.2">
      <c r="A7164">
        <v>7103</v>
      </c>
      <c r="B7164" s="138">
        <f ca="1">'Expenditures 15-22'!D324</f>
        <v>0</v>
      </c>
      <c r="D7164" s="2" t="str">
        <f t="shared" ca="1" si="110"/>
        <v>Error?</v>
      </c>
    </row>
    <row r="7165" spans="1:4" x14ac:dyDescent="0.2">
      <c r="A7165">
        <v>7104</v>
      </c>
      <c r="B7165" s="138">
        <f ca="1">'Expenditures 15-22'!E324</f>
        <v>0</v>
      </c>
      <c r="D7165" s="2" t="str">
        <f t="shared" ca="1" si="110"/>
        <v>Error?</v>
      </c>
    </row>
    <row r="7166" spans="1:4" x14ac:dyDescent="0.2">
      <c r="A7166">
        <v>7105</v>
      </c>
      <c r="B7166" s="138">
        <f ca="1">'Expenditures 15-22'!F324</f>
        <v>0</v>
      </c>
      <c r="D7166" s="2" t="str">
        <f t="shared" ca="1" si="110"/>
        <v>Error?</v>
      </c>
    </row>
    <row r="7167" spans="1:4" x14ac:dyDescent="0.2">
      <c r="A7167">
        <v>7106</v>
      </c>
      <c r="B7167" s="138">
        <f ca="1">'Expenditures 15-22'!G324</f>
        <v>0</v>
      </c>
      <c r="D7167" s="2" t="str">
        <f t="shared" ref="D7167:D7230" ca="1" si="111">IF(ISBLANK(B7167),"OK",IF(A7167-B7167=0,"OK","Error?"))</f>
        <v>Error?</v>
      </c>
    </row>
    <row r="7168" spans="1:4" x14ac:dyDescent="0.2">
      <c r="A7168">
        <v>7107</v>
      </c>
      <c r="B7168" s="138">
        <f ca="1">'Expenditures 15-22'!H324</f>
        <v>0</v>
      </c>
      <c r="D7168" s="2" t="str">
        <f t="shared" ca="1" si="111"/>
        <v>Error?</v>
      </c>
    </row>
    <row r="7169" spans="1:4" x14ac:dyDescent="0.2">
      <c r="A7169">
        <v>7108</v>
      </c>
      <c r="B7169" s="138">
        <f ca="1">'Expenditures 15-22'!I324</f>
        <v>0</v>
      </c>
      <c r="D7169" s="2" t="str">
        <f t="shared" ca="1" si="111"/>
        <v>Error?</v>
      </c>
    </row>
    <row r="7170" spans="1:4" x14ac:dyDescent="0.2">
      <c r="A7170">
        <v>7109</v>
      </c>
      <c r="B7170" s="138">
        <f ca="1">'Expenditures 15-22'!J324</f>
        <v>0</v>
      </c>
      <c r="D7170" s="2" t="str">
        <f t="shared" ca="1" si="111"/>
        <v>Error?</v>
      </c>
    </row>
    <row r="7171" spans="1:4" x14ac:dyDescent="0.2">
      <c r="A7171">
        <v>7110</v>
      </c>
      <c r="B7171" s="138">
        <f ca="1">'Expenditures 15-22'!K324</f>
        <v>0</v>
      </c>
      <c r="D7171" s="2" t="str">
        <f t="shared" ca="1" si="111"/>
        <v>Error?</v>
      </c>
    </row>
    <row r="7172" spans="1:4" x14ac:dyDescent="0.2">
      <c r="A7172">
        <v>7111</v>
      </c>
      <c r="B7172" s="138">
        <f ca="1">'Expenditures 15-22'!C325</f>
        <v>0</v>
      </c>
      <c r="D7172" s="2" t="str">
        <f t="shared" ca="1" si="111"/>
        <v>Error?</v>
      </c>
    </row>
    <row r="7173" spans="1:4" x14ac:dyDescent="0.2">
      <c r="A7173">
        <v>7112</v>
      </c>
      <c r="B7173" s="138">
        <f ca="1">'Expenditures 15-22'!D325</f>
        <v>0</v>
      </c>
      <c r="D7173" s="2" t="str">
        <f t="shared" ca="1" si="111"/>
        <v>Error?</v>
      </c>
    </row>
    <row r="7174" spans="1:4" x14ac:dyDescent="0.2">
      <c r="A7174">
        <v>7113</v>
      </c>
      <c r="B7174" s="138">
        <f ca="1">'Expenditures 15-22'!E325</f>
        <v>0</v>
      </c>
      <c r="D7174" s="2" t="str">
        <f t="shared" ca="1" si="111"/>
        <v>Error?</v>
      </c>
    </row>
    <row r="7175" spans="1:4" x14ac:dyDescent="0.2">
      <c r="A7175">
        <v>7114</v>
      </c>
      <c r="B7175" s="138">
        <f ca="1">'Expenditures 15-22'!F325</f>
        <v>0</v>
      </c>
      <c r="D7175" s="2" t="str">
        <f t="shared" ca="1" si="111"/>
        <v>Error?</v>
      </c>
    </row>
    <row r="7176" spans="1:4" x14ac:dyDescent="0.2">
      <c r="A7176">
        <v>7115</v>
      </c>
      <c r="B7176" s="138">
        <f ca="1">'Expenditures 15-22'!G325</f>
        <v>0</v>
      </c>
      <c r="D7176" s="2" t="str">
        <f t="shared" ca="1" si="111"/>
        <v>Error?</v>
      </c>
    </row>
    <row r="7177" spans="1:4" x14ac:dyDescent="0.2">
      <c r="A7177">
        <v>7116</v>
      </c>
      <c r="B7177" s="138">
        <f ca="1">'Expenditures 15-22'!H325</f>
        <v>0</v>
      </c>
      <c r="D7177" s="2" t="str">
        <f t="shared" ca="1" si="111"/>
        <v>Error?</v>
      </c>
    </row>
    <row r="7178" spans="1:4" x14ac:dyDescent="0.2">
      <c r="A7178">
        <v>7117</v>
      </c>
      <c r="B7178" s="138">
        <f ca="1">'Expenditures 15-22'!I325</f>
        <v>0</v>
      </c>
      <c r="D7178" s="2" t="str">
        <f t="shared" ca="1" si="111"/>
        <v>Error?</v>
      </c>
    </row>
    <row r="7179" spans="1:4" x14ac:dyDescent="0.2">
      <c r="A7179">
        <v>7118</v>
      </c>
      <c r="B7179" s="138">
        <f ca="1">'Expenditures 15-22'!J325</f>
        <v>0</v>
      </c>
      <c r="D7179" s="2" t="str">
        <f t="shared" ca="1" si="111"/>
        <v>Error?</v>
      </c>
    </row>
    <row r="7180" spans="1:4" x14ac:dyDescent="0.2">
      <c r="A7180">
        <v>7119</v>
      </c>
      <c r="B7180" s="138">
        <f ca="1">'Expenditures 15-22'!K325</f>
        <v>0</v>
      </c>
      <c r="D7180" s="2" t="str">
        <f t="shared" ca="1" si="111"/>
        <v>Error?</v>
      </c>
    </row>
    <row r="7181" spans="1:4" x14ac:dyDescent="0.2">
      <c r="A7181">
        <v>7120</v>
      </c>
      <c r="B7181" s="138">
        <f ca="1">'Expenditures 15-22'!C326</f>
        <v>0</v>
      </c>
      <c r="D7181" s="2" t="str">
        <f t="shared" ca="1" si="111"/>
        <v>Error?</v>
      </c>
    </row>
    <row r="7182" spans="1:4" x14ac:dyDescent="0.2">
      <c r="A7182">
        <v>7121</v>
      </c>
      <c r="B7182" s="138">
        <f ca="1">'Expenditures 15-22'!D326</f>
        <v>0</v>
      </c>
      <c r="D7182" s="2" t="str">
        <f t="shared" ca="1" si="111"/>
        <v>Error?</v>
      </c>
    </row>
    <row r="7183" spans="1:4" x14ac:dyDescent="0.2">
      <c r="A7183">
        <v>7122</v>
      </c>
      <c r="B7183" s="138">
        <f ca="1">'Expenditures 15-22'!E326</f>
        <v>0</v>
      </c>
      <c r="D7183" s="2" t="str">
        <f t="shared" ca="1" si="111"/>
        <v>Error?</v>
      </c>
    </row>
    <row r="7184" spans="1:4" x14ac:dyDescent="0.2">
      <c r="A7184">
        <v>7123</v>
      </c>
      <c r="B7184" s="138">
        <f ca="1">'Expenditures 15-22'!F326</f>
        <v>0</v>
      </c>
      <c r="D7184" s="2" t="str">
        <f t="shared" ca="1" si="111"/>
        <v>Error?</v>
      </c>
    </row>
    <row r="7185" spans="1:4" x14ac:dyDescent="0.2">
      <c r="A7185">
        <v>7124</v>
      </c>
      <c r="B7185" s="138">
        <f ca="1">'Expenditures 15-22'!G326</f>
        <v>0</v>
      </c>
      <c r="D7185" s="2" t="str">
        <f t="shared" ca="1" si="111"/>
        <v>Error?</v>
      </c>
    </row>
    <row r="7186" spans="1:4" x14ac:dyDescent="0.2">
      <c r="A7186">
        <v>7125</v>
      </c>
      <c r="B7186" s="138">
        <f ca="1">'Expenditures 15-22'!H326</f>
        <v>0</v>
      </c>
      <c r="D7186" s="2" t="str">
        <f t="shared" ca="1" si="111"/>
        <v>Error?</v>
      </c>
    </row>
    <row r="7187" spans="1:4" x14ac:dyDescent="0.2">
      <c r="A7187">
        <v>7126</v>
      </c>
      <c r="B7187" s="138">
        <f ca="1">'Expenditures 15-22'!I326</f>
        <v>0</v>
      </c>
      <c r="D7187" s="2" t="str">
        <f t="shared" ca="1" si="111"/>
        <v>Error?</v>
      </c>
    </row>
    <row r="7188" spans="1:4" x14ac:dyDescent="0.2">
      <c r="A7188">
        <v>7127</v>
      </c>
      <c r="B7188" s="138">
        <f ca="1">'Expenditures 15-22'!J326</f>
        <v>0</v>
      </c>
      <c r="D7188" s="2" t="str">
        <f t="shared" ca="1" si="111"/>
        <v>Error?</v>
      </c>
    </row>
    <row r="7189" spans="1:4" x14ac:dyDescent="0.2">
      <c r="A7189">
        <v>7128</v>
      </c>
      <c r="B7189" s="138">
        <f ca="1">'Expenditures 15-22'!K326</f>
        <v>0</v>
      </c>
      <c r="D7189" s="2" t="str">
        <f t="shared" ca="1" si="111"/>
        <v>Error?</v>
      </c>
    </row>
    <row r="7190" spans="1:4" x14ac:dyDescent="0.2">
      <c r="A7190">
        <v>7129</v>
      </c>
      <c r="B7190" s="138">
        <f ca="1">'Expenditures 15-22'!C327</f>
        <v>0</v>
      </c>
      <c r="D7190" s="2" t="str">
        <f t="shared" ca="1" si="111"/>
        <v>Error?</v>
      </c>
    </row>
    <row r="7191" spans="1:4" x14ac:dyDescent="0.2">
      <c r="A7191">
        <v>7130</v>
      </c>
      <c r="B7191" s="138">
        <f ca="1">'Expenditures 15-22'!D327</f>
        <v>0</v>
      </c>
      <c r="D7191" s="2" t="str">
        <f t="shared" ca="1" si="111"/>
        <v>Error?</v>
      </c>
    </row>
    <row r="7192" spans="1:4" x14ac:dyDescent="0.2">
      <c r="A7192">
        <v>7131</v>
      </c>
      <c r="B7192" s="138">
        <f ca="1">'Expenditures 15-22'!E327</f>
        <v>0</v>
      </c>
      <c r="D7192" s="2" t="str">
        <f t="shared" ca="1" si="111"/>
        <v>Error?</v>
      </c>
    </row>
    <row r="7193" spans="1:4" x14ac:dyDescent="0.2">
      <c r="A7193">
        <v>7132</v>
      </c>
      <c r="B7193" s="138">
        <f ca="1">'Expenditures 15-22'!F327</f>
        <v>0</v>
      </c>
      <c r="D7193" s="2" t="str">
        <f t="shared" ca="1" si="111"/>
        <v>Error?</v>
      </c>
    </row>
    <row r="7194" spans="1:4" x14ac:dyDescent="0.2">
      <c r="A7194">
        <v>7133</v>
      </c>
      <c r="B7194" s="138">
        <f ca="1">'Expenditures 15-22'!G327</f>
        <v>0</v>
      </c>
      <c r="D7194" s="2" t="str">
        <f t="shared" ca="1" si="111"/>
        <v>Error?</v>
      </c>
    </row>
    <row r="7195" spans="1:4" x14ac:dyDescent="0.2">
      <c r="A7195">
        <v>7134</v>
      </c>
      <c r="B7195" s="138">
        <f ca="1">'Expenditures 15-22'!H327</f>
        <v>0</v>
      </c>
      <c r="D7195" s="2" t="str">
        <f t="shared" ca="1" si="111"/>
        <v>Error?</v>
      </c>
    </row>
    <row r="7196" spans="1:4" x14ac:dyDescent="0.2">
      <c r="A7196">
        <v>7135</v>
      </c>
      <c r="B7196" s="138">
        <f ca="1">'Expenditures 15-22'!I327</f>
        <v>0</v>
      </c>
      <c r="D7196" s="2" t="str">
        <f t="shared" ca="1" si="111"/>
        <v>Error?</v>
      </c>
    </row>
    <row r="7197" spans="1:4" x14ac:dyDescent="0.2">
      <c r="A7197">
        <v>7136</v>
      </c>
      <c r="B7197" s="138">
        <f ca="1">'Expenditures 15-22'!J327</f>
        <v>0</v>
      </c>
      <c r="D7197" s="2" t="str">
        <f t="shared" ca="1" si="111"/>
        <v>Error?</v>
      </c>
    </row>
    <row r="7198" spans="1:4" x14ac:dyDescent="0.2">
      <c r="A7198">
        <v>7137</v>
      </c>
      <c r="B7198" s="138">
        <f ca="1">'Expenditures 15-22'!K327</f>
        <v>0</v>
      </c>
      <c r="D7198" s="2" t="str">
        <f t="shared" ca="1" si="111"/>
        <v>Error?</v>
      </c>
    </row>
    <row r="7199" spans="1:4" x14ac:dyDescent="0.2">
      <c r="A7199">
        <v>7138</v>
      </c>
      <c r="B7199" s="138">
        <f ca="1">'Expenditures 15-22'!C330</f>
        <v>2896</v>
      </c>
      <c r="D7199" s="2" t="str">
        <f t="shared" ca="1" si="111"/>
        <v>Error?</v>
      </c>
    </row>
    <row r="7200" spans="1:4" x14ac:dyDescent="0.2">
      <c r="A7200">
        <v>7139</v>
      </c>
      <c r="B7200" s="138">
        <f ca="1">'Expenditures 15-22'!D330</f>
        <v>33</v>
      </c>
      <c r="D7200" s="2" t="str">
        <f t="shared" ca="1" si="111"/>
        <v>Error?</v>
      </c>
    </row>
    <row r="7201" spans="1:4" x14ac:dyDescent="0.2">
      <c r="A7201">
        <v>7140</v>
      </c>
      <c r="B7201" s="138">
        <f ca="1">'Expenditures 15-22'!E330</f>
        <v>34362</v>
      </c>
      <c r="D7201" s="2" t="str">
        <f t="shared" ca="1" si="111"/>
        <v>Error?</v>
      </c>
    </row>
    <row r="7202" spans="1:4" x14ac:dyDescent="0.2">
      <c r="A7202">
        <v>7141</v>
      </c>
      <c r="B7202" s="138">
        <f ca="1">'Expenditures 15-22'!F330</f>
        <v>824</v>
      </c>
      <c r="D7202" s="2" t="str">
        <f t="shared" ca="1" si="111"/>
        <v>Error?</v>
      </c>
    </row>
    <row r="7203" spans="1:4" x14ac:dyDescent="0.2">
      <c r="A7203">
        <v>7142</v>
      </c>
      <c r="B7203" s="138">
        <f ca="1">'Expenditures 15-22'!G330</f>
        <v>0</v>
      </c>
      <c r="D7203" s="2" t="str">
        <f t="shared" ca="1" si="111"/>
        <v>Error?</v>
      </c>
    </row>
    <row r="7204" spans="1:4" x14ac:dyDescent="0.2">
      <c r="A7204">
        <v>7143</v>
      </c>
      <c r="B7204" s="138">
        <f ca="1">'Expenditures 15-22'!H330</f>
        <v>0</v>
      </c>
      <c r="D7204" s="2" t="str">
        <f t="shared" ca="1" si="111"/>
        <v>Error?</v>
      </c>
    </row>
    <row r="7205" spans="1:4" x14ac:dyDescent="0.2">
      <c r="A7205">
        <v>7144</v>
      </c>
      <c r="B7205" s="138">
        <f ca="1">'Expenditures 15-22'!I330</f>
        <v>0</v>
      </c>
      <c r="D7205" s="2" t="str">
        <f t="shared" ca="1" si="111"/>
        <v>Error?</v>
      </c>
    </row>
    <row r="7206" spans="1:4" x14ac:dyDescent="0.2">
      <c r="A7206">
        <v>7145</v>
      </c>
      <c r="B7206" s="138">
        <f ca="1">'Expenditures 15-22'!J330</f>
        <v>0</v>
      </c>
      <c r="D7206" s="2" t="str">
        <f t="shared" ca="1" si="111"/>
        <v>Error?</v>
      </c>
    </row>
    <row r="7207" spans="1:4" x14ac:dyDescent="0.2">
      <c r="A7207">
        <v>7146</v>
      </c>
      <c r="B7207" s="138">
        <f ca="1">'Expenditures 15-22'!K330</f>
        <v>38115</v>
      </c>
      <c r="D7207" s="2" t="str">
        <f t="shared" ca="1" si="111"/>
        <v>Error?</v>
      </c>
    </row>
    <row r="7208" spans="1:4" x14ac:dyDescent="0.2">
      <c r="A7208">
        <v>7147</v>
      </c>
      <c r="B7208" s="138">
        <f ca="1">'Expenditures 15-22'!H337</f>
        <v>0</v>
      </c>
      <c r="D7208" s="2" t="str">
        <f t="shared" ca="1" si="111"/>
        <v>Error?</v>
      </c>
    </row>
    <row r="7209" spans="1:4" x14ac:dyDescent="0.2">
      <c r="A7209">
        <v>7148</v>
      </c>
      <c r="B7209" s="138">
        <f ca="1">'Expenditures 15-22'!K337</f>
        <v>0</v>
      </c>
      <c r="D7209" s="2" t="str">
        <f t="shared" ca="1" si="111"/>
        <v>Error?</v>
      </c>
    </row>
    <row r="7210" spans="1:4" x14ac:dyDescent="0.2">
      <c r="A7210">
        <v>7149</v>
      </c>
      <c r="B7210" s="138">
        <f ca="1">'Expenditures 15-22'!H338</f>
        <v>0</v>
      </c>
      <c r="D7210" s="2" t="str">
        <f t="shared" ca="1" si="111"/>
        <v>Error?</v>
      </c>
    </row>
    <row r="7211" spans="1:4" x14ac:dyDescent="0.2">
      <c r="A7211">
        <v>7150</v>
      </c>
      <c r="B7211" s="138">
        <f ca="1">'Expenditures 15-22'!K338</f>
        <v>0</v>
      </c>
      <c r="D7211" s="2" t="str">
        <f t="shared" ca="1" si="111"/>
        <v>Error?</v>
      </c>
    </row>
    <row r="7212" spans="1:4" x14ac:dyDescent="0.2">
      <c r="A7212">
        <v>7151</v>
      </c>
      <c r="B7212" s="138">
        <f ca="1">'Expenditures 15-22'!H339</f>
        <v>0</v>
      </c>
      <c r="D7212" s="2" t="str">
        <f t="shared" ca="1" si="111"/>
        <v>Error?</v>
      </c>
    </row>
    <row r="7213" spans="1:4" x14ac:dyDescent="0.2">
      <c r="A7213">
        <v>7152</v>
      </c>
      <c r="B7213" s="138">
        <f ca="1">'Expenditures 15-22'!K339</f>
        <v>0</v>
      </c>
      <c r="D7213" s="2" t="str">
        <f t="shared" ca="1" si="111"/>
        <v>Error?</v>
      </c>
    </row>
    <row r="7214" spans="1:4" x14ac:dyDescent="0.2">
      <c r="A7214">
        <v>7153</v>
      </c>
      <c r="B7214" s="138">
        <f ca="1">'Expenditures 15-22'!H340</f>
        <v>0</v>
      </c>
      <c r="D7214" s="2" t="str">
        <f t="shared" ca="1" si="111"/>
        <v>Error?</v>
      </c>
    </row>
    <row r="7215" spans="1:4" x14ac:dyDescent="0.2">
      <c r="A7215">
        <v>7154</v>
      </c>
      <c r="B7215" s="138">
        <f ca="1">'Expenditures 15-22'!K340</f>
        <v>0</v>
      </c>
      <c r="D7215" s="2" t="str">
        <f t="shared" ca="1" si="111"/>
        <v>Error?</v>
      </c>
    </row>
    <row r="7216" spans="1:4" x14ac:dyDescent="0.2">
      <c r="A7216">
        <v>7155</v>
      </c>
      <c r="B7216" s="138">
        <f ca="1">'Expenditures 15-22'!C342</f>
        <v>2896</v>
      </c>
      <c r="D7216" s="2" t="str">
        <f t="shared" ca="1" si="111"/>
        <v>Error?</v>
      </c>
    </row>
    <row r="7217" spans="1:4" x14ac:dyDescent="0.2">
      <c r="A7217">
        <v>7156</v>
      </c>
      <c r="B7217" s="138">
        <f ca="1">'Expenditures 15-22'!D342</f>
        <v>33</v>
      </c>
      <c r="D7217" s="2" t="str">
        <f t="shared" ca="1" si="111"/>
        <v>Error?</v>
      </c>
    </row>
    <row r="7218" spans="1:4" x14ac:dyDescent="0.2">
      <c r="A7218">
        <v>7157</v>
      </c>
      <c r="B7218" s="138">
        <f ca="1">'Expenditures 15-22'!E342</f>
        <v>34362</v>
      </c>
      <c r="D7218" s="2" t="str">
        <f t="shared" ca="1" si="111"/>
        <v>Error?</v>
      </c>
    </row>
    <row r="7219" spans="1:4" x14ac:dyDescent="0.2">
      <c r="A7219">
        <v>7158</v>
      </c>
      <c r="B7219" s="138">
        <f ca="1">'Expenditures 15-22'!F342</f>
        <v>824</v>
      </c>
      <c r="D7219" s="2" t="str">
        <f t="shared" ca="1" si="111"/>
        <v>Error?</v>
      </c>
    </row>
    <row r="7220" spans="1:4" x14ac:dyDescent="0.2">
      <c r="A7220">
        <v>7159</v>
      </c>
      <c r="B7220" s="138">
        <f ca="1">'Expenditures 15-22'!G342</f>
        <v>0</v>
      </c>
      <c r="D7220" s="2" t="str">
        <f t="shared" ca="1" si="111"/>
        <v>Error?</v>
      </c>
    </row>
    <row r="7221" spans="1:4" x14ac:dyDescent="0.2">
      <c r="A7221">
        <v>7160</v>
      </c>
      <c r="B7221" s="138">
        <f ca="1">'Expenditures 15-22'!H342</f>
        <v>0</v>
      </c>
      <c r="D7221" s="2" t="str">
        <f t="shared" ca="1" si="111"/>
        <v>Error?</v>
      </c>
    </row>
    <row r="7222" spans="1:4" x14ac:dyDescent="0.2">
      <c r="A7222">
        <v>7161</v>
      </c>
      <c r="B7222" s="138">
        <f ca="1">'Expenditures 15-22'!I342</f>
        <v>0</v>
      </c>
      <c r="D7222" s="2" t="str">
        <f t="shared" ca="1" si="111"/>
        <v>Error?</v>
      </c>
    </row>
    <row r="7223" spans="1:4" x14ac:dyDescent="0.2">
      <c r="A7223">
        <v>7162</v>
      </c>
      <c r="B7223" s="138">
        <f ca="1">'Expenditures 15-22'!J342</f>
        <v>0</v>
      </c>
      <c r="D7223" s="2" t="str">
        <f t="shared" ca="1" si="111"/>
        <v>Error?</v>
      </c>
    </row>
    <row r="7224" spans="1:4" x14ac:dyDescent="0.2">
      <c r="A7224">
        <v>7163</v>
      </c>
      <c r="B7224" s="138">
        <f ca="1">'Expenditures 15-22'!K342</f>
        <v>38115</v>
      </c>
      <c r="D7224" s="2" t="str">
        <f t="shared" ca="1" si="111"/>
        <v>Error?</v>
      </c>
    </row>
    <row r="7225" spans="1:4" x14ac:dyDescent="0.2">
      <c r="A7225">
        <v>7164</v>
      </c>
      <c r="B7225" s="138">
        <f ca="1">'Expenditures 15-22'!K343</f>
        <v>51891</v>
      </c>
      <c r="D7225" s="2" t="str">
        <f t="shared" ca="1" si="111"/>
        <v>Error?</v>
      </c>
    </row>
    <row r="7226" spans="1:4" x14ac:dyDescent="0.2">
      <c r="A7226">
        <v>7165</v>
      </c>
      <c r="B7226" s="138">
        <f ca="1">'Expenditures 15-22'!I348</f>
        <v>0</v>
      </c>
      <c r="D7226" s="2" t="str">
        <f t="shared" ca="1" si="111"/>
        <v>Error?</v>
      </c>
    </row>
    <row r="7227" spans="1:4" x14ac:dyDescent="0.2">
      <c r="A7227">
        <v>7166</v>
      </c>
      <c r="B7227" s="138">
        <f ca="1">'Expenditures 15-22'!J348</f>
        <v>0</v>
      </c>
      <c r="D7227" s="2" t="str">
        <f t="shared" ca="1" si="111"/>
        <v>Error?</v>
      </c>
    </row>
    <row r="7228" spans="1:4" x14ac:dyDescent="0.2">
      <c r="A7228">
        <v>7167</v>
      </c>
      <c r="B7228" s="138">
        <f ca="1">'Expenditures 15-22'!I349</f>
        <v>0</v>
      </c>
      <c r="D7228" s="2" t="str">
        <f t="shared" ca="1" si="111"/>
        <v>Error?</v>
      </c>
    </row>
    <row r="7229" spans="1:4" x14ac:dyDescent="0.2">
      <c r="A7229">
        <v>7168</v>
      </c>
      <c r="B7229" s="138">
        <f ca="1">'Expenditures 15-22'!J349</f>
        <v>0</v>
      </c>
      <c r="D7229" s="2" t="str">
        <f t="shared" ca="1" si="111"/>
        <v>Error?</v>
      </c>
    </row>
    <row r="7230" spans="1:4" x14ac:dyDescent="0.2">
      <c r="A7230">
        <v>7169</v>
      </c>
      <c r="B7230" s="138">
        <f ca="1">'Expenditures 15-22'!I350</f>
        <v>0</v>
      </c>
      <c r="D7230" s="2" t="str">
        <f t="shared" ca="1" si="111"/>
        <v>Error?</v>
      </c>
    </row>
    <row r="7231" spans="1:4" x14ac:dyDescent="0.2">
      <c r="A7231">
        <v>7170</v>
      </c>
      <c r="B7231" s="138">
        <f ca="1">'Expenditures 15-22'!J350</f>
        <v>0</v>
      </c>
      <c r="D7231" s="2" t="str">
        <f t="shared" ref="D7231:D7294" ca="1" si="112">IF(ISBLANK(B7231),"OK",IF(A7231-B7231=0,"OK","Error?"))</f>
        <v>Error?</v>
      </c>
    </row>
    <row r="7232" spans="1:4" x14ac:dyDescent="0.2">
      <c r="A7232">
        <v>7171</v>
      </c>
      <c r="B7232" s="138">
        <f ca="1">'Expenditures 15-22'!I351</f>
        <v>0</v>
      </c>
      <c r="D7232" s="2" t="str">
        <f t="shared" ca="1" si="112"/>
        <v>Error?</v>
      </c>
    </row>
    <row r="7233" spans="1:4" x14ac:dyDescent="0.2">
      <c r="A7233">
        <v>7172</v>
      </c>
      <c r="B7233" s="138">
        <f ca="1">'Expenditures 15-22'!J351</f>
        <v>0</v>
      </c>
      <c r="D7233" s="2" t="str">
        <f t="shared" ca="1" si="112"/>
        <v>Error?</v>
      </c>
    </row>
    <row r="7234" spans="1:4" x14ac:dyDescent="0.2">
      <c r="A7234">
        <v>7173</v>
      </c>
      <c r="B7234" s="138">
        <f ca="1">'Expenditures 15-22'!I352</f>
        <v>0</v>
      </c>
      <c r="D7234" s="2" t="str">
        <f t="shared" ca="1" si="112"/>
        <v>Error?</v>
      </c>
    </row>
    <row r="7235" spans="1:4" x14ac:dyDescent="0.2">
      <c r="A7235">
        <v>7174</v>
      </c>
      <c r="B7235" s="138">
        <f ca="1">'Expenditures 15-22'!J352</f>
        <v>0</v>
      </c>
      <c r="D7235" s="2" t="str">
        <f t="shared" ca="1" si="112"/>
        <v>Error?</v>
      </c>
    </row>
    <row r="7236" spans="1:4" x14ac:dyDescent="0.2">
      <c r="A7236">
        <v>7175</v>
      </c>
      <c r="B7236" s="138">
        <f ca="1">'Expenditures 15-22'!H354</f>
        <v>0</v>
      </c>
      <c r="D7236" s="2" t="str">
        <f t="shared" ca="1" si="112"/>
        <v>Error?</v>
      </c>
    </row>
    <row r="7237" spans="1:4" x14ac:dyDescent="0.2">
      <c r="A7237">
        <v>7176</v>
      </c>
      <c r="B7237" s="138">
        <f ca="1">'Expenditures 15-22'!H355</f>
        <v>0</v>
      </c>
      <c r="D7237" s="2" t="str">
        <f t="shared" ca="1" si="112"/>
        <v>Error?</v>
      </c>
    </row>
    <row r="7238" spans="1:4" x14ac:dyDescent="0.2">
      <c r="A7238">
        <v>7177</v>
      </c>
      <c r="B7238" s="138">
        <f ca="1">'Expenditures 15-22'!H361</f>
        <v>0</v>
      </c>
      <c r="D7238" s="2" t="str">
        <f t="shared" ca="1" si="112"/>
        <v>Error?</v>
      </c>
    </row>
    <row r="7239" spans="1:4" x14ac:dyDescent="0.2">
      <c r="A7239">
        <v>7178</v>
      </c>
      <c r="B7239" s="138">
        <f ca="1">'Expenditures 15-22'!K361</f>
        <v>0</v>
      </c>
      <c r="D7239" s="2" t="str">
        <f t="shared" ca="1" si="112"/>
        <v>Error?</v>
      </c>
    </row>
    <row r="7240" spans="1:4" x14ac:dyDescent="0.2">
      <c r="A7240">
        <v>7179</v>
      </c>
      <c r="B7240" s="138">
        <f ca="1">'Expenditures 15-22'!H363</f>
        <v>0</v>
      </c>
      <c r="D7240" s="2" t="str">
        <f t="shared" ca="1" si="112"/>
        <v>Error?</v>
      </c>
    </row>
    <row r="7241" spans="1:4" x14ac:dyDescent="0.2">
      <c r="A7241">
        <v>7180</v>
      </c>
      <c r="B7241" s="138">
        <f ca="1">'Expenditures 15-22'!K363</f>
        <v>0</v>
      </c>
      <c r="D7241" s="2" t="str">
        <f t="shared" ca="1" si="112"/>
        <v>Error?</v>
      </c>
    </row>
    <row r="7242" spans="1:4" x14ac:dyDescent="0.2">
      <c r="A7242">
        <v>7181</v>
      </c>
      <c r="B7242" s="138">
        <f ca="1">'Expenditures 15-22'!H365</f>
        <v>0</v>
      </c>
      <c r="D7242" s="2" t="str">
        <f t="shared" ca="1" si="112"/>
        <v>Error?</v>
      </c>
    </row>
    <row r="7243" spans="1:4" x14ac:dyDescent="0.2">
      <c r="A7243">
        <v>7182</v>
      </c>
      <c r="B7243" s="138">
        <f ca="1">'Expenditures 15-22'!K365</f>
        <v>0</v>
      </c>
      <c r="D7243" s="2" t="str">
        <f t="shared" ca="1" si="112"/>
        <v>Error?</v>
      </c>
    </row>
    <row r="7244" spans="1:4" x14ac:dyDescent="0.2">
      <c r="A7244">
        <v>7183</v>
      </c>
      <c r="B7244" s="138">
        <f ca="1">'Expenditures 15-22'!I367</f>
        <v>0</v>
      </c>
      <c r="D7244" s="2" t="str">
        <f t="shared" ca="1" si="112"/>
        <v>Error?</v>
      </c>
    </row>
    <row r="7245" spans="1:4" x14ac:dyDescent="0.2">
      <c r="A7245">
        <f>A7244+1</f>
        <v>7184</v>
      </c>
      <c r="B7245" s="138">
        <f ca="1">'Expenditures 15-22'!J367</f>
        <v>0</v>
      </c>
      <c r="D7245" s="2" t="str">
        <f t="shared" ca="1" si="112"/>
        <v>Error?</v>
      </c>
    </row>
    <row r="7246" spans="1:4" x14ac:dyDescent="0.2">
      <c r="A7246">
        <f t="shared" ref="A7246:A7309" si="113">A7245+1</f>
        <v>7185</v>
      </c>
      <c r="B7246" s="138">
        <f ca="1">'Expenditures 15-22'!D7</f>
        <v>7071</v>
      </c>
      <c r="D7246" s="2" t="str">
        <f t="shared" ca="1" si="112"/>
        <v>Error?</v>
      </c>
    </row>
    <row r="7247" spans="1:4" x14ac:dyDescent="0.2">
      <c r="A7247">
        <f t="shared" si="113"/>
        <v>7186</v>
      </c>
      <c r="B7247" s="138">
        <f ca="1">'Expenditures 15-22'!E7</f>
        <v>0</v>
      </c>
      <c r="D7247" s="2" t="str">
        <f t="shared" ca="1" si="112"/>
        <v>Error?</v>
      </c>
    </row>
    <row r="7248" spans="1:4" x14ac:dyDescent="0.2">
      <c r="A7248">
        <f t="shared" si="113"/>
        <v>7187</v>
      </c>
      <c r="B7248" s="138">
        <f ca="1">'Expenditures 15-22'!F7</f>
        <v>6939</v>
      </c>
      <c r="D7248" s="2" t="str">
        <f t="shared" ca="1" si="112"/>
        <v>Error?</v>
      </c>
    </row>
    <row r="7249" spans="1:4" x14ac:dyDescent="0.2">
      <c r="A7249">
        <f t="shared" si="113"/>
        <v>7188</v>
      </c>
      <c r="B7249" s="138">
        <f ca="1">'Expenditures 15-22'!G7</f>
        <v>0</v>
      </c>
      <c r="D7249" s="2" t="str">
        <f t="shared" ca="1" si="112"/>
        <v>Error?</v>
      </c>
    </row>
    <row r="7250" spans="1:4" x14ac:dyDescent="0.2">
      <c r="A7250">
        <f t="shared" si="113"/>
        <v>7189</v>
      </c>
      <c r="B7250" s="138">
        <f ca="1">'Expenditures 15-22'!H7</f>
        <v>540</v>
      </c>
      <c r="D7250" s="2" t="str">
        <f t="shared" ca="1" si="112"/>
        <v>Error?</v>
      </c>
    </row>
    <row r="7251" spans="1:4" x14ac:dyDescent="0.2">
      <c r="A7251">
        <f t="shared" si="113"/>
        <v>7190</v>
      </c>
      <c r="B7251" s="138">
        <f ca="1">'Expenditures 15-22'!C9</f>
        <v>0</v>
      </c>
      <c r="D7251" s="2" t="str">
        <f t="shared" ca="1" si="112"/>
        <v>Error?</v>
      </c>
    </row>
    <row r="7252" spans="1:4" x14ac:dyDescent="0.2">
      <c r="A7252">
        <f t="shared" si="113"/>
        <v>7191</v>
      </c>
      <c r="B7252" s="138">
        <f ca="1">'Expenditures 15-22'!D9</f>
        <v>0</v>
      </c>
      <c r="D7252" s="2" t="str">
        <f t="shared" ca="1" si="112"/>
        <v>Error?</v>
      </c>
    </row>
    <row r="7253" spans="1:4" x14ac:dyDescent="0.2">
      <c r="A7253">
        <f t="shared" si="113"/>
        <v>7192</v>
      </c>
      <c r="B7253" s="138">
        <f ca="1">'Expenditures 15-22'!E9</f>
        <v>0</v>
      </c>
      <c r="D7253" s="2" t="str">
        <f t="shared" ca="1" si="112"/>
        <v>Error?</v>
      </c>
    </row>
    <row r="7254" spans="1:4" x14ac:dyDescent="0.2">
      <c r="A7254">
        <f t="shared" si="113"/>
        <v>7193</v>
      </c>
      <c r="B7254" s="138">
        <f ca="1">'Expenditures 15-22'!F9</f>
        <v>0</v>
      </c>
      <c r="D7254" s="2" t="str">
        <f t="shared" ca="1" si="112"/>
        <v>Error?</v>
      </c>
    </row>
    <row r="7255" spans="1:4" x14ac:dyDescent="0.2">
      <c r="A7255">
        <f t="shared" si="113"/>
        <v>7194</v>
      </c>
      <c r="B7255" s="138">
        <f ca="1">'Expenditures 15-22'!G9</f>
        <v>0</v>
      </c>
      <c r="D7255" s="2" t="str">
        <f t="shared" ca="1" si="112"/>
        <v>Error?</v>
      </c>
    </row>
    <row r="7256" spans="1:4" x14ac:dyDescent="0.2">
      <c r="A7256">
        <f t="shared" si="113"/>
        <v>7195</v>
      </c>
      <c r="B7256" s="138">
        <f ca="1">'Expenditures 15-22'!H9</f>
        <v>0</v>
      </c>
      <c r="D7256" s="2" t="str">
        <f t="shared" ca="1" si="112"/>
        <v>Error?</v>
      </c>
    </row>
    <row r="7257" spans="1:4" x14ac:dyDescent="0.2">
      <c r="A7257">
        <f t="shared" si="113"/>
        <v>7196</v>
      </c>
      <c r="B7257" s="138">
        <f ca="1">'Expenditures 15-22'!C11</f>
        <v>0</v>
      </c>
      <c r="D7257" s="2" t="str">
        <f t="shared" ca="1" si="112"/>
        <v>Error?</v>
      </c>
    </row>
    <row r="7258" spans="1:4" x14ac:dyDescent="0.2">
      <c r="A7258">
        <f t="shared" si="113"/>
        <v>7197</v>
      </c>
      <c r="B7258" s="138">
        <f ca="1">'Expenditures 15-22'!D11</f>
        <v>0</v>
      </c>
      <c r="D7258" s="2" t="str">
        <f t="shared" ca="1" si="112"/>
        <v>Error?</v>
      </c>
    </row>
    <row r="7259" spans="1:4" x14ac:dyDescent="0.2">
      <c r="A7259">
        <f t="shared" si="113"/>
        <v>7198</v>
      </c>
      <c r="B7259" s="138">
        <f ca="1">'Expenditures 15-22'!E11</f>
        <v>0</v>
      </c>
      <c r="D7259" s="2" t="str">
        <f t="shared" ca="1" si="112"/>
        <v>Error?</v>
      </c>
    </row>
    <row r="7260" spans="1:4" x14ac:dyDescent="0.2">
      <c r="A7260">
        <f t="shared" si="113"/>
        <v>7199</v>
      </c>
      <c r="B7260" s="138">
        <f ca="1">'Expenditures 15-22'!F11</f>
        <v>0</v>
      </c>
      <c r="D7260" s="2" t="str">
        <f t="shared" ca="1" si="112"/>
        <v>Error?</v>
      </c>
    </row>
    <row r="7261" spans="1:4" x14ac:dyDescent="0.2">
      <c r="A7261">
        <f t="shared" si="113"/>
        <v>7200</v>
      </c>
      <c r="B7261" s="138">
        <f ca="1">'Expenditures 15-22'!G11</f>
        <v>0</v>
      </c>
      <c r="D7261" s="2" t="str">
        <f t="shared" ca="1" si="112"/>
        <v>Error?</v>
      </c>
    </row>
    <row r="7262" spans="1:4" x14ac:dyDescent="0.2">
      <c r="A7262">
        <f t="shared" si="113"/>
        <v>7201</v>
      </c>
      <c r="B7262" s="138">
        <f ca="1">'Expenditures 15-22'!H11</f>
        <v>0</v>
      </c>
      <c r="D7262" s="2" t="str">
        <f t="shared" ca="1" si="112"/>
        <v>Error?</v>
      </c>
    </row>
    <row r="7263" spans="1:4" x14ac:dyDescent="0.2">
      <c r="A7263">
        <f t="shared" si="113"/>
        <v>7202</v>
      </c>
      <c r="B7263" s="138">
        <f ca="1">'Expenditures 15-22'!C17</f>
        <v>0</v>
      </c>
      <c r="D7263" s="2" t="str">
        <f t="shared" ca="1" si="112"/>
        <v>Error?</v>
      </c>
    </row>
    <row r="7264" spans="1:4" x14ac:dyDescent="0.2">
      <c r="A7264">
        <f t="shared" si="113"/>
        <v>7203</v>
      </c>
      <c r="B7264" s="138">
        <f ca="1">'Expenditures 15-22'!D17</f>
        <v>0</v>
      </c>
      <c r="D7264" s="2" t="str">
        <f t="shared" ca="1" si="112"/>
        <v>Error?</v>
      </c>
    </row>
    <row r="7265" spans="1:5" x14ac:dyDescent="0.2">
      <c r="A7265">
        <f t="shared" si="113"/>
        <v>7204</v>
      </c>
      <c r="B7265" s="138">
        <f ca="1">'Expenditures 15-22'!E17</f>
        <v>0</v>
      </c>
      <c r="D7265" s="2" t="str">
        <f t="shared" ca="1" si="112"/>
        <v>Error?</v>
      </c>
    </row>
    <row r="7266" spans="1:5" x14ac:dyDescent="0.2">
      <c r="A7266">
        <f t="shared" si="113"/>
        <v>7205</v>
      </c>
      <c r="B7266" s="138">
        <f ca="1">'Expenditures 15-22'!F17</f>
        <v>0</v>
      </c>
      <c r="D7266" s="2" t="str">
        <f t="shared" ca="1" si="112"/>
        <v>Error?</v>
      </c>
    </row>
    <row r="7267" spans="1:5" x14ac:dyDescent="0.2">
      <c r="A7267">
        <f t="shared" si="113"/>
        <v>7206</v>
      </c>
      <c r="B7267" s="138">
        <f ca="1">'Expenditures 15-22'!G17</f>
        <v>0</v>
      </c>
      <c r="D7267" s="2" t="str">
        <f t="shared" ca="1" si="112"/>
        <v>Error?</v>
      </c>
    </row>
    <row r="7268" spans="1:5" x14ac:dyDescent="0.2">
      <c r="A7268">
        <f t="shared" si="113"/>
        <v>7207</v>
      </c>
      <c r="B7268" s="138">
        <f ca="1">'Expenditures 15-22'!H17</f>
        <v>0</v>
      </c>
      <c r="D7268" s="2" t="str">
        <f t="shared" ca="1"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 ca="1">'Cap Outlay Deprec 26'!F17</f>
        <v>0</v>
      </c>
      <c r="D7624" s="2" t="str">
        <f t="shared" ca="1" si="124"/>
        <v>Error?</v>
      </c>
      <c r="E7624" s="2" t="s">
        <v>19</v>
      </c>
    </row>
    <row r="7625" spans="1:5" x14ac:dyDescent="0.2">
      <c r="A7625">
        <f t="shared" si="123"/>
        <v>7564</v>
      </c>
      <c r="B7625" s="138">
        <f ca="1">'Cap Outlay Deprec 26'!I17</f>
        <v>0</v>
      </c>
      <c r="D7625" s="2" t="str">
        <f t="shared" ca="1"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 ca="1">'Cap Outlay Deprec 26'!I18</f>
        <v>100590</v>
      </c>
      <c r="D7631" s="2" t="str">
        <f t="shared" ca="1"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 ca="1">'Revenues 9-14'!G106</f>
        <v>0</v>
      </c>
      <c r="D7636" s="2" t="str">
        <f t="shared" ca="1" si="124"/>
        <v>Error?</v>
      </c>
      <c r="E7636" s="2" t="s">
        <v>80</v>
      </c>
    </row>
    <row r="7637" spans="1:6" x14ac:dyDescent="0.2">
      <c r="A7637">
        <f t="shared" si="125"/>
        <v>7576</v>
      </c>
      <c r="B7637" s="138">
        <f ca="1">'Revenues 9-14'!H106</f>
        <v>0</v>
      </c>
      <c r="D7637" s="2" t="str">
        <f t="shared" ca="1" si="124"/>
        <v>Error?</v>
      </c>
      <c r="E7637" s="2" t="s">
        <v>80</v>
      </c>
    </row>
    <row r="7638" spans="1:6" x14ac:dyDescent="0.2">
      <c r="A7638">
        <f t="shared" si="125"/>
        <v>7577</v>
      </c>
      <c r="B7638" s="138">
        <f ca="1">'Revenues 9-14'!J106</f>
        <v>0</v>
      </c>
      <c r="D7638" s="2" t="str">
        <f t="shared" ca="1" si="124"/>
        <v>Error?</v>
      </c>
      <c r="E7638" s="2" t="s">
        <v>80</v>
      </c>
    </row>
    <row r="7639" spans="1:6" x14ac:dyDescent="0.2">
      <c r="A7639">
        <f t="shared" si="125"/>
        <v>7578</v>
      </c>
      <c r="B7639" s="138">
        <f ca="1">'Revenues 9-14'!K106</f>
        <v>0</v>
      </c>
      <c r="D7639" s="2" t="str">
        <f t="shared" ca="1"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 ca="1">'Acct Summary 7-8'!C55</f>
        <v>0</v>
      </c>
      <c r="D7651" s="2" t="str">
        <f t="shared" ca="1" si="124"/>
        <v>Error?</v>
      </c>
      <c r="E7651" s="2" t="s">
        <v>827</v>
      </c>
    </row>
    <row r="7652" spans="1:5" x14ac:dyDescent="0.2">
      <c r="A7652">
        <v>7591</v>
      </c>
      <c r="B7652" s="138">
        <f ca="1">'Acct Summary 7-8'!D55</f>
        <v>0</v>
      </c>
      <c r="D7652" s="2" t="str">
        <f t="shared" ca="1" si="124"/>
        <v>Error?</v>
      </c>
      <c r="E7652" s="2" t="s">
        <v>827</v>
      </c>
    </row>
    <row r="7653" spans="1:5" x14ac:dyDescent="0.2">
      <c r="A7653">
        <v>7592</v>
      </c>
      <c r="B7653" s="138">
        <f ca="1">'Acct Summary 7-8'!H55</f>
        <v>0</v>
      </c>
      <c r="D7653" s="2" t="str">
        <f t="shared" ca="1" si="124"/>
        <v>Error?</v>
      </c>
      <c r="E7653" s="2" t="s">
        <v>827</v>
      </c>
    </row>
    <row r="7654" spans="1:5" x14ac:dyDescent="0.2">
      <c r="A7654">
        <v>7593</v>
      </c>
      <c r="B7654" s="138">
        <f ca="1">'Acct Summary 7-8'!C56</f>
        <v>0</v>
      </c>
      <c r="D7654" s="2" t="str">
        <f t="shared" ca="1" si="124"/>
        <v>Error?</v>
      </c>
      <c r="E7654" s="2" t="s">
        <v>827</v>
      </c>
    </row>
    <row r="7655" spans="1:5" x14ac:dyDescent="0.2">
      <c r="A7655">
        <v>7594</v>
      </c>
      <c r="B7655" s="138">
        <f ca="1">'Acct Summary 7-8'!D56</f>
        <v>0</v>
      </c>
      <c r="D7655" s="2" t="str">
        <f t="shared" ca="1" si="124"/>
        <v>Error?</v>
      </c>
      <c r="E7655" s="2" t="s">
        <v>827</v>
      </c>
    </row>
    <row r="7656" spans="1:5" x14ac:dyDescent="0.2">
      <c r="A7656">
        <v>7595</v>
      </c>
      <c r="B7656" s="138">
        <f ca="1">'Acct Summary 7-8'!H56</f>
        <v>0</v>
      </c>
      <c r="D7656" s="2" t="str">
        <f t="shared" ca="1" si="124"/>
        <v>Error?</v>
      </c>
      <c r="E7656" s="2" t="s">
        <v>827</v>
      </c>
    </row>
    <row r="7657" spans="1:5" x14ac:dyDescent="0.2">
      <c r="A7657">
        <v>7596</v>
      </c>
      <c r="B7657" s="138">
        <f ca="1">'Acct Summary 7-8'!C57</f>
        <v>0</v>
      </c>
      <c r="D7657" s="2" t="str">
        <f t="shared" ca="1" si="124"/>
        <v>Error?</v>
      </c>
      <c r="E7657" s="2" t="s">
        <v>827</v>
      </c>
    </row>
    <row r="7658" spans="1:5" x14ac:dyDescent="0.2">
      <c r="A7658">
        <v>7597</v>
      </c>
      <c r="B7658" s="138">
        <f ca="1">'Acct Summary 7-8'!D57</f>
        <v>0</v>
      </c>
      <c r="D7658" s="2" t="str">
        <f t="shared" ca="1" si="124"/>
        <v>Error?</v>
      </c>
      <c r="E7658" s="2" t="s">
        <v>827</v>
      </c>
    </row>
    <row r="7659" spans="1:5" x14ac:dyDescent="0.2">
      <c r="A7659">
        <v>7598</v>
      </c>
      <c r="B7659" s="138">
        <f ca="1">'Acct Summary 7-8'!H57</f>
        <v>0</v>
      </c>
      <c r="D7659" s="2" t="str">
        <f t="shared" ca="1" si="124"/>
        <v>Error?</v>
      </c>
      <c r="E7659" s="2" t="s">
        <v>827</v>
      </c>
    </row>
    <row r="7660" spans="1:5" x14ac:dyDescent="0.2">
      <c r="A7660">
        <v>7599</v>
      </c>
      <c r="B7660" s="138">
        <f ca="1">'Acct Summary 7-8'!C59</f>
        <v>0</v>
      </c>
      <c r="D7660" s="2" t="str">
        <f t="shared" ca="1" si="124"/>
        <v>Error?</v>
      </c>
      <c r="E7660" s="2" t="s">
        <v>827</v>
      </c>
    </row>
    <row r="7661" spans="1:5" x14ac:dyDescent="0.2">
      <c r="A7661">
        <v>7600</v>
      </c>
      <c r="B7661" s="138">
        <f ca="1">'Acct Summary 7-8'!D59</f>
        <v>0</v>
      </c>
      <c r="D7661" s="2" t="str">
        <f t="shared" ca="1" si="124"/>
        <v>Error?</v>
      </c>
      <c r="E7661" s="2" t="s">
        <v>827</v>
      </c>
    </row>
    <row r="7662" spans="1:5" x14ac:dyDescent="0.2">
      <c r="A7662">
        <v>7601</v>
      </c>
      <c r="B7662" s="138">
        <f ca="1">'Acct Summary 7-8'!H59</f>
        <v>0</v>
      </c>
      <c r="D7662" s="2" t="str">
        <f t="shared" ca="1" si="124"/>
        <v>Error?</v>
      </c>
      <c r="E7662" s="2" t="s">
        <v>827</v>
      </c>
    </row>
    <row r="7663" spans="1:5" x14ac:dyDescent="0.2">
      <c r="A7663">
        <v>7602</v>
      </c>
      <c r="B7663" s="138">
        <f ca="1">'Acct Summary 7-8'!C60</f>
        <v>0</v>
      </c>
      <c r="D7663" s="2" t="str">
        <f t="shared" ca="1" si="124"/>
        <v>Error?</v>
      </c>
      <c r="E7663" s="2" t="s">
        <v>827</v>
      </c>
    </row>
    <row r="7664" spans="1:5" x14ac:dyDescent="0.2">
      <c r="A7664">
        <v>7603</v>
      </c>
      <c r="B7664" s="138">
        <f ca="1">'Acct Summary 7-8'!D60</f>
        <v>0</v>
      </c>
      <c r="D7664" s="2" t="str">
        <f t="shared" ca="1" si="124"/>
        <v>Error?</v>
      </c>
      <c r="E7664" s="2" t="s">
        <v>827</v>
      </c>
    </row>
    <row r="7665" spans="1:5" x14ac:dyDescent="0.2">
      <c r="A7665">
        <v>7604</v>
      </c>
      <c r="B7665" s="138">
        <f ca="1">'Acct Summary 7-8'!H60</f>
        <v>0</v>
      </c>
      <c r="D7665" s="2" t="str">
        <f t="shared" ca="1" si="124"/>
        <v>Error?</v>
      </c>
      <c r="E7665" s="2" t="s">
        <v>827</v>
      </c>
    </row>
    <row r="7666" spans="1:5" x14ac:dyDescent="0.2">
      <c r="A7666">
        <v>7605</v>
      </c>
      <c r="B7666" s="138">
        <f ca="1">'Acct Summary 7-8'!C61</f>
        <v>0</v>
      </c>
      <c r="D7666" s="2" t="str">
        <f t="shared" ca="1" si="124"/>
        <v>Error?</v>
      </c>
      <c r="E7666" s="2" t="s">
        <v>827</v>
      </c>
    </row>
    <row r="7667" spans="1:5" x14ac:dyDescent="0.2">
      <c r="A7667">
        <v>7606</v>
      </c>
      <c r="B7667" s="138">
        <f ca="1">'Acct Summary 7-8'!D61</f>
        <v>0</v>
      </c>
      <c r="D7667" s="2" t="str">
        <f t="shared" ca="1" si="124"/>
        <v>Error?</v>
      </c>
      <c r="E7667" s="2" t="s">
        <v>827</v>
      </c>
    </row>
    <row r="7668" spans="1:5" x14ac:dyDescent="0.2">
      <c r="A7668">
        <v>7607</v>
      </c>
      <c r="B7668" s="138">
        <f ca="1">'Acct Summary 7-8'!H61</f>
        <v>0</v>
      </c>
      <c r="D7668" s="2" t="str">
        <f t="shared" ca="1" si="124"/>
        <v>Error?</v>
      </c>
      <c r="E7668" s="2" t="s">
        <v>827</v>
      </c>
    </row>
    <row r="7669" spans="1:5" x14ac:dyDescent="0.2">
      <c r="A7669">
        <v>7608</v>
      </c>
      <c r="B7669" s="138">
        <f ca="1">'Acct Summary 7-8'!C63</f>
        <v>0</v>
      </c>
      <c r="D7669" s="2" t="str">
        <f t="shared" ca="1" si="124"/>
        <v>Error?</v>
      </c>
      <c r="E7669" s="2" t="s">
        <v>827</v>
      </c>
    </row>
    <row r="7670" spans="1:5" x14ac:dyDescent="0.2">
      <c r="A7670">
        <v>7609</v>
      </c>
      <c r="B7670" s="138">
        <f ca="1">'Acct Summary 7-8'!D63</f>
        <v>0</v>
      </c>
      <c r="D7670" s="2" t="str">
        <f t="shared" ca="1" si="124"/>
        <v>Error?</v>
      </c>
      <c r="E7670" s="2" t="s">
        <v>827</v>
      </c>
    </row>
    <row r="7671" spans="1:5" x14ac:dyDescent="0.2">
      <c r="A7671">
        <v>7610</v>
      </c>
      <c r="B7671" s="138">
        <f ca="1">'Acct Summary 7-8'!C64</f>
        <v>0</v>
      </c>
      <c r="D7671" s="2" t="str">
        <f t="shared" ca="1" si="124"/>
        <v>Error?</v>
      </c>
      <c r="E7671" s="2" t="s">
        <v>827</v>
      </c>
    </row>
    <row r="7672" spans="1:5" x14ac:dyDescent="0.2">
      <c r="A7672">
        <v>7611</v>
      </c>
      <c r="B7672" s="138">
        <f ca="1">'Acct Summary 7-8'!D64</f>
        <v>0</v>
      </c>
      <c r="D7672" s="2" t="str">
        <f t="shared" ca="1" si="124"/>
        <v>Error?</v>
      </c>
      <c r="E7672" s="2" t="s">
        <v>827</v>
      </c>
    </row>
    <row r="7673" spans="1:5" x14ac:dyDescent="0.2">
      <c r="A7673">
        <v>7612</v>
      </c>
      <c r="B7673" s="138">
        <f ca="1">'Acct Summary 7-8'!C65</f>
        <v>0</v>
      </c>
      <c r="D7673" s="2" t="str">
        <f t="shared" ca="1" si="124"/>
        <v>Error?</v>
      </c>
      <c r="E7673" s="2" t="s">
        <v>827</v>
      </c>
    </row>
    <row r="7674" spans="1:5" x14ac:dyDescent="0.2">
      <c r="A7674">
        <v>7613</v>
      </c>
      <c r="B7674" s="138">
        <f ca="1">'Acct Summary 7-8'!D65</f>
        <v>0</v>
      </c>
      <c r="D7674" s="2" t="str">
        <f t="shared" ca="1" si="124"/>
        <v>Error?</v>
      </c>
      <c r="E7674" s="2" t="s">
        <v>827</v>
      </c>
    </row>
    <row r="7675" spans="1:5" x14ac:dyDescent="0.2">
      <c r="A7675">
        <v>7614</v>
      </c>
      <c r="B7675" s="138">
        <f ca="1">'Acct Summary 7-8'!C67</f>
        <v>0</v>
      </c>
      <c r="D7675" s="2" t="str">
        <f t="shared" ca="1" si="124"/>
        <v>Error?</v>
      </c>
      <c r="E7675" s="2" t="s">
        <v>827</v>
      </c>
    </row>
    <row r="7676" spans="1:5" x14ac:dyDescent="0.2">
      <c r="A7676">
        <v>7615</v>
      </c>
      <c r="B7676" s="138">
        <f ca="1">'Acct Summary 7-8'!D67</f>
        <v>0</v>
      </c>
      <c r="D7676" s="2" t="str">
        <f t="shared" ca="1" si="124"/>
        <v>Error?</v>
      </c>
      <c r="E7676" s="2" t="s">
        <v>827</v>
      </c>
    </row>
    <row r="7677" spans="1:5" x14ac:dyDescent="0.2">
      <c r="A7677">
        <v>7616</v>
      </c>
      <c r="B7677" s="138">
        <f ca="1">'Acct Summary 7-8'!C68</f>
        <v>0</v>
      </c>
      <c r="D7677" s="2" t="str">
        <f t="shared" ca="1" si="124"/>
        <v>Error?</v>
      </c>
      <c r="E7677" s="2" t="s">
        <v>827</v>
      </c>
    </row>
    <row r="7678" spans="1:5" x14ac:dyDescent="0.2">
      <c r="A7678">
        <v>7617</v>
      </c>
      <c r="B7678" s="138">
        <f ca="1">'Acct Summary 7-8'!D68</f>
        <v>0</v>
      </c>
      <c r="D7678" s="2" t="str">
        <f t="shared" ca="1" si="124"/>
        <v>Error?</v>
      </c>
      <c r="E7678" s="2" t="s">
        <v>827</v>
      </c>
    </row>
    <row r="7679" spans="1:5" x14ac:dyDescent="0.2">
      <c r="A7679">
        <v>7618</v>
      </c>
      <c r="B7679" s="138">
        <f ca="1">'Acct Summary 7-8'!C69</f>
        <v>0</v>
      </c>
      <c r="D7679" s="2" t="str">
        <f t="shared" ref="D7679:D7742" ca="1" si="126">IF(ISBLANK(B7679),"OK",IF(A7679-B7679=0,"OK","Error?"))</f>
        <v>Error?</v>
      </c>
      <c r="E7679" s="2" t="s">
        <v>827</v>
      </c>
    </row>
    <row r="7680" spans="1:5" x14ac:dyDescent="0.2">
      <c r="A7680">
        <v>7619</v>
      </c>
      <c r="B7680" s="138">
        <f ca="1">'Acct Summary 7-8'!D69</f>
        <v>0</v>
      </c>
      <c r="D7680" s="2" t="str">
        <f t="shared" ca="1" si="126"/>
        <v>Error?</v>
      </c>
      <c r="E7680" s="2" t="s">
        <v>827</v>
      </c>
    </row>
    <row r="7681" spans="1:5" x14ac:dyDescent="0.2">
      <c r="A7681">
        <v>7620</v>
      </c>
      <c r="B7681" s="138">
        <f ca="1">'Acct Summary 7-8'!C71</f>
        <v>0</v>
      </c>
      <c r="D7681" s="2" t="str">
        <f t="shared" ca="1" si="126"/>
        <v>Error?</v>
      </c>
      <c r="E7681" s="2" t="s">
        <v>827</v>
      </c>
    </row>
    <row r="7682" spans="1:5" x14ac:dyDescent="0.2">
      <c r="A7682">
        <v>7621</v>
      </c>
      <c r="B7682" s="138">
        <f ca="1">'Acct Summary 7-8'!D71</f>
        <v>0</v>
      </c>
      <c r="D7682" s="2" t="str">
        <f t="shared" ca="1" si="126"/>
        <v>Error?</v>
      </c>
      <c r="E7682" s="2" t="s">
        <v>827</v>
      </c>
    </row>
    <row r="7683" spans="1:5" x14ac:dyDescent="0.2">
      <c r="A7683">
        <v>7622</v>
      </c>
      <c r="B7683" s="138">
        <f ca="1">'Acct Summary 7-8'!C72</f>
        <v>0</v>
      </c>
      <c r="D7683" s="2" t="str">
        <f t="shared" ca="1" si="126"/>
        <v>Error?</v>
      </c>
      <c r="E7683" s="2" t="s">
        <v>827</v>
      </c>
    </row>
    <row r="7684" spans="1:5" x14ac:dyDescent="0.2">
      <c r="A7684">
        <v>7623</v>
      </c>
      <c r="B7684" s="138">
        <f ca="1">'Acct Summary 7-8'!D72</f>
        <v>0</v>
      </c>
      <c r="D7684" s="2" t="str">
        <f t="shared" ca="1" si="126"/>
        <v>Error?</v>
      </c>
      <c r="E7684" s="2" t="s">
        <v>827</v>
      </c>
    </row>
    <row r="7685" spans="1:5" x14ac:dyDescent="0.2">
      <c r="A7685">
        <v>7624</v>
      </c>
      <c r="B7685" s="138">
        <f ca="1">'Acct Summary 7-8'!C73</f>
        <v>0</v>
      </c>
      <c r="D7685" s="2" t="str">
        <f t="shared" ca="1" si="126"/>
        <v>Error?</v>
      </c>
      <c r="E7685" s="2" t="s">
        <v>827</v>
      </c>
    </row>
    <row r="7686" spans="1:5" x14ac:dyDescent="0.2">
      <c r="A7686">
        <v>7625</v>
      </c>
      <c r="B7686" s="138">
        <f ca="1">'Acct Summary 7-8'!D73</f>
        <v>0</v>
      </c>
      <c r="D7686" s="2" t="str">
        <f t="shared" ca="1" si="126"/>
        <v>Error?</v>
      </c>
      <c r="E7686" s="2" t="s">
        <v>827</v>
      </c>
    </row>
    <row r="7687" spans="1:5" x14ac:dyDescent="0.2">
      <c r="A7687">
        <v>7626</v>
      </c>
      <c r="B7687" s="138">
        <f ca="1">'Revenues 9-14'!C196</f>
        <v>0</v>
      </c>
      <c r="D7687" s="2" t="str">
        <f t="shared" ca="1" si="126"/>
        <v>Error?</v>
      </c>
      <c r="E7687" s="2" t="s">
        <v>827</v>
      </c>
    </row>
    <row r="7688" spans="1:5" x14ac:dyDescent="0.2">
      <c r="A7688">
        <v>7627</v>
      </c>
      <c r="B7688" s="138">
        <f ca="1">'Expenditures 15-22'!C328</f>
        <v>0</v>
      </c>
      <c r="D7688" s="2" t="str">
        <f t="shared" ca="1" si="126"/>
        <v>Error?</v>
      </c>
      <c r="E7688" s="2" t="s">
        <v>827</v>
      </c>
    </row>
    <row r="7689" spans="1:5" x14ac:dyDescent="0.2">
      <c r="A7689">
        <v>7628</v>
      </c>
      <c r="B7689" s="138">
        <f ca="1">'Expenditures 15-22'!D328</f>
        <v>0</v>
      </c>
      <c r="D7689" s="2" t="str">
        <f t="shared" ca="1" si="126"/>
        <v>Error?</v>
      </c>
      <c r="E7689" s="2" t="s">
        <v>827</v>
      </c>
    </row>
    <row r="7690" spans="1:5" x14ac:dyDescent="0.2">
      <c r="A7690">
        <v>7629</v>
      </c>
      <c r="B7690" s="138">
        <f ca="1">'Expenditures 15-22'!E328</f>
        <v>0</v>
      </c>
      <c r="D7690" s="2" t="str">
        <f t="shared" ca="1" si="126"/>
        <v>Error?</v>
      </c>
      <c r="E7690" s="2" t="s">
        <v>827</v>
      </c>
    </row>
    <row r="7691" spans="1:5" x14ac:dyDescent="0.2">
      <c r="A7691">
        <v>7630</v>
      </c>
      <c r="B7691" s="138">
        <f ca="1">'Expenditures 15-22'!F328</f>
        <v>0</v>
      </c>
      <c r="D7691" s="2" t="str">
        <f t="shared" ca="1" si="126"/>
        <v>Error?</v>
      </c>
      <c r="E7691" s="2" t="s">
        <v>827</v>
      </c>
    </row>
    <row r="7692" spans="1:5" x14ac:dyDescent="0.2">
      <c r="A7692">
        <v>7631</v>
      </c>
      <c r="B7692" s="138">
        <f ca="1">'Expenditures 15-22'!G328</f>
        <v>0</v>
      </c>
      <c r="D7692" s="2" t="str">
        <f t="shared" ca="1" si="126"/>
        <v>Error?</v>
      </c>
      <c r="E7692" s="2" t="s">
        <v>827</v>
      </c>
    </row>
    <row r="7693" spans="1:5" x14ac:dyDescent="0.2">
      <c r="A7693">
        <v>7632</v>
      </c>
      <c r="B7693" s="138">
        <f ca="1">'Expenditures 15-22'!H328</f>
        <v>0</v>
      </c>
      <c r="D7693" s="2" t="str">
        <f t="shared" ca="1" si="126"/>
        <v>Error?</v>
      </c>
      <c r="E7693" s="2" t="s">
        <v>827</v>
      </c>
    </row>
    <row r="7694" spans="1:5" x14ac:dyDescent="0.2">
      <c r="A7694">
        <v>7633</v>
      </c>
      <c r="B7694" s="138">
        <f ca="1">'Expenditures 15-22'!I328</f>
        <v>0</v>
      </c>
      <c r="D7694" s="2" t="str">
        <f t="shared" ca="1" si="126"/>
        <v>Error?</v>
      </c>
      <c r="E7694" s="2" t="s">
        <v>827</v>
      </c>
    </row>
    <row r="7695" spans="1:5" x14ac:dyDescent="0.2">
      <c r="A7695">
        <v>7634</v>
      </c>
      <c r="B7695" s="138">
        <f ca="1">'Expenditures 15-22'!J328</f>
        <v>0</v>
      </c>
      <c r="D7695" s="2" t="str">
        <f t="shared" ca="1" si="126"/>
        <v>Error?</v>
      </c>
      <c r="E7695" s="2" t="s">
        <v>827</v>
      </c>
    </row>
    <row r="7696" spans="1:5" x14ac:dyDescent="0.2">
      <c r="A7696">
        <v>7635</v>
      </c>
      <c r="B7696" s="138">
        <f ca="1">'Expenditures 15-22'!K328</f>
        <v>0</v>
      </c>
      <c r="D7696" s="2" t="str">
        <f t="shared" ca="1" si="126"/>
        <v>Error?</v>
      </c>
      <c r="E7696" s="2" t="s">
        <v>827</v>
      </c>
    </row>
    <row r="7697" spans="1:5" x14ac:dyDescent="0.2">
      <c r="A7697">
        <v>7636</v>
      </c>
      <c r="B7697" s="138">
        <f ca="1">'Expenditures 15-22'!C329</f>
        <v>0</v>
      </c>
      <c r="D7697" s="2" t="str">
        <f t="shared" ca="1" si="126"/>
        <v>Error?</v>
      </c>
      <c r="E7697" s="2" t="s">
        <v>827</v>
      </c>
    </row>
    <row r="7698" spans="1:5" x14ac:dyDescent="0.2">
      <c r="A7698">
        <v>7637</v>
      </c>
      <c r="B7698" s="138">
        <f ca="1">'Expenditures 15-22'!D329</f>
        <v>0</v>
      </c>
      <c r="D7698" s="2" t="str">
        <f t="shared" ca="1" si="126"/>
        <v>Error?</v>
      </c>
      <c r="E7698" s="2" t="s">
        <v>827</v>
      </c>
    </row>
    <row r="7699" spans="1:5" x14ac:dyDescent="0.2">
      <c r="A7699">
        <v>7638</v>
      </c>
      <c r="B7699" s="138">
        <f ca="1">'Expenditures 15-22'!E329</f>
        <v>0</v>
      </c>
      <c r="D7699" s="2" t="str">
        <f t="shared" ca="1" si="126"/>
        <v>Error?</v>
      </c>
      <c r="E7699" s="2" t="s">
        <v>827</v>
      </c>
    </row>
    <row r="7700" spans="1:5" x14ac:dyDescent="0.2">
      <c r="A7700">
        <v>7639</v>
      </c>
      <c r="B7700" s="138">
        <f ca="1">'Expenditures 15-22'!F329</f>
        <v>0</v>
      </c>
      <c r="D7700" s="2" t="str">
        <f t="shared" ca="1" si="126"/>
        <v>Error?</v>
      </c>
      <c r="E7700" s="2" t="s">
        <v>827</v>
      </c>
    </row>
    <row r="7701" spans="1:5" x14ac:dyDescent="0.2">
      <c r="A7701">
        <v>7640</v>
      </c>
      <c r="B7701" s="138">
        <f ca="1">'Expenditures 15-22'!G329</f>
        <v>0</v>
      </c>
      <c r="D7701" s="2" t="str">
        <f t="shared" ca="1" si="126"/>
        <v>Error?</v>
      </c>
      <c r="E7701" s="2" t="s">
        <v>827</v>
      </c>
    </row>
    <row r="7702" spans="1:5" x14ac:dyDescent="0.2">
      <c r="A7702">
        <v>7641</v>
      </c>
      <c r="B7702" s="138">
        <f ca="1">'Expenditures 15-22'!H329</f>
        <v>0</v>
      </c>
      <c r="D7702" s="2" t="str">
        <f t="shared" ca="1" si="126"/>
        <v>Error?</v>
      </c>
      <c r="E7702" s="2" t="s">
        <v>827</v>
      </c>
    </row>
    <row r="7703" spans="1:5" x14ac:dyDescent="0.2">
      <c r="A7703">
        <v>7642</v>
      </c>
      <c r="B7703" s="138">
        <f ca="1">'Expenditures 15-22'!I329</f>
        <v>0</v>
      </c>
      <c r="D7703" s="2" t="str">
        <f t="shared" ca="1" si="126"/>
        <v>Error?</v>
      </c>
      <c r="E7703" s="2" t="s">
        <v>827</v>
      </c>
    </row>
    <row r="7704" spans="1:5" x14ac:dyDescent="0.2">
      <c r="A7704">
        <v>7643</v>
      </c>
      <c r="B7704" s="138">
        <f ca="1">'Expenditures 15-22'!J329</f>
        <v>0</v>
      </c>
      <c r="D7704" s="2" t="str">
        <f t="shared" ca="1" si="126"/>
        <v>Error?</v>
      </c>
      <c r="E7704" s="2" t="s">
        <v>827</v>
      </c>
    </row>
    <row r="7705" spans="1:5" x14ac:dyDescent="0.2">
      <c r="A7705">
        <v>7644</v>
      </c>
      <c r="B7705" s="138">
        <f ca="1">'Expenditures 15-22'!K329</f>
        <v>0</v>
      </c>
      <c r="D7705" s="2" t="str">
        <f t="shared" ca="1" si="126"/>
        <v>Error?</v>
      </c>
      <c r="E7705" s="2" t="s">
        <v>827</v>
      </c>
    </row>
    <row r="7706" spans="1:5" x14ac:dyDescent="0.2">
      <c r="A7706">
        <v>7645</v>
      </c>
      <c r="B7706" s="138">
        <f ca="1">'Revenues 9-14'!H167</f>
        <v>53964</v>
      </c>
      <c r="D7706" s="2" t="str">
        <f t="shared" ca="1" si="126"/>
        <v>Error?</v>
      </c>
      <c r="E7706" s="2" t="s">
        <v>827</v>
      </c>
    </row>
    <row r="7707" spans="1:5" x14ac:dyDescent="0.2">
      <c r="A7707">
        <v>7646</v>
      </c>
      <c r="B7707" s="138">
        <f ca="1">'Expenditures 15-22'!I64</f>
        <v>0</v>
      </c>
      <c r="D7707" s="2" t="str">
        <f t="shared" ca="1"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 ca="1">'Rest Tax Levies-Tort Im 25'!H14</f>
        <v>29720</v>
      </c>
      <c r="D7720" s="2" t="str">
        <f t="shared" ca="1"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 ca="1">'Revenues 9-14'!E103</f>
        <v>0</v>
      </c>
      <c r="D7728" s="2" t="str">
        <f t="shared" ca="1"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 ca="1">'Revenues 9-14'!H103</f>
        <v>0</v>
      </c>
      <c r="D7731" s="2" t="str">
        <f t="shared" ca="1"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 ca="1">'Rest Tax Levies-Tort Im 25'!H26</f>
        <v>0</v>
      </c>
      <c r="D7740" s="2" t="str">
        <f t="shared" ca="1"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 ca="1">'Expenditures 15-22'!H364</f>
        <v>0</v>
      </c>
      <c r="D7745" s="2" t="str">
        <f t="shared" ca="1" si="127"/>
        <v>Error?</v>
      </c>
      <c r="E7745" s="2" t="s">
        <v>827</v>
      </c>
    </row>
    <row r="7746" spans="1:6" x14ac:dyDescent="0.2">
      <c r="A7746">
        <v>7685</v>
      </c>
      <c r="B7746" s="138">
        <f ca="1">'Expenditures 15-22'!K364</f>
        <v>0</v>
      </c>
      <c r="D7746" s="2" t="str">
        <f t="shared" ca="1" si="127"/>
        <v>Error?</v>
      </c>
      <c r="E7746" s="2" t="s">
        <v>827</v>
      </c>
    </row>
    <row r="7747" spans="1:6" x14ac:dyDescent="0.2">
      <c r="A7747">
        <v>7686</v>
      </c>
      <c r="B7747" s="138">
        <f ca="1">'Revenues 9-14'!E266</f>
        <v>0</v>
      </c>
      <c r="D7747" s="2" t="str">
        <f t="shared" ca="1" si="127"/>
        <v>Error?</v>
      </c>
      <c r="E7747" s="2" t="s">
        <v>827</v>
      </c>
      <c r="F7747" s="2" t="s">
        <v>828</v>
      </c>
    </row>
    <row r="7748" spans="1:6" x14ac:dyDescent="0.2">
      <c r="A7748">
        <v>7687</v>
      </c>
      <c r="B7748" s="138">
        <f ca="1">'Acct Summary 7-8'!C25</f>
        <v>0</v>
      </c>
      <c r="D7748" s="2" t="str">
        <f t="shared" ca="1" si="127"/>
        <v>Error?</v>
      </c>
      <c r="E7748" s="4" t="s">
        <v>1333</v>
      </c>
    </row>
    <row r="7749" spans="1:6" x14ac:dyDescent="0.2">
      <c r="A7749">
        <v>7688</v>
      </c>
      <c r="B7749" s="138">
        <f ca="1">'Acct Summary 7-8'!D25</f>
        <v>0</v>
      </c>
      <c r="D7749" s="2" t="str">
        <f t="shared" ca="1" si="127"/>
        <v>Error?</v>
      </c>
      <c r="E7749" s="4" t="s">
        <v>1333</v>
      </c>
    </row>
    <row r="7750" spans="1:6" x14ac:dyDescent="0.2">
      <c r="A7750">
        <v>7689</v>
      </c>
      <c r="B7750" s="138">
        <f ca="1">'Acct Summary 7-8'!E25</f>
        <v>0</v>
      </c>
      <c r="D7750" s="2" t="str">
        <f t="shared" ca="1" si="127"/>
        <v>Error?</v>
      </c>
      <c r="E7750" s="4" t="s">
        <v>1333</v>
      </c>
    </row>
    <row r="7751" spans="1:6" x14ac:dyDescent="0.2">
      <c r="A7751">
        <v>7690</v>
      </c>
      <c r="B7751" s="138">
        <f ca="1">'Acct Summary 7-8'!F25</f>
        <v>0</v>
      </c>
      <c r="D7751" s="2" t="str">
        <f t="shared" ca="1" si="127"/>
        <v>Error?</v>
      </c>
      <c r="E7751" s="4" t="s">
        <v>1333</v>
      </c>
    </row>
    <row r="7752" spans="1:6" x14ac:dyDescent="0.2">
      <c r="A7752">
        <v>7691</v>
      </c>
      <c r="B7752" s="138">
        <f ca="1">'Acct Summary 7-8'!G25</f>
        <v>0</v>
      </c>
      <c r="D7752" s="2" t="str">
        <f t="shared" ca="1" si="127"/>
        <v>Error?</v>
      </c>
      <c r="E7752" s="4" t="s">
        <v>1333</v>
      </c>
    </row>
    <row r="7753" spans="1:6" x14ac:dyDescent="0.2">
      <c r="A7753">
        <v>7692</v>
      </c>
      <c r="B7753" s="138">
        <f ca="1">'Acct Summary 7-8'!H25</f>
        <v>0</v>
      </c>
      <c r="D7753" s="2" t="str">
        <f t="shared" ca="1" si="127"/>
        <v>Error?</v>
      </c>
      <c r="E7753" s="4" t="s">
        <v>1333</v>
      </c>
    </row>
    <row r="7754" spans="1:6" x14ac:dyDescent="0.2">
      <c r="A7754">
        <v>7693</v>
      </c>
      <c r="B7754" s="138">
        <f ca="1">'Acct Summary 7-8'!J25</f>
        <v>0</v>
      </c>
      <c r="D7754" s="2" t="str">
        <f t="shared" ca="1" si="127"/>
        <v>Error?</v>
      </c>
      <c r="E7754" s="4" t="s">
        <v>1333</v>
      </c>
    </row>
    <row r="7755" spans="1:6" x14ac:dyDescent="0.2">
      <c r="A7755">
        <v>7694</v>
      </c>
      <c r="B7755" s="138">
        <f ca="1">'Acct Summary 7-8'!K25</f>
        <v>0</v>
      </c>
      <c r="D7755" s="2" t="str">
        <f t="shared" ca="1"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 ca="1">'Revenues 9-14'!C253</f>
        <v>0</v>
      </c>
      <c r="D7761" s="2" t="str">
        <f t="shared" ca="1" si="127"/>
        <v>Error?</v>
      </c>
      <c r="E7761" s="4" t="s">
        <v>1422</v>
      </c>
    </row>
    <row r="7762" spans="1:5" x14ac:dyDescent="0.2">
      <c r="A7762">
        <v>7701</v>
      </c>
      <c r="B7762" s="138">
        <f ca="1">'Expenditures 15-22'!E6</f>
        <v>0</v>
      </c>
      <c r="D7762" s="2" t="str">
        <f t="shared" ca="1" si="127"/>
        <v>Error?</v>
      </c>
      <c r="E7762" s="4" t="s">
        <v>1432</v>
      </c>
    </row>
    <row r="7763" spans="1:5" x14ac:dyDescent="0.2">
      <c r="A7763">
        <v>7702</v>
      </c>
      <c r="B7763" s="138">
        <f ca="1">'Expenditures 15-22'!K6</f>
        <v>0</v>
      </c>
      <c r="D7763" s="2" t="str">
        <f t="shared" ca="1" si="127"/>
        <v>Error?</v>
      </c>
      <c r="E7763" s="4"/>
    </row>
    <row r="7764" spans="1:5" x14ac:dyDescent="0.2">
      <c r="A7764">
        <v>7703</v>
      </c>
      <c r="B7764" s="138">
        <f ca="1">'Revenues 9-14'!F58</f>
        <v>0</v>
      </c>
      <c r="D7764" s="2" t="str">
        <f t="shared" ca="1" si="127"/>
        <v>Error?</v>
      </c>
      <c r="E7764" s="4" t="s">
        <v>1460</v>
      </c>
    </row>
    <row r="7765" spans="1:5" x14ac:dyDescent="0.2">
      <c r="A7765">
        <v>7704</v>
      </c>
      <c r="B7765" s="138">
        <f ca="1">'Revenues 9-14'!C254</f>
        <v>0</v>
      </c>
      <c r="D7765" s="2" t="str">
        <f t="shared" ca="1" si="127"/>
        <v>Error?</v>
      </c>
      <c r="E7765" s="4" t="s">
        <v>1464</v>
      </c>
    </row>
    <row r="7766" spans="1:5" x14ac:dyDescent="0.2">
      <c r="A7766">
        <v>7705</v>
      </c>
      <c r="B7766" s="138">
        <f ca="1">'Revenues 9-14'!D254</f>
        <v>0</v>
      </c>
      <c r="D7766" s="2" t="str">
        <f t="shared" ca="1" si="127"/>
        <v>Error?</v>
      </c>
      <c r="E7766" s="4" t="s">
        <v>1464</v>
      </c>
    </row>
    <row r="7767" spans="1:5" x14ac:dyDescent="0.2">
      <c r="A7767" s="129">
        <v>7706</v>
      </c>
      <c r="E7767" s="4"/>
    </row>
    <row r="7768" spans="1:5" x14ac:dyDescent="0.2">
      <c r="A7768">
        <v>7707</v>
      </c>
      <c r="B7768" s="138">
        <f ca="1">'Revenues 9-14'!F254</f>
        <v>0</v>
      </c>
      <c r="D7768" s="2" t="str">
        <f t="shared" ca="1" si="127"/>
        <v>Error?</v>
      </c>
      <c r="E7768" s="4" t="s">
        <v>1464</v>
      </c>
    </row>
    <row r="7769" spans="1:5" x14ac:dyDescent="0.2">
      <c r="A7769">
        <v>7708</v>
      </c>
      <c r="B7769" s="138">
        <f ca="1">'Revenues 9-14'!G254</f>
        <v>0</v>
      </c>
      <c r="D7769" s="2" t="str">
        <f t="shared" ca="1"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 ca="1">'Expenditures 15-22'!E133</f>
        <v>0</v>
      </c>
      <c r="D7774" s="2" t="str">
        <f t="shared" ca="1" si="127"/>
        <v>Error?</v>
      </c>
      <c r="E7774" s="4" t="s">
        <v>1854</v>
      </c>
    </row>
    <row r="7775" spans="1:5" x14ac:dyDescent="0.2">
      <c r="A7775">
        <v>7714</v>
      </c>
      <c r="B7775" s="138">
        <f ca="1">'Expenditures 15-22'!H133</f>
        <v>0</v>
      </c>
      <c r="D7775" s="2" t="str">
        <f t="shared" ca="1" si="127"/>
        <v>Error?</v>
      </c>
      <c r="E7775" s="4" t="s">
        <v>1854</v>
      </c>
    </row>
    <row r="7776" spans="1:5" x14ac:dyDescent="0.2">
      <c r="A7776">
        <v>7715</v>
      </c>
      <c r="B7776" s="138">
        <f ca="1">'Expenditures 15-22'!K133</f>
        <v>0</v>
      </c>
      <c r="D7776" s="2" t="str">
        <f t="shared" ca="1" si="127"/>
        <v>Error?</v>
      </c>
      <c r="E7776" s="4" t="s">
        <v>1854</v>
      </c>
    </row>
    <row r="7777" spans="1:5" x14ac:dyDescent="0.2">
      <c r="A7777">
        <v>7716</v>
      </c>
      <c r="B7777" s="138">
        <f ca="1">'Expenditures 15-22'!H157</f>
        <v>0</v>
      </c>
      <c r="D7777" s="2" t="str">
        <f t="shared" ca="1" si="127"/>
        <v>Error?</v>
      </c>
      <c r="E7777" s="4" t="s">
        <v>1854</v>
      </c>
    </row>
    <row r="7778" spans="1:5" x14ac:dyDescent="0.2">
      <c r="A7778">
        <v>7717</v>
      </c>
      <c r="B7778" s="138">
        <f ca="1">'Expenditures 15-22'!K157</f>
        <v>0</v>
      </c>
      <c r="D7778" s="2" t="str">
        <f t="shared" ca="1" si="127"/>
        <v>Error?</v>
      </c>
      <c r="E7778" s="4" t="s">
        <v>1854</v>
      </c>
    </row>
    <row r="7779" spans="1:5" x14ac:dyDescent="0.2">
      <c r="A7779">
        <v>7718</v>
      </c>
      <c r="B7779" s="138">
        <f ca="1">'Expenditures 15-22'!H158</f>
        <v>0</v>
      </c>
      <c r="D7779" s="2" t="str">
        <f t="shared" ca="1" si="127"/>
        <v>Error?</v>
      </c>
      <c r="E7779" s="4" t="s">
        <v>1854</v>
      </c>
    </row>
    <row r="7780" spans="1:5" x14ac:dyDescent="0.2">
      <c r="A7780">
        <v>7719</v>
      </c>
      <c r="B7780" s="138">
        <f ca="1">'Expenditures 15-22'!K158</f>
        <v>0</v>
      </c>
      <c r="D7780" s="2" t="str">
        <f t="shared" ca="1" si="127"/>
        <v>Error?</v>
      </c>
      <c r="E7780" s="4" t="s">
        <v>1854</v>
      </c>
    </row>
    <row r="7781" spans="1:5" x14ac:dyDescent="0.2">
      <c r="A7781">
        <v>7720</v>
      </c>
      <c r="B7781" s="138">
        <f ca="1">'Expenditures 15-22'!H159</f>
        <v>0</v>
      </c>
      <c r="D7781" s="2" t="str">
        <f t="shared" ca="1" si="127"/>
        <v>Error?</v>
      </c>
      <c r="E7781" s="4" t="s">
        <v>1854</v>
      </c>
    </row>
    <row r="7782" spans="1:5" x14ac:dyDescent="0.2">
      <c r="A7782">
        <v>7721</v>
      </c>
      <c r="B7782" s="138">
        <f ca="1">'Expenditures 15-22'!K159</f>
        <v>0</v>
      </c>
      <c r="D7782" s="2" t="str">
        <f t="shared" ca="1" si="127"/>
        <v>Error?</v>
      </c>
      <c r="E7782" s="4" t="s">
        <v>1854</v>
      </c>
    </row>
    <row r="7783" spans="1:5" x14ac:dyDescent="0.2">
      <c r="A7783">
        <v>7722</v>
      </c>
      <c r="B7783" s="138">
        <f ca="1">'Expenditures 15-22'!D282</f>
        <v>0</v>
      </c>
      <c r="D7783" s="2" t="str">
        <f t="shared" ca="1" si="127"/>
        <v>Error?</v>
      </c>
      <c r="E7783" s="4" t="s">
        <v>1854</v>
      </c>
    </row>
    <row r="7784" spans="1:5" x14ac:dyDescent="0.2">
      <c r="A7784">
        <v>7723</v>
      </c>
      <c r="B7784" s="138">
        <f ca="1">'Expenditures 15-22'!K282</f>
        <v>0</v>
      </c>
      <c r="D7784" s="2" t="str">
        <f t="shared" ca="1" si="127"/>
        <v>Error?</v>
      </c>
      <c r="E7784" s="4" t="s">
        <v>1854</v>
      </c>
    </row>
    <row r="7785" spans="1:5" x14ac:dyDescent="0.2">
      <c r="A7785">
        <v>7724</v>
      </c>
      <c r="B7785" s="138">
        <f ca="1">'Expenditures 15-22'!H332</f>
        <v>0</v>
      </c>
      <c r="D7785" s="2" t="str">
        <f t="shared" ca="1" si="127"/>
        <v>Error?</v>
      </c>
      <c r="E7785" s="4" t="s">
        <v>1854</v>
      </c>
    </row>
    <row r="7786" spans="1:5" x14ac:dyDescent="0.2">
      <c r="A7786">
        <v>7725</v>
      </c>
      <c r="B7786" s="138">
        <f ca="1">'Expenditures 15-22'!K332</f>
        <v>0</v>
      </c>
      <c r="D7786" s="2" t="str">
        <f t="shared" ca="1" si="127"/>
        <v>Error?</v>
      </c>
      <c r="E7786" s="4" t="s">
        <v>1854</v>
      </c>
    </row>
    <row r="7787" spans="1:5" x14ac:dyDescent="0.2">
      <c r="A7787">
        <v>7726</v>
      </c>
      <c r="B7787" s="138">
        <f ca="1">'Expenditures 15-22'!H333</f>
        <v>0</v>
      </c>
      <c r="D7787" s="2" t="str">
        <f t="shared" ca="1" si="127"/>
        <v>Error?</v>
      </c>
      <c r="E7787" s="4" t="s">
        <v>1854</v>
      </c>
    </row>
    <row r="7788" spans="1:5" x14ac:dyDescent="0.2">
      <c r="A7788">
        <v>7727</v>
      </c>
      <c r="B7788" s="138">
        <f ca="1">'Expenditures 15-22'!K333</f>
        <v>0</v>
      </c>
      <c r="D7788" s="2" t="str">
        <f t="shared" ca="1" si="127"/>
        <v>Error?</v>
      </c>
      <c r="E7788" s="4" t="s">
        <v>1854</v>
      </c>
    </row>
    <row r="7789" spans="1:5" x14ac:dyDescent="0.2">
      <c r="A7789">
        <v>7728</v>
      </c>
      <c r="B7789" s="138">
        <f ca="1">'Expenditures 15-22'!H334</f>
        <v>0</v>
      </c>
      <c r="D7789" s="2" t="str">
        <f t="shared" ca="1" si="127"/>
        <v>Error?</v>
      </c>
      <c r="E7789" s="4" t="s">
        <v>1854</v>
      </c>
    </row>
    <row r="7790" spans="1:5" x14ac:dyDescent="0.2">
      <c r="A7790">
        <v>7729</v>
      </c>
      <c r="B7790" s="138">
        <f ca="1">'Expenditures 15-22'!K334</f>
        <v>0</v>
      </c>
      <c r="D7790" s="2" t="str">
        <f t="shared" ca="1" si="127"/>
        <v>Error?</v>
      </c>
      <c r="E7790" s="4" t="s">
        <v>1854</v>
      </c>
    </row>
    <row r="7791" spans="1:5" x14ac:dyDescent="0.2">
      <c r="A7791">
        <v>7730</v>
      </c>
      <c r="B7791" s="138">
        <f ca="1">'Expenditures 15-22'!H354</f>
        <v>0</v>
      </c>
      <c r="D7791" s="2" t="str">
        <f t="shared" ca="1" si="127"/>
        <v>Error?</v>
      </c>
      <c r="E7791" s="4" t="s">
        <v>1854</v>
      </c>
    </row>
    <row r="7792" spans="1:5" x14ac:dyDescent="0.2">
      <c r="A7792">
        <v>7731</v>
      </c>
      <c r="B7792" s="138">
        <f ca="1">'Expenditures 15-22'!K354</f>
        <v>0</v>
      </c>
      <c r="D7792" s="2" t="str">
        <f t="shared" ca="1" si="127"/>
        <v>Error?</v>
      </c>
      <c r="E7792" s="4" t="s">
        <v>1854</v>
      </c>
    </row>
    <row r="7793" spans="1:5" x14ac:dyDescent="0.2">
      <c r="A7793">
        <v>7732</v>
      </c>
      <c r="B7793" s="138">
        <f ca="1">'Expenditures 15-22'!H355</f>
        <v>0</v>
      </c>
      <c r="D7793" s="2" t="str">
        <f t="shared" ca="1" si="127"/>
        <v>Error?</v>
      </c>
      <c r="E7793" s="4" t="s">
        <v>1854</v>
      </c>
    </row>
    <row r="7794" spans="1:5" x14ac:dyDescent="0.2">
      <c r="A7794">
        <v>7733</v>
      </c>
      <c r="B7794" s="138">
        <f ca="1">'Expenditures 15-22'!K355</f>
        <v>0</v>
      </c>
      <c r="D7794" s="2" t="str">
        <f t="shared" ca="1" si="127"/>
        <v>Error?</v>
      </c>
      <c r="E7794" s="4" t="s">
        <v>1854</v>
      </c>
    </row>
    <row r="7795" spans="1:5" x14ac:dyDescent="0.2">
      <c r="A7795">
        <v>7734</v>
      </c>
      <c r="B7795" s="138">
        <f ca="1">'Expenditures 15-22'!E138</f>
        <v>0</v>
      </c>
      <c r="D7795" s="2" t="str">
        <f t="shared" ca="1" si="127"/>
        <v>Error?</v>
      </c>
      <c r="E7795" s="4" t="s">
        <v>1854</v>
      </c>
    </row>
    <row r="7796" spans="1:5" x14ac:dyDescent="0.2">
      <c r="A7796">
        <v>7735</v>
      </c>
      <c r="B7796" s="138">
        <f ca="1">'Acct Summary 7-8'!J15</f>
        <v>0</v>
      </c>
      <c r="D7796" s="2" t="str">
        <f t="shared" ca="1" si="127"/>
        <v>Error?</v>
      </c>
      <c r="E7796" s="4" t="s">
        <v>1854</v>
      </c>
    </row>
    <row r="7797" spans="1:5" x14ac:dyDescent="0.2">
      <c r="A7797">
        <v>7736</v>
      </c>
      <c r="B7797" s="138">
        <f>'Contracts Paid in CY 29'!D141</f>
        <v>460373.52</v>
      </c>
      <c r="D7797" s="2" t="str">
        <f t="shared" si="127"/>
        <v>Error?</v>
      </c>
      <c r="E7797" s="4" t="s">
        <v>1903</v>
      </c>
    </row>
    <row r="7798" spans="1:5" x14ac:dyDescent="0.2">
      <c r="A7798">
        <v>7737</v>
      </c>
      <c r="B7798" s="138">
        <f>'Contracts Paid in CY 29'!F141</f>
        <v>262716.64</v>
      </c>
      <c r="D7798" s="2" t="str">
        <f t="shared" si="127"/>
        <v>Error?</v>
      </c>
      <c r="E7798" s="4" t="s">
        <v>1903</v>
      </c>
    </row>
    <row r="7799" spans="1:5" x14ac:dyDescent="0.2">
      <c r="A7799">
        <v>7738</v>
      </c>
      <c r="B7799" s="138">
        <f>'Contracts Paid in CY 29'!G141</f>
        <v>173406.88</v>
      </c>
      <c r="D7799" s="2" t="str">
        <f t="shared" si="127"/>
        <v>Error?</v>
      </c>
      <c r="E7799" s="4" t="s">
        <v>1903</v>
      </c>
    </row>
    <row r="7800" spans="1:5" x14ac:dyDescent="0.2">
      <c r="A7800">
        <v>7739</v>
      </c>
      <c r="D7800" s="2" t="str">
        <f t="shared" si="127"/>
        <v>OK</v>
      </c>
    </row>
    <row r="7801" spans="1:5" x14ac:dyDescent="0.2">
      <c r="A7801">
        <v>7740</v>
      </c>
      <c r="B7801" s="138">
        <f ca="1">'Revenues 9-14'!C120</f>
        <v>0</v>
      </c>
      <c r="D7801" s="2" t="str">
        <f t="shared" ca="1" si="127"/>
        <v>Error?</v>
      </c>
      <c r="E7801" s="4" t="s">
        <v>1940</v>
      </c>
    </row>
    <row r="7802" spans="1:5" x14ac:dyDescent="0.2">
      <c r="A7802">
        <v>7741</v>
      </c>
      <c r="B7802" s="138">
        <f ca="1">'Revenues 9-14'!D120</f>
        <v>0</v>
      </c>
      <c r="D7802" s="2" t="str">
        <f t="shared" ca="1" si="127"/>
        <v>Error?</v>
      </c>
      <c r="E7802" s="4" t="s">
        <v>1940</v>
      </c>
    </row>
    <row r="7803" spans="1:5" x14ac:dyDescent="0.2">
      <c r="A7803">
        <v>7742</v>
      </c>
      <c r="B7803" s="138">
        <f ca="1">'Revenues 9-14'!E120</f>
        <v>0</v>
      </c>
      <c r="D7803" s="2" t="str">
        <f t="shared" ca="1" si="127"/>
        <v>Error?</v>
      </c>
      <c r="E7803" s="4" t="s">
        <v>1940</v>
      </c>
    </row>
    <row r="7804" spans="1:5" x14ac:dyDescent="0.2">
      <c r="A7804">
        <v>7743</v>
      </c>
      <c r="B7804" s="138">
        <f ca="1">'Revenues 9-14'!F120</f>
        <v>0</v>
      </c>
      <c r="D7804" s="2" t="str">
        <f t="shared" ca="1" si="127"/>
        <v>Error?</v>
      </c>
      <c r="E7804" s="4" t="s">
        <v>1940</v>
      </c>
    </row>
    <row r="7805" spans="1:5" x14ac:dyDescent="0.2">
      <c r="A7805">
        <v>7744</v>
      </c>
      <c r="B7805" s="138">
        <f ca="1">'Revenues 9-14'!G120</f>
        <v>0</v>
      </c>
      <c r="D7805" s="2" t="str">
        <f t="shared" ca="1" si="127"/>
        <v>Error?</v>
      </c>
      <c r="E7805" s="4" t="s">
        <v>1940</v>
      </c>
    </row>
    <row r="7806" spans="1:5" x14ac:dyDescent="0.2">
      <c r="A7806">
        <v>7745</v>
      </c>
      <c r="B7806" s="138">
        <f ca="1">'Revenues 9-14'!H120</f>
        <v>0</v>
      </c>
      <c r="D7806" s="2" t="str">
        <f t="shared" ca="1" si="127"/>
        <v>Error?</v>
      </c>
      <c r="E7806" s="4" t="s">
        <v>1940</v>
      </c>
    </row>
    <row r="7807" spans="1:5" x14ac:dyDescent="0.2">
      <c r="A7807">
        <v>7746</v>
      </c>
      <c r="B7807" s="138">
        <f ca="1">'Revenues 9-14'!J120</f>
        <v>0</v>
      </c>
      <c r="D7807" s="2" t="str">
        <f t="shared" ref="D7807:D7816" ca="1" si="128">IF(ISBLANK(B7807),"OK",IF(A7807-B7807=0,"OK","Error?"))</f>
        <v>Error?</v>
      </c>
      <c r="E7807" s="4" t="s">
        <v>1940</v>
      </c>
    </row>
    <row r="7808" spans="1:5" x14ac:dyDescent="0.2">
      <c r="A7808">
        <v>7747</v>
      </c>
      <c r="B7808" s="138">
        <f ca="1">'Revenues 9-14'!K120</f>
        <v>0</v>
      </c>
      <c r="D7808" s="2" t="str">
        <f t="shared" ca="1" si="128"/>
        <v>Error?</v>
      </c>
      <c r="E7808" s="4" t="s">
        <v>1940</v>
      </c>
    </row>
    <row r="7809" spans="1:5" x14ac:dyDescent="0.2">
      <c r="A7809">
        <v>7748</v>
      </c>
      <c r="B7809" s="138">
        <f ca="1">'Revenues 9-14'!C261</f>
        <v>0</v>
      </c>
      <c r="D7809" s="2" t="str">
        <f t="shared" ca="1" si="128"/>
        <v>Error?</v>
      </c>
      <c r="E7809" s="4" t="s">
        <v>1941</v>
      </c>
    </row>
    <row r="7810" spans="1:5" x14ac:dyDescent="0.2">
      <c r="A7810">
        <v>7749</v>
      </c>
      <c r="B7810" s="138">
        <f ca="1">'Revenues 9-14'!D261</f>
        <v>0</v>
      </c>
      <c r="D7810" s="2" t="str">
        <f t="shared" ca="1" si="128"/>
        <v>Error?</v>
      </c>
      <c r="E7810" s="4" t="s">
        <v>1941</v>
      </c>
    </row>
    <row r="7811" spans="1:5" x14ac:dyDescent="0.2">
      <c r="A7811">
        <v>7750</v>
      </c>
      <c r="B7811" s="138">
        <f ca="1">'Revenues 9-14'!F261</f>
        <v>0</v>
      </c>
      <c r="D7811" s="2" t="str">
        <f t="shared" ca="1" si="128"/>
        <v>Error?</v>
      </c>
      <c r="E7811" s="4" t="s">
        <v>1941</v>
      </c>
    </row>
    <row r="7812" spans="1:5" x14ac:dyDescent="0.2">
      <c r="A7812">
        <v>7751</v>
      </c>
      <c r="B7812" s="138">
        <f ca="1">'Revenues 9-14'!G261</f>
        <v>0</v>
      </c>
      <c r="D7812" s="2" t="str">
        <f t="shared" ca="1" si="128"/>
        <v>Error?</v>
      </c>
      <c r="E7812" s="4" t="s">
        <v>1941</v>
      </c>
    </row>
    <row r="7813" spans="1:5" x14ac:dyDescent="0.2">
      <c r="A7813">
        <v>7752</v>
      </c>
      <c r="B7813" s="138">
        <f ca="1">'Revenues 9-14'!C262</f>
        <v>0</v>
      </c>
      <c r="D7813" s="2" t="str">
        <f t="shared" ca="1" si="128"/>
        <v>Error?</v>
      </c>
      <c r="E7813" s="4" t="s">
        <v>1942</v>
      </c>
    </row>
    <row r="7814" spans="1:5" x14ac:dyDescent="0.2">
      <c r="A7814">
        <v>7753</v>
      </c>
      <c r="B7814" s="138">
        <f ca="1">'Revenues 9-14'!D262</f>
        <v>0</v>
      </c>
      <c r="D7814" s="2" t="str">
        <f t="shared" ca="1" si="128"/>
        <v>Error?</v>
      </c>
      <c r="E7814" s="4" t="s">
        <v>1942</v>
      </c>
    </row>
    <row r="7815" spans="1:5" x14ac:dyDescent="0.2">
      <c r="A7815">
        <v>7754</v>
      </c>
      <c r="B7815" s="138">
        <f ca="1">'Revenues 9-14'!F262</f>
        <v>0</v>
      </c>
      <c r="D7815" s="2" t="str">
        <f t="shared" ca="1" si="128"/>
        <v>Error?</v>
      </c>
      <c r="E7815" s="4" t="s">
        <v>1942</v>
      </c>
    </row>
    <row r="7816" spans="1:5" x14ac:dyDescent="0.2">
      <c r="A7816">
        <v>7755</v>
      </c>
      <c r="B7816" s="138">
        <f ca="1">'Revenues 9-14'!G262</f>
        <v>0</v>
      </c>
      <c r="D7816" s="2" t="str">
        <f t="shared" ca="1" si="128"/>
        <v>Error?</v>
      </c>
      <c r="E7816" s="4" t="s">
        <v>1942</v>
      </c>
    </row>
  </sheetData>
  <sheetProtection password="F60E" sheet="1" objects="1" scenarios="1"/>
  <phoneticPr fontId="20" type="noConversion"/>
  <pageMargins left="0.75" right="0.75" top="1" bottom="1" header="0.5" footer="0.5"/>
  <pageSetup scale="75" orientation="portrait" r:id="rId1"/>
  <headerFooter alignWithMargins="0">
    <oddHeader>&amp;A</oddHeader>
    <oddFoote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7">
        <v>1</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3067</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3076</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18:E18"/>
    <mergeCell ref="B5:E5"/>
    <mergeCell ref="B6:E6"/>
    <mergeCell ref="B7:E7"/>
    <mergeCell ref="B8:E8"/>
    <mergeCell ref="B15:E15"/>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2572-A5BD-4E6D-838C-BA83F6FB64DF}">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2</v>
      </c>
      <c r="E12" s="1955"/>
      <c r="F12" s="1952"/>
      <c r="G12" s="1952"/>
      <c r="H12" s="1952"/>
      <c r="I12" s="1952"/>
    </row>
    <row r="13" spans="2:12" ht="13.5" customHeight="1" x14ac:dyDescent="0.2">
      <c r="B13" s="1959"/>
      <c r="C13" s="1976"/>
      <c r="D13" s="1959"/>
    </row>
    <row r="14" spans="2:12" ht="13.5" customHeight="1" x14ac:dyDescent="0.2">
      <c r="B14" s="1957" t="s">
        <v>2089</v>
      </c>
      <c r="C14" s="1957"/>
      <c r="D14" s="1952"/>
    </row>
    <row r="15" spans="2:12" ht="66.75" customHeight="1" x14ac:dyDescent="0.2">
      <c r="B15" s="2423" t="s">
        <v>3065</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3071</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88B7-2908-48CE-AA56-D544F4D86369}">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3</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3074</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3075</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4BB14-569A-44E9-951F-384E0D89FE19}">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4</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3079</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3080</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5432-CA0D-4ED0-8136-F1D0EE7BE596}">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5</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3084</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3117</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B409-A5E9-419B-A724-238C216668E9}">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6</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3118</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3089</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97" colorId="8" zoomScale="110" zoomScaleNormal="110" workbookViewId="0">
      <selection activeCell="B68" sqref="B6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15" t="s">
        <v>1168</v>
      </c>
      <c r="B2" s="2115"/>
      <c r="C2" s="2115"/>
      <c r="D2" s="2115"/>
      <c r="E2" s="2115"/>
      <c r="F2" s="2115"/>
      <c r="G2" s="2115"/>
      <c r="H2" s="2115"/>
      <c r="I2" s="2115"/>
      <c r="J2" s="2115"/>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t="s">
        <v>3050</v>
      </c>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t="s">
        <v>3050</v>
      </c>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1945</v>
      </c>
    </row>
    <row r="32" spans="1:4" s="181" customFormat="1" x14ac:dyDescent="0.2">
      <c r="A32" s="219"/>
      <c r="B32" s="236"/>
      <c r="C32" s="227"/>
      <c r="D32" s="237" t="s">
        <v>1792</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129" t="s">
        <v>1633</v>
      </c>
      <c r="B35" s="2130"/>
      <c r="C35" s="2130"/>
      <c r="D35" s="2130"/>
      <c r="E35" s="2131"/>
      <c r="F35" s="2131"/>
      <c r="G35" s="2131"/>
      <c r="H35" s="2131"/>
      <c r="I35" s="2131"/>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29" t="s">
        <v>313</v>
      </c>
      <c r="B47" s="2132"/>
      <c r="C47" s="2132"/>
      <c r="D47" s="2132"/>
      <c r="E47" s="2133"/>
      <c r="F47" s="2133"/>
      <c r="G47" s="2133"/>
      <c r="H47" s="2133"/>
      <c r="I47" s="2133"/>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t="s">
        <v>3050</v>
      </c>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3050</v>
      </c>
      <c r="C53" s="179">
        <v>22</v>
      </c>
      <c r="D53" s="247" t="s">
        <v>1462</v>
      </c>
      <c r="E53" s="248"/>
      <c r="F53" s="249"/>
      <c r="G53" s="249" t="s">
        <v>1461</v>
      </c>
      <c r="H53" s="250">
        <v>36526</v>
      </c>
      <c r="I53" s="237" t="s">
        <v>1483</v>
      </c>
    </row>
    <row r="54" spans="1:10" s="181" customFormat="1" x14ac:dyDescent="0.2">
      <c r="A54" s="219"/>
      <c r="B54" s="220" t="s">
        <v>3050</v>
      </c>
      <c r="C54" s="179">
        <v>23</v>
      </c>
      <c r="D54" s="243" t="s">
        <v>1362</v>
      </c>
      <c r="E54" s="248"/>
      <c r="F54" s="249"/>
    </row>
    <row r="55" spans="1:10" s="181" customFormat="1" x14ac:dyDescent="0.2">
      <c r="A55" s="214"/>
      <c r="B55" s="251"/>
      <c r="C55" s="251"/>
      <c r="D55" s="231" t="s">
        <v>1791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36" t="s">
        <v>3130</v>
      </c>
      <c r="C57" s="2137"/>
      <c r="D57" s="2137"/>
      <c r="E57" s="2137"/>
      <c r="F57" s="2137"/>
      <c r="G57" s="2137"/>
      <c r="H57" s="2137"/>
      <c r="I57" s="2137"/>
      <c r="J57" s="2138"/>
    </row>
    <row r="58" spans="1:10" s="181" customFormat="1" x14ac:dyDescent="0.2">
      <c r="A58" s="253"/>
      <c r="B58" s="2139"/>
      <c r="C58" s="2140"/>
      <c r="D58" s="2140"/>
      <c r="E58" s="2140"/>
      <c r="F58" s="2140"/>
      <c r="G58" s="2140"/>
      <c r="H58" s="2140"/>
      <c r="I58" s="2140"/>
      <c r="J58" s="2141"/>
    </row>
    <row r="59" spans="1:10" s="181" customFormat="1" x14ac:dyDescent="0.2">
      <c r="A59" s="253"/>
      <c r="B59" s="2139"/>
      <c r="C59" s="2140"/>
      <c r="D59" s="2140"/>
      <c r="E59" s="2140"/>
      <c r="F59" s="2140"/>
      <c r="G59" s="2140"/>
      <c r="H59" s="2140"/>
      <c r="I59" s="2140"/>
      <c r="J59" s="2141"/>
    </row>
    <row r="60" spans="1:10" s="181" customFormat="1" x14ac:dyDescent="0.2">
      <c r="A60" s="253"/>
      <c r="B60" s="2139"/>
      <c r="C60" s="2140"/>
      <c r="D60" s="2140"/>
      <c r="E60" s="2140"/>
      <c r="F60" s="2140"/>
      <c r="G60" s="2140"/>
      <c r="H60" s="2140"/>
      <c r="I60" s="2140"/>
      <c r="J60" s="2141"/>
    </row>
    <row r="61" spans="1:10" s="181" customFormat="1" x14ac:dyDescent="0.2">
      <c r="A61" s="253"/>
      <c r="B61" s="2139"/>
      <c r="C61" s="2140"/>
      <c r="D61" s="2140"/>
      <c r="E61" s="2140"/>
      <c r="F61" s="2140"/>
      <c r="G61" s="2140"/>
      <c r="H61" s="2140"/>
      <c r="I61" s="2140"/>
      <c r="J61" s="2141"/>
    </row>
    <row r="62" spans="1:10" s="181" customFormat="1" x14ac:dyDescent="0.2">
      <c r="A62" s="253"/>
      <c r="B62" s="2139"/>
      <c r="C62" s="2140"/>
      <c r="D62" s="2140"/>
      <c r="E62" s="2140"/>
      <c r="F62" s="2140"/>
      <c r="G62" s="2140"/>
      <c r="H62" s="2140"/>
      <c r="I62" s="2140"/>
      <c r="J62" s="2141"/>
    </row>
    <row r="63" spans="1:10" s="181" customFormat="1" x14ac:dyDescent="0.2">
      <c r="A63" s="253"/>
      <c r="B63" s="2139"/>
      <c r="C63" s="2140"/>
      <c r="D63" s="2140"/>
      <c r="E63" s="2140"/>
      <c r="F63" s="2140"/>
      <c r="G63" s="2140"/>
      <c r="H63" s="2140"/>
      <c r="I63" s="2140"/>
      <c r="J63" s="2141"/>
    </row>
    <row r="64" spans="1:10" s="181" customFormat="1" x14ac:dyDescent="0.2">
      <c r="A64" s="253"/>
      <c r="B64" s="2139"/>
      <c r="C64" s="2140"/>
      <c r="D64" s="2140"/>
      <c r="E64" s="2140"/>
      <c r="F64" s="2140"/>
      <c r="G64" s="2140"/>
      <c r="H64" s="2140"/>
      <c r="I64" s="2140"/>
      <c r="J64" s="2141"/>
    </row>
    <row r="65" spans="1:10" s="181" customFormat="1" x14ac:dyDescent="0.2">
      <c r="A65" s="253"/>
      <c r="B65" s="2139"/>
      <c r="C65" s="2140"/>
      <c r="D65" s="2140"/>
      <c r="E65" s="2140"/>
      <c r="F65" s="2140"/>
      <c r="G65" s="2140"/>
      <c r="H65" s="2140"/>
      <c r="I65" s="2140"/>
      <c r="J65" s="2141"/>
    </row>
    <row r="66" spans="1:10" s="181" customFormat="1" x14ac:dyDescent="0.2">
      <c r="A66" s="253"/>
      <c r="B66" s="2139"/>
      <c r="C66" s="2140"/>
      <c r="D66" s="2140"/>
      <c r="E66" s="2140"/>
      <c r="F66" s="2140"/>
      <c r="G66" s="2140"/>
      <c r="H66" s="2140"/>
      <c r="I66" s="2140"/>
      <c r="J66" s="2141"/>
    </row>
    <row r="67" spans="1:10" s="181" customFormat="1" ht="9" customHeight="1" x14ac:dyDescent="0.2">
      <c r="A67" s="254"/>
      <c r="B67" s="2142"/>
      <c r="C67" s="2143"/>
      <c r="D67" s="2143"/>
      <c r="E67" s="2143"/>
      <c r="F67" s="2143"/>
      <c r="G67" s="2143"/>
      <c r="H67" s="2143"/>
      <c r="I67" s="2143"/>
      <c r="J67" s="2144"/>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29" t="s">
        <v>1323</v>
      </c>
      <c r="B70" s="2132"/>
      <c r="C70" s="2132"/>
      <c r="D70" s="2132"/>
      <c r="E70" s="2133"/>
      <c r="F70" s="2133"/>
      <c r="G70" s="2133"/>
      <c r="H70" s="2133"/>
      <c r="I70" s="2133"/>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1946</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1904</v>
      </c>
      <c r="I77" s="1821"/>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34" t="s">
        <v>1320</v>
      </c>
      <c r="B83" s="2134"/>
      <c r="C83" s="2134"/>
      <c r="D83" s="2135"/>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116"/>
      <c r="C102" s="2117"/>
      <c r="D102" s="2117"/>
      <c r="E102" s="2117"/>
      <c r="F102" s="2117"/>
      <c r="G102" s="2117"/>
      <c r="H102" s="2117"/>
      <c r="I102" s="2118"/>
    </row>
    <row r="103" spans="1:9" s="181" customFormat="1" ht="11.25" customHeight="1" x14ac:dyDescent="0.2">
      <c r="A103" s="316"/>
      <c r="B103" s="2119"/>
      <c r="C103" s="2120"/>
      <c r="D103" s="2120"/>
      <c r="E103" s="2120"/>
      <c r="F103" s="2120"/>
      <c r="G103" s="2120"/>
      <c r="H103" s="2120"/>
      <c r="I103" s="2121"/>
    </row>
    <row r="104" spans="1:9" s="181" customFormat="1" ht="11.25" customHeight="1" x14ac:dyDescent="0.2">
      <c r="A104" s="316"/>
      <c r="B104" s="2119"/>
      <c r="C104" s="2120"/>
      <c r="D104" s="2120"/>
      <c r="E104" s="2120"/>
      <c r="F104" s="2120"/>
      <c r="G104" s="2120"/>
      <c r="H104" s="2120"/>
      <c r="I104" s="2121"/>
    </row>
    <row r="105" spans="1:9" s="181" customFormat="1" x14ac:dyDescent="0.2">
      <c r="A105" s="316"/>
      <c r="B105" s="2119"/>
      <c r="C105" s="2120"/>
      <c r="D105" s="2120"/>
      <c r="E105" s="2120"/>
      <c r="F105" s="2120"/>
      <c r="G105" s="2120"/>
      <c r="H105" s="2120"/>
      <c r="I105" s="2121"/>
    </row>
    <row r="106" spans="1:9" s="181" customFormat="1" ht="11.25" customHeight="1" x14ac:dyDescent="0.2">
      <c r="A106" s="316"/>
      <c r="B106" s="2119"/>
      <c r="C106" s="2120"/>
      <c r="D106" s="2120"/>
      <c r="E106" s="2120"/>
      <c r="F106" s="2120"/>
      <c r="G106" s="2120"/>
      <c r="H106" s="2120"/>
      <c r="I106" s="2121"/>
    </row>
    <row r="107" spans="1:9" s="181" customFormat="1" ht="11.25" customHeight="1" x14ac:dyDescent="0.2">
      <c r="A107" s="316"/>
      <c r="B107" s="2119"/>
      <c r="C107" s="2120"/>
      <c r="D107" s="2120"/>
      <c r="E107" s="2120"/>
      <c r="F107" s="2120"/>
      <c r="G107" s="2120"/>
      <c r="H107" s="2120"/>
      <c r="I107" s="2121"/>
    </row>
    <row r="108" spans="1:9" s="181" customFormat="1" ht="11.25" customHeight="1" x14ac:dyDescent="0.2">
      <c r="A108" s="316"/>
      <c r="B108" s="2119"/>
      <c r="C108" s="2120"/>
      <c r="D108" s="2120"/>
      <c r="E108" s="2120"/>
      <c r="F108" s="2120"/>
      <c r="G108" s="2120"/>
      <c r="H108" s="2120"/>
      <c r="I108" s="2121"/>
    </row>
    <row r="109" spans="1:9" s="181" customFormat="1" ht="11.25" customHeight="1" x14ac:dyDescent="0.2">
      <c r="A109" s="316"/>
      <c r="B109" s="2119"/>
      <c r="C109" s="2120"/>
      <c r="D109" s="2120"/>
      <c r="E109" s="2120"/>
      <c r="F109" s="2120"/>
      <c r="G109" s="2120"/>
      <c r="H109" s="2120"/>
      <c r="I109" s="2121"/>
    </row>
    <row r="110" spans="1:9" s="181" customFormat="1" ht="11.25" customHeight="1" x14ac:dyDescent="0.2">
      <c r="A110" s="316"/>
      <c r="B110" s="2119"/>
      <c r="C110" s="2120"/>
      <c r="D110" s="2120"/>
      <c r="E110" s="2120"/>
      <c r="F110" s="2120"/>
      <c r="G110" s="2120"/>
      <c r="H110" s="2120"/>
      <c r="I110" s="2121"/>
    </row>
    <row r="111" spans="1:9" s="181" customFormat="1" ht="11.25" customHeight="1" x14ac:dyDescent="0.2">
      <c r="A111" s="316"/>
      <c r="B111" s="2119"/>
      <c r="C111" s="2120"/>
      <c r="D111" s="2120"/>
      <c r="E111" s="2120"/>
      <c r="F111" s="2120"/>
      <c r="G111" s="2120"/>
      <c r="H111" s="2120"/>
      <c r="I111" s="2121"/>
    </row>
    <row r="112" spans="1:9" s="181" customFormat="1" ht="11.25" customHeight="1" x14ac:dyDescent="0.2">
      <c r="A112" s="316"/>
      <c r="B112" s="2122"/>
      <c r="C112" s="2123"/>
      <c r="D112" s="2123"/>
      <c r="E112" s="2123"/>
      <c r="F112" s="2123"/>
      <c r="G112" s="2123"/>
      <c r="H112" s="2123"/>
      <c r="I112" s="2124"/>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25" t="s">
        <v>2063</v>
      </c>
      <c r="D114" s="2125"/>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26" t="s">
        <v>1330</v>
      </c>
      <c r="D117" s="2127"/>
      <c r="E117" s="2128"/>
      <c r="F117" s="2128"/>
      <c r="G117" s="2128"/>
      <c r="H117" s="2128"/>
      <c r="I117" s="304"/>
    </row>
    <row r="118" spans="1:9" s="181" customFormat="1" ht="24" customHeight="1" x14ac:dyDescent="0.2">
      <c r="A118" s="316"/>
      <c r="B118" s="316"/>
      <c r="C118" s="316"/>
      <c r="D118" s="323"/>
      <c r="E118" s="322"/>
      <c r="F118" s="324"/>
      <c r="G118" s="1823"/>
      <c r="H118" s="322"/>
      <c r="I118" s="304"/>
    </row>
    <row r="119" spans="1:9" s="181" customFormat="1" ht="11.25" customHeight="1" x14ac:dyDescent="0.2">
      <c r="A119" s="325"/>
      <c r="B119" s="325"/>
      <c r="C119" s="326"/>
      <c r="D119" s="327" t="s">
        <v>361</v>
      </c>
      <c r="E119" s="310"/>
      <c r="F119" s="1822" t="s">
        <v>1905</v>
      </c>
      <c r="G119" s="328"/>
      <c r="H119" s="328"/>
      <c r="I119" s="304"/>
    </row>
    <row r="120" spans="1:9" x14ac:dyDescent="0.2">
      <c r="A120" s="329"/>
      <c r="B120" s="180"/>
      <c r="C120" s="330"/>
      <c r="D120" s="256"/>
      <c r="E120" s="256"/>
      <c r="F120" s="256"/>
      <c r="G120" s="256"/>
      <c r="H120" s="256"/>
      <c r="I120" s="304"/>
    </row>
    <row r="121" spans="1:9" x14ac:dyDescent="0.2">
      <c r="A121" s="329"/>
      <c r="B121" s="1471"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20"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2D513-AD44-4AB9-8C64-F5781E0189CB}">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7</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3092</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3093</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17C6A-2FF0-488E-B551-542ED6D0EF26}">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8</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3097</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3098</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D391-00FD-4668-98AD-A4AAFDEF6DA3}">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9</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3101</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3121</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333A-DB7A-49A0-BD6C-48CAF73B8026}">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10</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3105</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3123</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EBFB0-1520-45E8-89B1-C4524B48A8B2}">
  <dimension ref="B5:L67"/>
  <sheetViews>
    <sheetView showGridLines="0"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11</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3107</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3108</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F9CD-595C-4F42-8F0F-3C64840AD1B3}">
  <dimension ref="B5:L67"/>
  <sheetViews>
    <sheetView showGridLines="0" topLeftCell="A13" zoomScale="110" zoomScaleNormal="110" zoomScaleSheetLayoutView="100" workbookViewId="0">
      <selection activeCell="E17" sqref="E17"/>
    </sheetView>
  </sheetViews>
  <sheetFormatPr defaultColWidth="9.140625" defaultRowHeight="12.75" x14ac:dyDescent="0.2"/>
  <cols>
    <col min="1" max="1" width="1.5703125" style="1948" customWidth="1"/>
    <col min="2" max="2" width="11.28515625" style="1948" customWidth="1"/>
    <col min="3" max="3" width="6.42578125" style="1948" customWidth="1"/>
    <col min="4" max="4" width="5.42578125" style="1948" customWidth="1"/>
    <col min="5" max="5" width="74.7109375" style="1948" customWidth="1"/>
    <col min="6" max="6" width="1.5703125" style="1948" customWidth="1"/>
    <col min="7" max="8" width="2.42578125" style="1948" customWidth="1"/>
    <col min="9" max="9" width="9.28515625" style="1948" customWidth="1"/>
    <col min="10" max="10" width="14.42578125" style="1948" customWidth="1"/>
    <col min="11" max="11" width="7.28515625" style="1948" customWidth="1"/>
    <col min="12" max="12" width="3.140625" style="1948" customWidth="1"/>
    <col min="13" max="16384" width="9.140625" style="1948"/>
  </cols>
  <sheetData>
    <row r="5" spans="2:12" ht="13.5" customHeight="1" x14ac:dyDescent="0.2">
      <c r="B5" s="2425" t="str">
        <f>COVER!A17</f>
        <v>Saunemin CCSD 438</v>
      </c>
      <c r="C5" s="2425"/>
      <c r="D5" s="2425"/>
      <c r="E5" s="2425"/>
      <c r="F5" s="1947"/>
      <c r="G5" s="1947"/>
      <c r="H5" s="1947"/>
      <c r="I5" s="1947"/>
      <c r="J5" s="1947"/>
      <c r="K5" s="1947"/>
      <c r="L5" s="1947"/>
    </row>
    <row r="6" spans="2:12" ht="13.5" customHeight="1" x14ac:dyDescent="0.2">
      <c r="B6" s="2426">
        <f>COVER!A13</f>
        <v>17053438004</v>
      </c>
      <c r="C6" s="2426"/>
      <c r="D6" s="2426"/>
      <c r="E6" s="2426"/>
      <c r="F6" s="1949"/>
      <c r="G6" s="1949"/>
      <c r="H6" s="1949"/>
      <c r="I6" s="1949"/>
      <c r="J6" s="1949"/>
      <c r="K6" s="1949"/>
      <c r="L6" s="1949"/>
    </row>
    <row r="7" spans="2:12" ht="13.5" customHeight="1" x14ac:dyDescent="0.2">
      <c r="B7" s="2427" t="s">
        <v>2086</v>
      </c>
      <c r="C7" s="2427"/>
      <c r="D7" s="2427"/>
      <c r="E7" s="2427"/>
      <c r="F7" s="1950"/>
      <c r="G7" s="1950"/>
      <c r="H7" s="1950"/>
      <c r="I7" s="1950"/>
      <c r="J7" s="1950"/>
      <c r="K7" s="1950"/>
      <c r="L7" s="1950"/>
    </row>
    <row r="8" spans="2:12" ht="13.5" customHeight="1" x14ac:dyDescent="0.2">
      <c r="B8" s="2428" t="str">
        <f ca="1">"Year Ending "&amp;TEXT(DATE(YEAR(TODAY())-1,6,30),"mmmm d, yyyy")</f>
        <v>Year Ending June 30, 2019</v>
      </c>
      <c r="C8" s="2428"/>
      <c r="D8" s="2428"/>
      <c r="E8" s="2428"/>
      <c r="F8" s="1951"/>
      <c r="G8" s="1951"/>
      <c r="H8" s="1951"/>
      <c r="I8" s="1951"/>
      <c r="J8" s="1951"/>
      <c r="K8" s="1951"/>
      <c r="L8" s="1951"/>
    </row>
    <row r="9" spans="2:12" ht="29.85" customHeight="1" x14ac:dyDescent="0.2">
      <c r="B9" s="1952"/>
      <c r="C9" s="1952"/>
      <c r="D9" s="1952"/>
      <c r="E9" s="1952"/>
      <c r="F9" s="1952"/>
      <c r="G9" s="1952"/>
      <c r="H9" s="1952"/>
      <c r="I9" s="1952"/>
    </row>
    <row r="10" spans="2:12" ht="13.5" customHeight="1" x14ac:dyDescent="0.2">
      <c r="B10" s="1953" t="s">
        <v>2087</v>
      </c>
      <c r="C10" s="1953"/>
      <c r="D10" s="1954"/>
      <c r="E10" s="1955"/>
      <c r="F10" s="1955"/>
      <c r="G10" s="1956"/>
      <c r="H10" s="1956"/>
      <c r="I10" s="1956"/>
    </row>
    <row r="11" spans="2:12" ht="13.5" customHeight="1" x14ac:dyDescent="0.2">
      <c r="B11" s="1952" t="s">
        <v>1169</v>
      </c>
      <c r="C11" s="1952"/>
      <c r="D11" s="1952"/>
      <c r="E11" s="1952"/>
      <c r="F11" s="1952"/>
      <c r="G11" s="1952"/>
      <c r="H11" s="1952"/>
      <c r="I11" s="1952"/>
    </row>
    <row r="12" spans="2:12" ht="13.5" customHeight="1" x14ac:dyDescent="0.2">
      <c r="B12" s="1957" t="s">
        <v>2088</v>
      </c>
      <c r="C12" s="1958" t="str">
        <f ca="1">TEXT(DATE(YEAR(TODAY())-1,6,30),"yyyy-")</f>
        <v>2019-</v>
      </c>
      <c r="D12" s="1974">
        <v>12</v>
      </c>
      <c r="E12" s="1955"/>
      <c r="F12" s="1952"/>
      <c r="G12" s="1952"/>
      <c r="H12" s="1952"/>
      <c r="I12" s="1952"/>
    </row>
    <row r="13" spans="2:12" ht="13.5" customHeight="1" x14ac:dyDescent="0.2">
      <c r="B13" s="1959"/>
      <c r="C13" s="1959"/>
      <c r="D13" s="1959"/>
    </row>
    <row r="14" spans="2:12" ht="13.5" customHeight="1" x14ac:dyDescent="0.2">
      <c r="B14" s="1957" t="s">
        <v>2089</v>
      </c>
      <c r="C14" s="1957"/>
      <c r="D14" s="1952"/>
    </row>
    <row r="15" spans="2:12" ht="66.75" customHeight="1" x14ac:dyDescent="0.2">
      <c r="B15" s="2423" t="s">
        <v>3111</v>
      </c>
      <c r="C15" s="2423"/>
      <c r="D15" s="2424"/>
      <c r="E15" s="2424"/>
    </row>
    <row r="16" spans="2:12" ht="13.5" customHeight="1" x14ac:dyDescent="0.2">
      <c r="B16" s="1952"/>
      <c r="C16" s="1952"/>
      <c r="D16" s="1952"/>
    </row>
    <row r="17" spans="2:5" ht="13.5" customHeight="1" x14ac:dyDescent="0.2">
      <c r="B17" s="1957" t="s">
        <v>2090</v>
      </c>
      <c r="C17" s="1957"/>
      <c r="D17" s="1952"/>
    </row>
    <row r="18" spans="2:5" ht="76.5" customHeight="1" x14ac:dyDescent="0.2">
      <c r="B18" s="2423" t="s">
        <v>3124</v>
      </c>
      <c r="C18" s="2423"/>
      <c r="D18" s="2424"/>
      <c r="E18" s="2424"/>
    </row>
    <row r="19" spans="2:5" ht="13.5" customHeight="1" x14ac:dyDescent="0.2">
      <c r="B19" s="1952"/>
      <c r="C19" s="1952"/>
      <c r="D19" s="1952"/>
    </row>
    <row r="20" spans="2:5" ht="13.5" customHeight="1" x14ac:dyDescent="0.2">
      <c r="B20" s="1957" t="s">
        <v>2091</v>
      </c>
      <c r="C20" s="1957"/>
      <c r="D20" s="1952"/>
      <c r="E20" s="1975" t="s">
        <v>2092</v>
      </c>
    </row>
    <row r="21" spans="2:5" ht="13.5" customHeight="1" x14ac:dyDescent="0.2">
      <c r="B21" s="1952"/>
      <c r="C21" s="1952"/>
      <c r="D21" s="1952"/>
    </row>
    <row r="22" spans="2:5" ht="13.5" customHeight="1" x14ac:dyDescent="0.2">
      <c r="B22" s="1957" t="s">
        <v>2093</v>
      </c>
      <c r="C22" s="1957"/>
      <c r="D22" s="1952"/>
      <c r="E22" s="1960" t="str">
        <f>COVER!A38</f>
        <v>Gary Doughan</v>
      </c>
    </row>
    <row r="23" spans="2:5" ht="13.5" customHeight="1" x14ac:dyDescent="0.2">
      <c r="B23" s="1952"/>
      <c r="C23" s="1952"/>
      <c r="D23" s="1952"/>
    </row>
    <row r="24" spans="2:5" ht="13.5" customHeight="1" x14ac:dyDescent="0.2">
      <c r="B24" s="1957" t="s">
        <v>2094</v>
      </c>
      <c r="C24" s="1957"/>
      <c r="D24" s="1952"/>
      <c r="E24" s="1960"/>
    </row>
    <row r="25" spans="2:5" ht="13.5" customHeight="1" x14ac:dyDescent="0.2">
      <c r="B25" s="2423" t="s">
        <v>3129</v>
      </c>
      <c r="C25" s="2423"/>
      <c r="D25" s="2424"/>
      <c r="E25" s="2424"/>
    </row>
    <row r="26" spans="2:5" ht="13.5" customHeight="1" x14ac:dyDescent="0.2">
      <c r="B26" s="1952"/>
      <c r="C26" s="1952"/>
      <c r="D26" s="1952"/>
      <c r="E26" s="1961"/>
    </row>
    <row r="27" spans="2:5" ht="13.5" customHeight="1" x14ac:dyDescent="0.2">
      <c r="B27" s="1952"/>
      <c r="C27" s="1952"/>
      <c r="D27" s="1952"/>
    </row>
    <row r="28" spans="2:5" ht="13.5" customHeight="1" x14ac:dyDescent="0.2">
      <c r="B28" s="1952"/>
      <c r="C28" s="1952"/>
      <c r="D28" s="1952"/>
    </row>
    <row r="29" spans="2:5" ht="13.5" customHeight="1" x14ac:dyDescent="0.2">
      <c r="B29" s="1962"/>
      <c r="C29" s="1962"/>
      <c r="D29" s="1962"/>
    </row>
    <row r="30" spans="2:5" ht="13.5" customHeight="1" x14ac:dyDescent="0.2">
      <c r="B30" s="1962"/>
      <c r="C30" s="1962"/>
      <c r="D30" s="1962"/>
    </row>
    <row r="31" spans="2:5" ht="13.5" customHeight="1" x14ac:dyDescent="0.2">
      <c r="B31" s="1962"/>
      <c r="C31" s="1962"/>
      <c r="D31" s="1962"/>
    </row>
    <row r="32" spans="2:5" ht="13.5" customHeight="1" x14ac:dyDescent="0.2"/>
    <row r="33" spans="2:4" ht="13.5" customHeight="1" x14ac:dyDescent="0.2"/>
    <row r="34" spans="2:4" ht="13.5" customHeight="1" x14ac:dyDescent="0.2"/>
    <row r="35" spans="2:4" ht="13.5" customHeight="1" x14ac:dyDescent="0.2"/>
    <row r="36" spans="2:4" ht="13.5" customHeight="1" x14ac:dyDescent="0.2"/>
    <row r="37" spans="2:4" ht="13.5" customHeight="1" x14ac:dyDescent="0.2"/>
    <row r="38" spans="2:4" ht="13.5" customHeight="1" x14ac:dyDescent="0.2"/>
    <row r="39" spans="2:4" ht="12.2" customHeight="1" x14ac:dyDescent="0.2">
      <c r="B39" s="1963" t="s">
        <v>2095</v>
      </c>
      <c r="C39" s="1963"/>
      <c r="D39" s="1963"/>
    </row>
    <row r="40" spans="2:4" ht="12.2" customHeight="1" x14ac:dyDescent="0.2">
      <c r="B40" s="1964"/>
      <c r="C40" s="1964"/>
      <c r="D40" s="1964"/>
    </row>
    <row r="41" spans="2:4" ht="12.75" customHeight="1" x14ac:dyDescent="0.2">
      <c r="B41" s="1965"/>
      <c r="C41" s="1965"/>
      <c r="D41" s="1965"/>
    </row>
    <row r="42" spans="2:4" ht="12.75" customHeight="1" x14ac:dyDescent="0.2">
      <c r="B42" s="1965"/>
      <c r="C42" s="1965"/>
      <c r="D42" s="1965"/>
    </row>
    <row r="43" spans="2:4" x14ac:dyDescent="0.2">
      <c r="B43" s="1965"/>
      <c r="C43" s="1965"/>
      <c r="D43" s="1965"/>
    </row>
    <row r="44" spans="2:4" x14ac:dyDescent="0.2">
      <c r="B44" s="1965"/>
      <c r="C44" s="1965"/>
      <c r="D44" s="1965"/>
    </row>
    <row r="48" spans="2:4" x14ac:dyDescent="0.2">
      <c r="B48" s="1966"/>
      <c r="C48" s="1966"/>
      <c r="D48" s="1966"/>
    </row>
    <row r="49" spans="2:9" ht="12.75" customHeight="1" x14ac:dyDescent="0.2"/>
    <row r="50" spans="2:9" ht="12.75" customHeight="1" x14ac:dyDescent="0.2">
      <c r="B50" s="1952"/>
      <c r="C50" s="1952"/>
      <c r="D50" s="1952"/>
      <c r="E50" s="1952"/>
      <c r="F50" s="1952"/>
      <c r="G50" s="1952"/>
      <c r="H50" s="1952"/>
      <c r="I50" s="1952"/>
    </row>
    <row r="51" spans="2:9" ht="12.75" customHeight="1" x14ac:dyDescent="0.2">
      <c r="B51" s="1952"/>
      <c r="C51" s="1952"/>
      <c r="D51" s="1952"/>
      <c r="E51" s="1952"/>
      <c r="F51" s="1952"/>
      <c r="G51" s="1952"/>
      <c r="H51" s="1952"/>
      <c r="I51" s="1952"/>
    </row>
    <row r="52" spans="2:9" ht="12.75" customHeight="1" x14ac:dyDescent="0.2">
      <c r="B52" s="1952"/>
      <c r="C52" s="1952"/>
      <c r="D52" s="1952"/>
      <c r="E52" s="1952"/>
      <c r="F52" s="1952"/>
      <c r="G52" s="1952"/>
      <c r="H52" s="1952"/>
      <c r="I52" s="1952"/>
    </row>
    <row r="53" spans="2:9" ht="12.75" customHeight="1" x14ac:dyDescent="0.2">
      <c r="B53" s="1952"/>
      <c r="C53" s="1952"/>
      <c r="D53" s="1952"/>
      <c r="E53" s="1952"/>
      <c r="F53" s="1952"/>
      <c r="G53" s="1952"/>
      <c r="H53" s="1952"/>
      <c r="I53" s="1952"/>
    </row>
    <row r="54" spans="2:9" ht="12.75" customHeight="1" x14ac:dyDescent="0.2">
      <c r="B54" s="1952"/>
      <c r="C54" s="1952"/>
      <c r="D54" s="1952"/>
      <c r="E54" s="1952"/>
      <c r="F54" s="1952"/>
      <c r="G54" s="1952"/>
      <c r="H54" s="1952"/>
      <c r="I54" s="1952"/>
    </row>
    <row r="55" spans="2:9" ht="12.75" customHeight="1" x14ac:dyDescent="0.2">
      <c r="B55" s="1952"/>
      <c r="C55" s="1952"/>
      <c r="D55" s="1952"/>
      <c r="E55" s="1952"/>
      <c r="F55" s="1952"/>
      <c r="G55" s="1952"/>
      <c r="H55" s="1952"/>
      <c r="I55" s="1952"/>
    </row>
    <row r="56" spans="2:9" ht="12.75" customHeight="1" x14ac:dyDescent="0.2">
      <c r="B56" s="1952"/>
      <c r="C56" s="1952"/>
      <c r="D56" s="1952"/>
      <c r="E56" s="1952"/>
      <c r="F56" s="1952"/>
    </row>
    <row r="57" spans="2:9" ht="12.75" customHeight="1" x14ac:dyDescent="0.2">
      <c r="B57" s="1952"/>
      <c r="C57" s="1952"/>
      <c r="D57" s="1952"/>
      <c r="E57" s="1952"/>
      <c r="F57" s="1952"/>
      <c r="G57" s="1952"/>
      <c r="H57" s="1952"/>
      <c r="I57" s="1952"/>
    </row>
    <row r="61" spans="2:9" x14ac:dyDescent="0.2">
      <c r="B61" s="1967"/>
      <c r="C61" s="1967"/>
      <c r="D61" s="1967"/>
    </row>
    <row r="62" spans="2:9" x14ac:dyDescent="0.2">
      <c r="B62" s="1965"/>
      <c r="C62" s="1965"/>
      <c r="D62" s="1965"/>
    </row>
    <row r="63" spans="2:9" x14ac:dyDescent="0.2">
      <c r="B63" s="1965"/>
      <c r="C63" s="1965"/>
      <c r="D63" s="1965"/>
    </row>
    <row r="64" spans="2:9" x14ac:dyDescent="0.2">
      <c r="B64" s="1968"/>
      <c r="C64" s="1968"/>
      <c r="D64" s="1968"/>
    </row>
    <row r="65" spans="2:4" x14ac:dyDescent="0.2">
      <c r="B65" s="1968"/>
      <c r="C65" s="1968"/>
      <c r="D65" s="1968"/>
    </row>
    <row r="66" spans="2:4" x14ac:dyDescent="0.2">
      <c r="B66" s="1968"/>
      <c r="C66" s="1968"/>
      <c r="D66" s="1968"/>
    </row>
    <row r="67" spans="2:4" x14ac:dyDescent="0.2">
      <c r="B67" s="1965"/>
      <c r="C67" s="1965"/>
      <c r="D67" s="1965"/>
    </row>
  </sheetData>
  <mergeCells count="7">
    <mergeCell ref="B25:E25"/>
    <mergeCell ref="B5:E5"/>
    <mergeCell ref="B6:E6"/>
    <mergeCell ref="B7:E7"/>
    <mergeCell ref="B8:E8"/>
    <mergeCell ref="B15:E15"/>
    <mergeCell ref="B18:E18"/>
  </mergeCells>
  <pageMargins left="0.25" right="0.27" top="0.68" bottom="0.53" header="0.26" footer="0.27"/>
  <pageSetup firstPageNumber="44" orientation="portrait" useFirstPageNumber="1" r:id="rId1"/>
  <headerFooter alignWithMargins="0">
    <oddHeader xml:space="preserve">&amp;C&amp;"Arial,Bold"&amp;46Corrective Action Plan&amp;R&amp;8
</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0">
    <tabColor indexed="39"/>
  </sheetPr>
  <dimension ref="A1:L82"/>
  <sheetViews>
    <sheetView showGridLines="0" defaultGridColor="0" topLeftCell="A35" colorId="8" zoomScale="110" zoomScaleNormal="110" workbookViewId="0">
      <selection activeCell="D81" sqref="D81"/>
    </sheetView>
  </sheetViews>
  <sheetFormatPr defaultColWidth="9.140625" defaultRowHeight="12" x14ac:dyDescent="0.2"/>
  <cols>
    <col min="1" max="1" width="2.7109375" style="1117" customWidth="1"/>
    <col min="2" max="2" width="3.140625" style="1117" customWidth="1"/>
    <col min="3" max="3" width="96.140625" style="1057" customWidth="1"/>
    <col min="4" max="4" width="42.140625" style="242" customWidth="1"/>
    <col min="5" max="5" width="2.7109375" style="1076" customWidth="1"/>
    <col min="6" max="6" width="1" style="1076" customWidth="1"/>
    <col min="7" max="16384" width="9.140625" style="1076"/>
  </cols>
  <sheetData>
    <row r="1" spans="1:4" ht="4.5" customHeight="1" thickBot="1" x14ac:dyDescent="0.25">
      <c r="A1" s="1072"/>
      <c r="B1" s="1073"/>
      <c r="C1" s="1074"/>
      <c r="D1" s="1075"/>
    </row>
    <row r="2" spans="1:4" ht="7.5" customHeight="1" thickTop="1" x14ac:dyDescent="0.2">
      <c r="A2" s="1880"/>
      <c r="B2" s="1881"/>
      <c r="C2" s="1882"/>
      <c r="D2" s="1883"/>
    </row>
    <row r="3" spans="1:4" ht="36" customHeight="1" x14ac:dyDescent="0.2">
      <c r="A3" s="2429" t="s">
        <v>665</v>
      </c>
      <c r="B3" s="2430"/>
      <c r="C3" s="2430"/>
      <c r="D3" s="2431"/>
    </row>
    <row r="4" spans="1:4" x14ac:dyDescent="0.2">
      <c r="A4" s="1136" t="s">
        <v>1692</v>
      </c>
      <c r="B4" s="1137"/>
      <c r="C4" s="1138"/>
      <c r="D4" s="1139"/>
    </row>
    <row r="5" spans="1:4" ht="21" customHeight="1" x14ac:dyDescent="0.2">
      <c r="A5" s="1132"/>
      <c r="B5" s="1133">
        <v>1</v>
      </c>
      <c r="C5" s="1134" t="s">
        <v>1834</v>
      </c>
      <c r="D5" s="1135"/>
    </row>
    <row r="6" spans="1:4" s="653" customFormat="1" ht="14.25" customHeight="1" x14ac:dyDescent="0.2">
      <c r="A6" s="1122"/>
      <c r="B6" s="1077">
        <f t="shared" ref="B6:B13" si="0">B5+1</f>
        <v>2</v>
      </c>
      <c r="C6" s="1078" t="s">
        <v>864</v>
      </c>
      <c r="D6" s="1079"/>
    </row>
    <row r="7" spans="1:4" s="653" customFormat="1" ht="12.75" x14ac:dyDescent="0.2">
      <c r="A7" s="1122"/>
      <c r="B7" s="1077">
        <f t="shared" si="0"/>
        <v>3</v>
      </c>
      <c r="C7" s="2440" t="s">
        <v>1504</v>
      </c>
      <c r="D7" s="2441"/>
    </row>
    <row r="8" spans="1:4" s="653" customFormat="1" ht="12.75" x14ac:dyDescent="0.2">
      <c r="A8" s="1122"/>
      <c r="B8" s="1077"/>
      <c r="C8" s="1080" t="s">
        <v>1503</v>
      </c>
      <c r="D8" s="1081"/>
    </row>
    <row r="9" spans="1:4" s="653" customFormat="1" ht="14.25" customHeight="1" x14ac:dyDescent="0.2">
      <c r="A9" s="1122"/>
      <c r="B9" s="1077">
        <f>B7+1</f>
        <v>4</v>
      </c>
      <c r="C9" s="1078" t="s">
        <v>1912</v>
      </c>
      <c r="D9" s="1079"/>
    </row>
    <row r="10" spans="1:4" s="653" customFormat="1" ht="14.25" customHeight="1" x14ac:dyDescent="0.2">
      <c r="A10" s="1122"/>
      <c r="B10" s="1077">
        <f t="shared" si="0"/>
        <v>5</v>
      </c>
      <c r="C10" s="1078" t="s">
        <v>639</v>
      </c>
      <c r="D10" s="1079"/>
    </row>
    <row r="11" spans="1:4" s="653" customFormat="1" ht="14.25" customHeight="1" x14ac:dyDescent="0.2">
      <c r="A11" s="1122"/>
      <c r="B11" s="1077">
        <f t="shared" si="0"/>
        <v>6</v>
      </c>
      <c r="C11" s="1078" t="s">
        <v>778</v>
      </c>
      <c r="D11" s="1079"/>
    </row>
    <row r="12" spans="1:4" s="653" customFormat="1" ht="14.25" customHeight="1" x14ac:dyDescent="0.2">
      <c r="A12" s="1122"/>
      <c r="B12" s="1077">
        <f t="shared" si="0"/>
        <v>7</v>
      </c>
      <c r="C12" s="1078" t="s">
        <v>1062</v>
      </c>
      <c r="D12" s="1079"/>
    </row>
    <row r="13" spans="1:4" s="653" customFormat="1" ht="14.25" customHeight="1" x14ac:dyDescent="0.2">
      <c r="A13" s="1122"/>
      <c r="B13" s="1077">
        <f t="shared" si="0"/>
        <v>8</v>
      </c>
      <c r="C13" s="1118" t="s">
        <v>779</v>
      </c>
      <c r="D13" s="1079"/>
    </row>
    <row r="14" spans="1:4" s="653" customFormat="1" ht="14.25" customHeight="1" x14ac:dyDescent="0.2">
      <c r="A14" s="1122"/>
      <c r="B14" s="1119">
        <v>9</v>
      </c>
      <c r="C14" s="1120" t="s">
        <v>1505</v>
      </c>
      <c r="D14" s="1121"/>
    </row>
    <row r="15" spans="1:4" s="653" customFormat="1" ht="21.75" customHeight="1" x14ac:dyDescent="0.2">
      <c r="A15" s="2432" t="s">
        <v>1008</v>
      </c>
      <c r="B15" s="2433"/>
      <c r="C15" s="2433"/>
      <c r="D15" s="2434"/>
    </row>
    <row r="16" spans="1:4" s="653" customFormat="1" ht="24" customHeight="1" x14ac:dyDescent="0.2">
      <c r="A16" s="2435" t="s">
        <v>663</v>
      </c>
      <c r="B16" s="2436"/>
      <c r="C16" s="2436"/>
      <c r="D16" s="2437"/>
    </row>
    <row r="17" spans="1:10" s="653" customFormat="1" ht="12.75" customHeight="1" x14ac:dyDescent="0.2">
      <c r="A17" s="1140" t="s">
        <v>1693</v>
      </c>
      <c r="B17" s="1141"/>
      <c r="C17" s="1142"/>
      <c r="D17" s="1143"/>
    </row>
    <row r="18" spans="1:10" s="653" customFormat="1" ht="12.75" customHeight="1" x14ac:dyDescent="0.2">
      <c r="A18" s="1144" t="s">
        <v>1694</v>
      </c>
      <c r="B18" s="1145"/>
      <c r="C18" s="1146"/>
      <c r="D18" s="1147"/>
    </row>
    <row r="19" spans="1:10" ht="6.75" customHeight="1" thickBot="1" x14ac:dyDescent="0.25">
      <c r="A19" s="1148"/>
      <c r="B19" s="1149"/>
      <c r="C19" s="1150"/>
      <c r="D19" s="1151"/>
    </row>
    <row r="20" spans="1:10" s="1155" customFormat="1" ht="12.75" thickTop="1" x14ac:dyDescent="0.2">
      <c r="A20" s="1152"/>
      <c r="B20" s="1153" t="s">
        <v>1695</v>
      </c>
      <c r="C20" s="1154"/>
      <c r="D20" s="1157" t="s">
        <v>710</v>
      </c>
    </row>
    <row r="21" spans="1:10" x14ac:dyDescent="0.2">
      <c r="A21" s="1082"/>
      <c r="B21" s="1083">
        <v>1</v>
      </c>
      <c r="C21" s="2444" t="s">
        <v>314</v>
      </c>
      <c r="D21" s="2445"/>
    </row>
    <row r="22" spans="1:10" ht="12.75" x14ac:dyDescent="0.2">
      <c r="A22" s="1123"/>
      <c r="B22" s="1124">
        <v>2</v>
      </c>
      <c r="C22" s="2442" t="s">
        <v>1524</v>
      </c>
      <c r="D22" s="2443"/>
    </row>
    <row r="23" spans="1:10" ht="12.2" customHeight="1" x14ac:dyDescent="0.2">
      <c r="A23" s="1123"/>
      <c r="B23" s="1124"/>
      <c r="C23" s="1125" t="s">
        <v>954</v>
      </c>
      <c r="D23" s="1126" t="str">
        <f>IF(COVER!O11="X","CASH",IF(COVER!O12="X","ACCRUAL ","PLEASE CHECK AN ACCOUNTING BASIS."))</f>
        <v>CASH</v>
      </c>
    </row>
    <row r="24" spans="1:10" ht="12.2" customHeight="1" x14ac:dyDescent="0.2">
      <c r="A24" s="1123"/>
      <c r="B24" s="1124"/>
      <c r="C24" s="1125" t="s">
        <v>1332</v>
      </c>
      <c r="D24" s="1126" t="str">
        <f>IF(COVER!O11="X","OK",IF(AND('Aud Quest 2'!J90=0,'Aud Quest 2'!I77&lt;DATE(2017,12,31)),"ENTER ACCOUNTING INFO",IF(AND('Aud Quest 2'!J90&gt;0,'Aud Quest 2'!I77&lt;DATE(2017,12,31)),"OK")))</f>
        <v>OK</v>
      </c>
    </row>
    <row r="25" spans="1:10" x14ac:dyDescent="0.2">
      <c r="A25" s="1084"/>
      <c r="B25" s="1085"/>
      <c r="C25" s="1086" t="s">
        <v>1526</v>
      </c>
      <c r="D25" s="1087" t="str">
        <f>IF(AND(COVER!J29="X",COVER!J30="X",COVER!L30&lt;&gt;"X"),"OK",IF(AND(COVER!J29="X",COVER!J30&lt;&gt;"X",COVER!L30="X"),"OK",IF(AND(COVER!L29="X",COVER!J30&lt;&gt;"X"),"OK","PLEASE CHECK YES or NO.")))</f>
        <v>OK</v>
      </c>
    </row>
    <row r="26" spans="1:10" x14ac:dyDescent="0.2">
      <c r="A26" s="1084"/>
      <c r="B26" s="1127"/>
      <c r="C26" s="1088" t="s">
        <v>1525</v>
      </c>
      <c r="D26" s="1089" t="str">
        <f>IF(AND(COVER!J29="X",COVER!J30="X",COVER!L29&lt;&gt;"X"),"OK",IF(AND(COVER!J29="X",COVER!J30&lt;&gt;"X",COVER!L30="X"),"SENDING AN A-133 SEPERATELY!",IF(AND(COVER!L29="X",COVER!J30&lt;&gt;"X"),"OK","PLEASE CHECK YES or NO.")))</f>
        <v>OK</v>
      </c>
    </row>
    <row r="27" spans="1:10" ht="12" hidden="1" customHeight="1" x14ac:dyDescent="0.2">
      <c r="A27" s="1090"/>
      <c r="B27" s="1127"/>
      <c r="C27" s="1086" t="s">
        <v>975</v>
      </c>
      <c r="D27" s="1089" t="str">
        <f>IF(AND(COVER!J29="X",COVER!J31="X",COVER!L29&lt;&gt;"X"),"OK",IF(AND(COVER!J29="X",COVER!J31&lt;&gt;"X",COVER!L31="X"),"NO FINDINGS WERE ISSUED",IF(AND(COVER!L29="X",COVER!J31&lt;&gt;"X"),"OK","PLEASE CHECK YES or NO.")))</f>
        <v>PLEASE CHECK YES or NO.</v>
      </c>
    </row>
    <row r="28" spans="1:10" ht="24" hidden="1" customHeight="1" x14ac:dyDescent="0.2">
      <c r="A28" s="1090"/>
      <c r="B28" s="1127"/>
      <c r="C28" s="1086" t="s">
        <v>842</v>
      </c>
      <c r="D28" s="1091" t="str">
        <f>IF('Aud Quest 2'!B53="X",IF('Aud Quest 2'!F53&gt;"00/00/00 ","Enter Effective Date","ok"))</f>
        <v>ok</v>
      </c>
    </row>
    <row r="29" spans="1:10" x14ac:dyDescent="0.2">
      <c r="A29" s="1084"/>
      <c r="B29" s="1127"/>
      <c r="C29" s="1088" t="s">
        <v>1373</v>
      </c>
      <c r="D29" s="1089" t="str">
        <f ca="1">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82"/>
      <c r="B30" s="1124">
        <f>B22+1</f>
        <v>3</v>
      </c>
      <c r="C30" s="1092" t="s">
        <v>825</v>
      </c>
      <c r="D30" s="1093"/>
    </row>
    <row r="31" spans="1:10" x14ac:dyDescent="0.2">
      <c r="A31" s="1084"/>
      <c r="B31" s="1094"/>
      <c r="C31" s="1128" t="s">
        <v>253</v>
      </c>
      <c r="D31" s="1095" t="str">
        <f>IF(SUM('FP Info 3'!J10:L10)&lt;=0.0999999,"OK","CORRECT THE TAX RATES BY MOVING THE DECIMAL TWO PLACES TO THE LEFT.")</f>
        <v>OK</v>
      </c>
      <c r="E31" s="359"/>
      <c r="F31" s="359"/>
      <c r="G31" s="359"/>
      <c r="H31" s="359"/>
      <c r="I31" s="359"/>
      <c r="J31" s="359"/>
    </row>
    <row r="32" spans="1:10" x14ac:dyDescent="0.2">
      <c r="A32" s="1084"/>
      <c r="B32" s="1129"/>
      <c r="C32" s="1096" t="s">
        <v>978</v>
      </c>
      <c r="D32" s="1087" t="str">
        <f>IF(OR(COVER!B6="x",'FP Info 3'!B31="X",'FP Info 3'!B32="X"),"OK","ENTRY IS REQUIRED!")</f>
        <v>OK</v>
      </c>
    </row>
    <row r="33" spans="1:12" s="1100" customFormat="1" ht="12.75" customHeight="1" x14ac:dyDescent="0.2">
      <c r="A33" s="1097"/>
      <c r="B33" s="1124">
        <f>B30+1</f>
        <v>4</v>
      </c>
      <c r="C33" s="1098" t="s">
        <v>780</v>
      </c>
      <c r="D33" s="1099"/>
    </row>
    <row r="34" spans="1:12" s="1100" customFormat="1" x14ac:dyDescent="0.2">
      <c r="A34" s="1101"/>
      <c r="B34" s="1124"/>
      <c r="C34" s="1102" t="s">
        <v>826</v>
      </c>
      <c r="D34" s="1087" t="str">
        <f ca="1">IF('Assets-Liab 5-6'!C4&lt;-0.49, "ERROR!","OK")</f>
        <v>OK</v>
      </c>
    </row>
    <row r="35" spans="1:12" x14ac:dyDescent="0.2">
      <c r="A35" s="1101"/>
      <c r="B35" s="1124"/>
      <c r="C35" s="1102" t="s">
        <v>306</v>
      </c>
      <c r="D35" s="1087" t="str">
        <f ca="1">IF('Assets-Liab 5-6'!D4&lt;-0.49, "ERROR!","OK")</f>
        <v>OK</v>
      </c>
      <c r="L35" s="1156"/>
    </row>
    <row r="36" spans="1:12" x14ac:dyDescent="0.2">
      <c r="A36" s="1101"/>
      <c r="B36" s="1124"/>
      <c r="C36" s="1102" t="s">
        <v>781</v>
      </c>
      <c r="D36" s="1087" t="str">
        <f ca="1">IF('Assets-Liab 5-6'!E4&lt;-0.49, "ERROR!","OK")</f>
        <v>OK</v>
      </c>
    </row>
    <row r="37" spans="1:12" x14ac:dyDescent="0.2">
      <c r="A37" s="1101"/>
      <c r="B37" s="1124"/>
      <c r="C37" s="1102" t="s">
        <v>307</v>
      </c>
      <c r="D37" s="1087" t="str">
        <f ca="1">IF('Assets-Liab 5-6'!F4&lt;-0.49, "ERROR!","OK")</f>
        <v>OK</v>
      </c>
    </row>
    <row r="38" spans="1:12" x14ac:dyDescent="0.2">
      <c r="A38" s="1101"/>
      <c r="B38" s="1124"/>
      <c r="C38" s="1102" t="s">
        <v>308</v>
      </c>
      <c r="D38" s="1087" t="str">
        <f>IF('Assets-Liab 5-6'!G4&lt;-0.49, "ERROR!","OK")</f>
        <v>OK</v>
      </c>
    </row>
    <row r="39" spans="1:12" x14ac:dyDescent="0.2">
      <c r="A39" s="1101"/>
      <c r="B39" s="1124"/>
      <c r="C39" s="1102" t="s">
        <v>782</v>
      </c>
      <c r="D39" s="1087" t="str">
        <f ca="1">IF('Assets-Liab 5-6'!H4&lt;-0.49, "ERROR!","OK")</f>
        <v>OK</v>
      </c>
    </row>
    <row r="40" spans="1:12" x14ac:dyDescent="0.2">
      <c r="A40" s="1101"/>
      <c r="B40" s="1124"/>
      <c r="C40" s="1102" t="s">
        <v>309</v>
      </c>
      <c r="D40" s="1087" t="str">
        <f ca="1">IF('Assets-Liab 5-6'!I4&lt;-0.49, "ERROR!","OK")</f>
        <v>OK</v>
      </c>
    </row>
    <row r="41" spans="1:12" x14ac:dyDescent="0.2">
      <c r="A41" s="1101"/>
      <c r="B41" s="1124"/>
      <c r="C41" s="1102" t="s">
        <v>783</v>
      </c>
      <c r="D41" s="1087" t="str">
        <f ca="1">IF('Assets-Liab 5-6'!J4&lt;-0.49, "ERROR!","OK")</f>
        <v>OK</v>
      </c>
    </row>
    <row r="42" spans="1:12" x14ac:dyDescent="0.2">
      <c r="A42" s="1101"/>
      <c r="B42" s="1124"/>
      <c r="C42" s="1102" t="s">
        <v>310</v>
      </c>
      <c r="D42" s="1087" t="str">
        <f ca="1">IF('Assets-Liab 5-6'!K4&lt;-0.49, "ERROR!","OK")</f>
        <v>OK</v>
      </c>
    </row>
    <row r="43" spans="1:12" x14ac:dyDescent="0.2">
      <c r="A43" s="1103"/>
      <c r="B43" s="1104">
        <f>B33+1</f>
        <v>5</v>
      </c>
      <c r="C43" s="2446" t="s">
        <v>536</v>
      </c>
      <c r="D43" s="2447"/>
    </row>
    <row r="44" spans="1:12" x14ac:dyDescent="0.2">
      <c r="A44" s="1103"/>
      <c r="B44" s="1105"/>
      <c r="C44" s="1106" t="s">
        <v>1335</v>
      </c>
      <c r="D44" s="1107" t="str">
        <f ca="1">IF(SUM('Assets-Liab 5-6'!C13)&lt;&gt;SUM('Assets-Liab 5-6'!C41),"ERROR!","OK")</f>
        <v>OK</v>
      </c>
    </row>
    <row r="45" spans="1:12" x14ac:dyDescent="0.2">
      <c r="A45" s="1103"/>
      <c r="B45" s="1105"/>
      <c r="C45" s="1106" t="s">
        <v>1336</v>
      </c>
      <c r="D45" s="1107" t="str">
        <f ca="1">IF(SUM('Assets-Liab 5-6'!D13)&lt;&gt;SUM('Assets-Liab 5-6'!D41),"ERROR!","OK")</f>
        <v>OK</v>
      </c>
    </row>
    <row r="46" spans="1:12" x14ac:dyDescent="0.2">
      <c r="A46" s="1103"/>
      <c r="B46" s="1105"/>
      <c r="C46" s="1106" t="s">
        <v>1337</v>
      </c>
      <c r="D46" s="1107" t="str">
        <f ca="1">IF(SUM('Assets-Liab 5-6'!E13)&lt;&gt;SUM('Assets-Liab 5-6'!E41),"ERROR!","OK")</f>
        <v>OK</v>
      </c>
    </row>
    <row r="47" spans="1:12" x14ac:dyDescent="0.2">
      <c r="A47" s="1103"/>
      <c r="B47" s="1105"/>
      <c r="C47" s="1106" t="s">
        <v>1338</v>
      </c>
      <c r="D47" s="1107" t="str">
        <f ca="1">IF(SUM('Assets-Liab 5-6'!F13)&lt;&gt;SUM('Assets-Liab 5-6'!F41),"ERROR!","OK")</f>
        <v>OK</v>
      </c>
    </row>
    <row r="48" spans="1:12" x14ac:dyDescent="0.2">
      <c r="A48" s="1103"/>
      <c r="B48" s="1105"/>
      <c r="C48" s="1106" t="s">
        <v>1339</v>
      </c>
      <c r="D48" s="1107" t="str">
        <f ca="1">IF(SUM('Assets-Liab 5-6'!G13)&lt;&gt;SUM('Assets-Liab 5-6'!G41),"ERROR!","OK")</f>
        <v>OK</v>
      </c>
    </row>
    <row r="49" spans="1:4" x14ac:dyDescent="0.2">
      <c r="A49" s="1103"/>
      <c r="B49" s="1105"/>
      <c r="C49" s="1106" t="s">
        <v>1340</v>
      </c>
      <c r="D49" s="1107" t="str">
        <f ca="1">IF(SUM('Assets-Liab 5-6'!H13)&lt;&gt;SUM('Assets-Liab 5-6'!H41),"ERROR!","OK")</f>
        <v>OK</v>
      </c>
    </row>
    <row r="50" spans="1:4" x14ac:dyDescent="0.2">
      <c r="A50" s="1103"/>
      <c r="B50" s="1105"/>
      <c r="C50" s="1106" t="s">
        <v>1341</v>
      </c>
      <c r="D50" s="1107" t="str">
        <f ca="1">IF(SUM('Assets-Liab 5-6'!I13)&lt;&gt;SUM('Assets-Liab 5-6'!I41),"ERROR!","OK")</f>
        <v>OK</v>
      </c>
    </row>
    <row r="51" spans="1:4" x14ac:dyDescent="0.2">
      <c r="A51" s="1103"/>
      <c r="B51" s="1105"/>
      <c r="C51" s="1106" t="s">
        <v>1342</v>
      </c>
      <c r="D51" s="1107" t="str">
        <f ca="1">IF(SUM('Assets-Liab 5-6'!J13)&lt;&gt;SUM('Assets-Liab 5-6'!J41),"ERROR!","OK")</f>
        <v>OK</v>
      </c>
    </row>
    <row r="52" spans="1:4" x14ac:dyDescent="0.2">
      <c r="A52" s="1103"/>
      <c r="B52" s="1105"/>
      <c r="C52" s="1106" t="s">
        <v>1343</v>
      </c>
      <c r="D52" s="1107" t="str">
        <f ca="1">IF(SUM('Assets-Liab 5-6'!K13)&lt;&gt;SUM('Assets-Liab 5-6'!K41),"ERROR!","OK")</f>
        <v>OK</v>
      </c>
    </row>
    <row r="53" spans="1:4" x14ac:dyDescent="0.2">
      <c r="A53" s="1103"/>
      <c r="B53" s="1105"/>
      <c r="C53" s="1106" t="s">
        <v>1344</v>
      </c>
      <c r="D53" s="1107" t="str">
        <f>IF(SUM('Assets-Liab 5-6'!L13)&lt;&gt;('Assets-Liab 5-6'!L41),"ERROR!","OK")</f>
        <v>OK</v>
      </c>
    </row>
    <row r="54" spans="1:4" x14ac:dyDescent="0.2">
      <c r="A54" s="1103"/>
      <c r="B54" s="1105"/>
      <c r="C54" s="1106" t="s">
        <v>1345</v>
      </c>
      <c r="D54" s="1107" t="str">
        <f>IF(SUM('Assets-Liab 5-6'!M23)&lt;&gt;('Assets-Liab 5-6'!M41),"ERROR!","OK")</f>
        <v>OK</v>
      </c>
    </row>
    <row r="55" spans="1:4" x14ac:dyDescent="0.2">
      <c r="A55" s="1103"/>
      <c r="B55" s="1105"/>
      <c r="C55" s="1106" t="s">
        <v>1346</v>
      </c>
      <c r="D55" s="1107" t="str">
        <f>IF(SUM('Assets-Liab 5-6'!N23)&lt;&gt;('Assets-Liab 5-6'!N41),"ERROR!","OK")</f>
        <v>OK</v>
      </c>
    </row>
    <row r="56" spans="1:4" x14ac:dyDescent="0.2">
      <c r="A56" s="1084"/>
      <c r="B56" s="1104">
        <f>B43+1</f>
        <v>6</v>
      </c>
      <c r="C56" s="2438" t="s">
        <v>784</v>
      </c>
      <c r="D56" s="2439"/>
    </row>
    <row r="57" spans="1:4" s="1100" customFormat="1" x14ac:dyDescent="0.2">
      <c r="A57" s="1084"/>
      <c r="B57" s="1094"/>
      <c r="C57" s="1102" t="s">
        <v>1347</v>
      </c>
      <c r="D57" s="1108" t="str">
        <f ca="1">IF('Assets-Liab 5-6'!C38+'Assets-Liab 5-6'!C39='Acct Summary 7-8'!C81,"OK","ERROR!")</f>
        <v>OK</v>
      </c>
    </row>
    <row r="58" spans="1:4" x14ac:dyDescent="0.2">
      <c r="A58" s="1084"/>
      <c r="B58" s="1094"/>
      <c r="C58" s="1102" t="s">
        <v>1348</v>
      </c>
      <c r="D58" s="1108" t="str">
        <f ca="1">IF((('Assets-Liab 5-6'!D38+'Assets-Liab 5-6'!D39) ='Acct Summary 7-8'!D81), "OK", "ERROR!" )</f>
        <v>OK</v>
      </c>
    </row>
    <row r="59" spans="1:4" s="1100" customFormat="1" x14ac:dyDescent="0.2">
      <c r="A59" s="1084"/>
      <c r="B59" s="1094"/>
      <c r="C59" s="1102" t="s">
        <v>1349</v>
      </c>
      <c r="D59" s="1108" t="str">
        <f ca="1">IF((('Assets-Liab 5-6'!E38 + 'Assets-Liab 5-6'!E39) ='Acct Summary 7-8'!E81), "OK", "ERROR!" )</f>
        <v>OK</v>
      </c>
    </row>
    <row r="60" spans="1:4" x14ac:dyDescent="0.2">
      <c r="A60" s="1084"/>
      <c r="B60" s="1094"/>
      <c r="C60" s="1102" t="s">
        <v>1350</v>
      </c>
      <c r="D60" s="1108" t="str">
        <f ca="1">IF((('Assets-Liab 5-6'!F38 + 'Assets-Liab 5-6'!F39) ='Acct Summary 7-8'!F81), "OK", "ERROR!" )</f>
        <v>OK</v>
      </c>
    </row>
    <row r="61" spans="1:4" ht="12.75" customHeight="1" x14ac:dyDescent="0.2">
      <c r="A61" s="1084"/>
      <c r="B61" s="1094"/>
      <c r="C61" s="1102" t="s">
        <v>1363</v>
      </c>
      <c r="D61" s="1108" t="str">
        <f ca="1">IF((('Assets-Liab 5-6'!G38 + 'Assets-Liab 5-6'!G39) ='Acct Summary 7-8'!G81), "OK", "ERROR!" )</f>
        <v>OK</v>
      </c>
    </row>
    <row r="62" spans="1:4" x14ac:dyDescent="0.2">
      <c r="A62" s="1084"/>
      <c r="B62" s="1094"/>
      <c r="C62" s="1102" t="s">
        <v>1351</v>
      </c>
      <c r="D62" s="1108" t="str">
        <f ca="1">IF((('Assets-Liab 5-6'!H38 + 'Assets-Liab 5-6'!H39) ='Acct Summary 7-8'!H81), "OK", "ERROR!" )</f>
        <v>OK</v>
      </c>
    </row>
    <row r="63" spans="1:4" ht="12.75" customHeight="1" x14ac:dyDescent="0.2">
      <c r="A63" s="1084"/>
      <c r="B63" s="1094"/>
      <c r="C63" s="1102" t="s">
        <v>1352</v>
      </c>
      <c r="D63" s="1108" t="str">
        <f ca="1">IF((('Assets-Liab 5-6'!I38 + 'Assets-Liab 5-6'!I39) ='Acct Summary 7-8'!I81), "OK", "ERROR!" )</f>
        <v>OK</v>
      </c>
    </row>
    <row r="64" spans="1:4" x14ac:dyDescent="0.2">
      <c r="A64" s="1084"/>
      <c r="B64" s="1094"/>
      <c r="C64" s="1102" t="s">
        <v>1353</v>
      </c>
      <c r="D64" s="1108" t="str">
        <f ca="1">IF((('Assets-Liab 5-6'!J38 + 'Assets-Liab 5-6'!J39) ='Acct Summary 7-8'!J81), "OK", "ERROR!" )</f>
        <v>OK</v>
      </c>
    </row>
    <row r="65" spans="1:4" x14ac:dyDescent="0.2">
      <c r="A65" s="1101"/>
      <c r="B65" s="1094"/>
      <c r="C65" s="1102" t="s">
        <v>1364</v>
      </c>
      <c r="D65" s="1108" t="str">
        <f ca="1">IF((('Assets-Liab 5-6'!K38 + 'Assets-Liab 5-6'!K39) ='Acct Summary 7-8'!K81), "OK", "ERROR!" )</f>
        <v>OK</v>
      </c>
    </row>
    <row r="66" spans="1:4" x14ac:dyDescent="0.2">
      <c r="A66" s="1082"/>
      <c r="B66" s="1124">
        <f>B56+1+1</f>
        <v>8</v>
      </c>
      <c r="C66" s="1130" t="s">
        <v>1913</v>
      </c>
      <c r="D66" s="1109"/>
    </row>
    <row r="67" spans="1:4" x14ac:dyDescent="0.2">
      <c r="A67" s="1103"/>
      <c r="B67" s="1124"/>
      <c r="C67" s="1131" t="s">
        <v>1021</v>
      </c>
      <c r="D67" s="1109"/>
    </row>
    <row r="68" spans="1:4" x14ac:dyDescent="0.2">
      <c r="A68" s="1084"/>
      <c r="B68" s="1094"/>
      <c r="C68" s="1086" t="s">
        <v>1914</v>
      </c>
      <c r="D68" s="1108" t="str">
        <f ca="1">IF('Short-Term Long-Term Debt 24'!F49=SUM(,'Acct Summary 7-8'!C33:K33),"OK","ERROR!")</f>
        <v>OK</v>
      </c>
    </row>
    <row r="69" spans="1:4" x14ac:dyDescent="0.2">
      <c r="A69" s="1084"/>
      <c r="B69" s="1094"/>
      <c r="C69" s="1086" t="s">
        <v>1915</v>
      </c>
      <c r="D69" s="1108" t="str">
        <f ca="1">IF('Expenditures 15-22'!H170&lt;&gt;'Short-Term Long-Term Debt 24'!H49,"ERROR!","OK")</f>
        <v>OK</v>
      </c>
    </row>
    <row r="70" spans="1:4" x14ac:dyDescent="0.2">
      <c r="A70" s="1082"/>
      <c r="B70" s="1104">
        <f>B66+1</f>
        <v>9</v>
      </c>
      <c r="C70" s="2438" t="s">
        <v>1696</v>
      </c>
      <c r="D70" s="2439"/>
    </row>
    <row r="71" spans="1:4" x14ac:dyDescent="0.2">
      <c r="A71" s="1082"/>
      <c r="B71" s="1104"/>
      <c r="C71" s="1086" t="s">
        <v>1354</v>
      </c>
      <c r="D71" s="1110" t="str">
        <f ca="1">IF(SUM('Acct Summary 7-8'!C27:K27) =SUM( 'Acct Summary 7-8'!C49:K49),"OK", "ERROR")</f>
        <v>OK</v>
      </c>
    </row>
    <row r="72" spans="1:4" x14ac:dyDescent="0.2">
      <c r="A72" s="1084"/>
      <c r="B72" s="1094"/>
      <c r="C72" s="1102" t="s">
        <v>1355</v>
      </c>
      <c r="D72" s="1108" t="str">
        <f ca="1">IF(SUM('Acct Summary 7-8'!C28:K28)=SUM('Acct Summary 7-8'!C50:K50),"OK","ERROR!")</f>
        <v>OK</v>
      </c>
    </row>
    <row r="73" spans="1:4" ht="24" x14ac:dyDescent="0.2">
      <c r="A73" s="1111"/>
      <c r="B73" s="1094"/>
      <c r="C73" s="1102" t="s">
        <v>1697</v>
      </c>
      <c r="D73" s="1110" t="str">
        <f ca="1">IF(SUM('Acct Summary 7-8'!C42:K42)&gt;=SUM( 'Acct Summary 7-8'!C74:K74),"OK", "ERROR")</f>
        <v>OK</v>
      </c>
    </row>
    <row r="74" spans="1:4" x14ac:dyDescent="0.2">
      <c r="A74" s="1082"/>
      <c r="B74" s="1104">
        <f>B70+1</f>
        <v>10</v>
      </c>
      <c r="C74" s="1098" t="s">
        <v>1916</v>
      </c>
      <c r="D74" s="1112"/>
    </row>
    <row r="75" spans="1:4" x14ac:dyDescent="0.2">
      <c r="A75" s="1084"/>
      <c r="B75" s="1094"/>
      <c r="C75" s="1102" t="s">
        <v>1377</v>
      </c>
      <c r="D75" s="1108" t="str">
        <f>IF(SUM('Assets-Liab 5-6'!C38:H38)&gt;=SUM('Rest Tax Levies-Tort Im 25'!G25:K25),"OK","ERROR")</f>
        <v>OK</v>
      </c>
    </row>
    <row r="76" spans="1:4" x14ac:dyDescent="0.2">
      <c r="A76" s="1084"/>
      <c r="B76" s="1094"/>
      <c r="C76" s="1102" t="s">
        <v>1418</v>
      </c>
      <c r="D76" s="1108" t="str">
        <f>IF(SUM('Assets-Liab 5-6'!C39:K39)&gt;0,"OK","ENTRY IS REQUIRED!")</f>
        <v>OK</v>
      </c>
    </row>
    <row r="77" spans="1:4" x14ac:dyDescent="0.2">
      <c r="A77" s="1084"/>
      <c r="B77" s="1113">
        <f>B74+1</f>
        <v>11</v>
      </c>
      <c r="C77" s="1158" t="s">
        <v>1378</v>
      </c>
      <c r="D77" s="1108"/>
    </row>
    <row r="78" spans="1:4" x14ac:dyDescent="0.2">
      <c r="A78" s="1084"/>
      <c r="B78" s="1094"/>
      <c r="C78" s="1102" t="s">
        <v>1917</v>
      </c>
      <c r="D78" s="1108" t="str">
        <f>IF(ISNUMBER('Acct Summary 7-8'!C9),"OK","ENTRY IS REQUIRED!")</f>
        <v>OK</v>
      </c>
    </row>
    <row r="79" spans="1:4" x14ac:dyDescent="0.2">
      <c r="A79" s="1103"/>
      <c r="B79" s="1104">
        <f>B74+1+1</f>
        <v>12</v>
      </c>
      <c r="C79" s="1114" t="s">
        <v>1902</v>
      </c>
      <c r="D79" s="1115" t="str">
        <f>IF(OR(COVER!$B$6="X",'PCTC-OEPP 27-28'!F78&gt;0),"OK","PLEASE ENTER 9 MO ADA.")</f>
        <v>OK</v>
      </c>
    </row>
    <row r="80" spans="1:4" x14ac:dyDescent="0.2">
      <c r="A80" s="1082"/>
      <c r="B80" s="1104">
        <v>13</v>
      </c>
      <c r="C80" s="1114" t="s">
        <v>1918</v>
      </c>
      <c r="D80" s="1115" t="str">
        <f>IF('Contracts Paid in CY 29'!D141&gt;0,"OK","PLEASE ENTER CONTRACTS PAID IN CURRENT YEAR.")</f>
        <v>OK</v>
      </c>
    </row>
    <row r="81" spans="1:4" x14ac:dyDescent="0.2">
      <c r="A81" s="1082"/>
      <c r="B81" s="1104">
        <v>14</v>
      </c>
      <c r="C81" s="1114" t="s">
        <v>1424</v>
      </c>
      <c r="D81" s="1107" t="e">
        <f>IF('Shared Outsourced Services 31'!B8="X","OK",IF('Shared Outsourced Services 31'!K34&gt;0,"OK","ENTRY REQUIRED!"))</f>
        <v>#REF!</v>
      </c>
    </row>
    <row r="82" spans="1:4" x14ac:dyDescent="0.2">
      <c r="A82" s="1103"/>
      <c r="B82" s="1104">
        <v>15</v>
      </c>
      <c r="C82" s="1114" t="s">
        <v>1423</v>
      </c>
      <c r="D82" s="1116"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20"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64" customWidth="1"/>
    <col min="2" max="2" width="2.28515625" style="1160" customWidth="1"/>
    <col min="3" max="3" width="9.140625" style="1164"/>
    <col min="4" max="4" width="13" style="1164" customWidth="1"/>
    <col min="5" max="5" width="16" style="1164" customWidth="1"/>
    <col min="6" max="6" width="4.140625" style="1164" customWidth="1"/>
    <col min="7" max="7" width="3.7109375" style="1164" customWidth="1"/>
    <col min="8" max="8" width="9.7109375" style="1164" customWidth="1"/>
    <col min="9" max="9" width="10.7109375" style="1164" customWidth="1"/>
    <col min="10" max="10" width="5" style="1164" customWidth="1"/>
    <col min="11" max="11" width="6.5703125" style="1164" customWidth="1"/>
    <col min="12" max="12" width="12.85546875" style="1164" customWidth="1"/>
    <col min="13" max="13" width="2.7109375" style="1164" customWidth="1"/>
    <col min="14" max="14" width="13.140625" style="1164" customWidth="1"/>
    <col min="15" max="15" width="7.140625" style="1164" customWidth="1"/>
    <col min="16" max="16" width="7" style="1164" customWidth="1"/>
    <col min="17" max="17" width="9.7109375" style="1164" customWidth="1"/>
    <col min="18" max="19" width="9.85546875" style="1164" customWidth="1"/>
    <col min="20" max="16384" width="9.140625" style="1164"/>
  </cols>
  <sheetData>
    <row r="1" spans="1:29" x14ac:dyDescent="0.2">
      <c r="A1" s="1159"/>
      <c r="C1" s="1159"/>
      <c r="D1" s="1159"/>
      <c r="E1" s="1159"/>
      <c r="F1" s="1161"/>
      <c r="G1" s="1161"/>
      <c r="H1" s="1159"/>
      <c r="I1" s="1159"/>
      <c r="J1" s="1159"/>
      <c r="K1" s="1159"/>
      <c r="L1" s="1162"/>
      <c r="M1" s="1163"/>
    </row>
    <row r="2" spans="1:29" ht="13.5" customHeight="1" x14ac:dyDescent="0.2">
      <c r="A2" s="2471" t="s">
        <v>1191</v>
      </c>
      <c r="B2" s="2471"/>
      <c r="C2" s="2471"/>
      <c r="D2" s="2471"/>
      <c r="E2" s="2471"/>
      <c r="F2" s="2471"/>
      <c r="G2" s="2471"/>
      <c r="H2" s="2471"/>
      <c r="I2" s="2471"/>
      <c r="J2" s="2471"/>
      <c r="K2" s="2471"/>
      <c r="L2" s="2471"/>
    </row>
    <row r="3" spans="1:29" ht="13.5" customHeight="1" x14ac:dyDescent="0.2">
      <c r="A3" s="2457" t="s">
        <v>1190</v>
      </c>
      <c r="B3" s="2457"/>
      <c r="C3" s="2457"/>
      <c r="D3" s="2457"/>
      <c r="E3" s="2457"/>
      <c r="F3" s="2457"/>
      <c r="G3" s="2457"/>
      <c r="H3" s="2457"/>
      <c r="I3" s="2457"/>
      <c r="J3" s="2457"/>
      <c r="K3" s="2457"/>
      <c r="L3" s="2457"/>
    </row>
    <row r="4" spans="1:29" ht="13.5" customHeight="1" x14ac:dyDescent="0.2">
      <c r="A4" s="2471" t="s">
        <v>1988</v>
      </c>
      <c r="B4" s="2488"/>
      <c r="C4" s="2488"/>
      <c r="D4" s="2488"/>
      <c r="E4" s="2488"/>
      <c r="F4" s="2488"/>
      <c r="G4" s="2488"/>
      <c r="H4" s="2488"/>
      <c r="I4" s="2488"/>
      <c r="J4" s="2488"/>
      <c r="K4" s="2488"/>
      <c r="L4" s="2488"/>
    </row>
    <row r="5" spans="1:29" ht="29.85" customHeight="1" x14ac:dyDescent="0.2">
      <c r="A5" s="1165"/>
      <c r="B5" s="1166"/>
      <c r="C5" s="1165"/>
      <c r="D5" s="1165"/>
      <c r="E5" s="1165"/>
      <c r="F5" s="1165"/>
      <c r="G5" s="1165"/>
      <c r="H5" s="1165"/>
      <c r="I5" s="1165"/>
      <c r="J5" s="1165"/>
      <c r="K5" s="1165"/>
      <c r="L5" s="1165"/>
      <c r="V5" s="1167"/>
      <c r="W5" s="1167"/>
      <c r="X5" s="1167"/>
      <c r="Y5" s="1167"/>
      <c r="Z5" s="1167"/>
      <c r="AA5" s="1167"/>
      <c r="AB5" s="1167"/>
      <c r="AC5" s="1167"/>
    </row>
    <row r="6" spans="1:29" ht="13.5" customHeight="1" x14ac:dyDescent="0.2">
      <c r="A6" s="1168" t="s">
        <v>1189</v>
      </c>
      <c r="B6" s="1169"/>
      <c r="C6" s="1170"/>
      <c r="D6" s="1170"/>
      <c r="E6" s="1171" t="s">
        <v>1188</v>
      </c>
      <c r="F6" s="1172"/>
      <c r="G6" s="1173" t="s">
        <v>1187</v>
      </c>
      <c r="H6" s="1170"/>
      <c r="I6" s="1170"/>
      <c r="J6" s="1170"/>
      <c r="K6" s="1170"/>
      <c r="L6" s="1174"/>
      <c r="V6" s="1167"/>
      <c r="W6" s="1167"/>
      <c r="X6" s="1167"/>
      <c r="Y6" s="1167"/>
      <c r="Z6" s="1167"/>
      <c r="AA6" s="1167"/>
      <c r="AB6" s="1167"/>
      <c r="AC6" s="1167"/>
    </row>
    <row r="7" spans="1:29" ht="16.5" customHeight="1" x14ac:dyDescent="0.2">
      <c r="A7" s="2451" t="str">
        <f>COVER!A17</f>
        <v>Saunemin CCSD 438</v>
      </c>
      <c r="B7" s="2452"/>
      <c r="C7" s="2452"/>
      <c r="D7" s="2489"/>
      <c r="E7" s="2490">
        <f>COVER!A13</f>
        <v>17053438004</v>
      </c>
      <c r="F7" s="2491"/>
      <c r="G7" s="2458" t="str">
        <f>COVER!T23</f>
        <v>060-003995</v>
      </c>
      <c r="H7" s="2459"/>
      <c r="I7" s="2459"/>
      <c r="J7" s="2459"/>
      <c r="K7" s="2459"/>
      <c r="L7" s="2460"/>
    </row>
    <row r="8" spans="1:29" ht="13.5" customHeight="1" x14ac:dyDescent="0.2">
      <c r="A8" s="1168" t="s">
        <v>1517</v>
      </c>
      <c r="B8" s="1169"/>
      <c r="C8" s="1170"/>
      <c r="D8" s="1170"/>
      <c r="E8" s="1175"/>
      <c r="F8" s="1174"/>
      <c r="G8" s="1176" t="s">
        <v>1186</v>
      </c>
      <c r="H8" s="1177"/>
      <c r="I8" s="1177"/>
      <c r="J8" s="1177"/>
      <c r="K8" s="1177"/>
      <c r="L8" s="1178"/>
    </row>
    <row r="9" spans="1:29" ht="13.5" customHeight="1" x14ac:dyDescent="0.2">
      <c r="A9" s="2461"/>
      <c r="B9" s="2462"/>
      <c r="C9" s="2462"/>
      <c r="D9" s="2462"/>
      <c r="E9" s="2462"/>
      <c r="F9" s="2463"/>
      <c r="G9" s="2464" t="str">
        <f>COVER!T13</f>
        <v>Roenfeldt &amp; Lockas, P.C.</v>
      </c>
      <c r="H9" s="2465"/>
      <c r="I9" s="2465"/>
      <c r="J9" s="2465"/>
      <c r="K9" s="2465"/>
      <c r="L9" s="2466"/>
    </row>
    <row r="10" spans="1:29" ht="13.5" customHeight="1" x14ac:dyDescent="0.2">
      <c r="A10" s="2448" t="str">
        <f>COVER!A38</f>
        <v>Gary Doughan</v>
      </c>
      <c r="B10" s="2449"/>
      <c r="C10" s="2449"/>
      <c r="D10" s="2449"/>
      <c r="E10" s="2449"/>
      <c r="F10" s="2450"/>
      <c r="G10" s="2464" t="str">
        <f>COVER!T17</f>
        <v>1100 Columbus Street</v>
      </c>
      <c r="H10" s="2477"/>
      <c r="I10" s="2477"/>
      <c r="J10" s="2477"/>
      <c r="K10" s="2477"/>
      <c r="L10" s="2478"/>
    </row>
    <row r="11" spans="1:29" ht="13.5" customHeight="1" x14ac:dyDescent="0.2">
      <c r="A11" s="1168" t="s">
        <v>1519</v>
      </c>
      <c r="B11" s="1169"/>
      <c r="C11" s="1170"/>
      <c r="D11" s="1175"/>
      <c r="E11" s="1170"/>
      <c r="F11" s="1174"/>
      <c r="G11" s="2464" t="str">
        <f>COVER!T19</f>
        <v>Ottawa</v>
      </c>
      <c r="H11" s="2477"/>
      <c r="I11" s="2477"/>
      <c r="J11" s="2477"/>
      <c r="K11" s="2477"/>
      <c r="L11" s="2478"/>
    </row>
    <row r="12" spans="1:29" ht="13.5" customHeight="1" x14ac:dyDescent="0.2">
      <c r="A12" s="2482" t="s">
        <v>1518</v>
      </c>
      <c r="B12" s="2483"/>
      <c r="C12" s="2483"/>
      <c r="D12" s="2483"/>
      <c r="E12" s="2483"/>
      <c r="F12" s="2484"/>
      <c r="G12" s="2479"/>
      <c r="H12" s="2480"/>
      <c r="I12" s="2480"/>
      <c r="J12" s="2480"/>
      <c r="K12" s="2480"/>
      <c r="L12" s="2481"/>
    </row>
    <row r="13" spans="1:29" ht="13.5" customHeight="1" x14ac:dyDescent="0.2">
      <c r="A13" s="2464"/>
      <c r="B13" s="2477"/>
      <c r="C13" s="2477"/>
      <c r="D13" s="2477"/>
      <c r="E13" s="2477"/>
      <c r="F13" s="2478"/>
      <c r="G13" s="2472" t="s">
        <v>1520</v>
      </c>
      <c r="H13" s="2473"/>
      <c r="I13" s="2485" t="str">
        <f>COVER!T25</f>
        <v>admin@roenfeldtlockas.com</v>
      </c>
      <c r="J13" s="2486"/>
      <c r="K13" s="2486"/>
      <c r="L13" s="2487"/>
    </row>
    <row r="14" spans="1:29" ht="13.5" customHeight="1" x14ac:dyDescent="0.2">
      <c r="A14" s="2464" t="str">
        <f>COVER!A19</f>
        <v>P.O. Box 290, 39 Main Street</v>
      </c>
      <c r="B14" s="2477"/>
      <c r="C14" s="2477"/>
      <c r="D14" s="2477"/>
      <c r="E14" s="2477"/>
      <c r="F14" s="2478"/>
      <c r="G14" s="1179" t="s">
        <v>1185</v>
      </c>
      <c r="H14" s="1177"/>
      <c r="I14" s="1177"/>
      <c r="J14" s="1177"/>
      <c r="K14" s="1177"/>
      <c r="L14" s="1178"/>
    </row>
    <row r="15" spans="1:29" ht="13.5" customHeight="1" x14ac:dyDescent="0.2">
      <c r="A15" s="2464" t="str">
        <f>COVER!A21</f>
        <v xml:space="preserve">Saunemin, Illinois </v>
      </c>
      <c r="B15" s="2477"/>
      <c r="C15" s="2477"/>
      <c r="D15" s="2477"/>
      <c r="E15" s="2477"/>
      <c r="F15" s="2478"/>
      <c r="G15" s="2474" t="str">
        <f>COVER!T15</f>
        <v>Duane K. Lockas, C.P.A.</v>
      </c>
      <c r="H15" s="2475"/>
      <c r="I15" s="2475"/>
      <c r="J15" s="2475"/>
      <c r="K15" s="2475"/>
      <c r="L15" s="2476"/>
    </row>
    <row r="16" spans="1:29" ht="12.2" customHeight="1" x14ac:dyDescent="0.2">
      <c r="A16" s="2454">
        <f>COVER!A25</f>
        <v>61769</v>
      </c>
      <c r="B16" s="2455"/>
      <c r="C16" s="2455"/>
      <c r="D16" s="2455"/>
      <c r="E16" s="2455"/>
      <c r="F16" s="2456"/>
      <c r="G16" s="2467"/>
      <c r="H16" s="2468"/>
      <c r="I16" s="2468"/>
      <c r="J16" s="2468"/>
      <c r="K16" s="2468"/>
      <c r="L16" s="2469"/>
    </row>
    <row r="17" spans="1:13" ht="12.2" customHeight="1" x14ac:dyDescent="0.2">
      <c r="A17" s="2470"/>
      <c r="B17" s="2455"/>
      <c r="C17" s="2455"/>
      <c r="D17" s="2455"/>
      <c r="E17" s="2455"/>
      <c r="F17" s="2456"/>
      <c r="G17" s="1179" t="s">
        <v>1184</v>
      </c>
      <c r="H17" s="1177"/>
      <c r="I17" s="1177"/>
      <c r="J17" s="1177"/>
      <c r="K17" s="1181" t="s">
        <v>1183</v>
      </c>
      <c r="L17" s="1174"/>
      <c r="M17" s="1167"/>
    </row>
    <row r="18" spans="1:13" ht="12.2" customHeight="1" x14ac:dyDescent="0.2">
      <c r="A18" s="2448"/>
      <c r="B18" s="2449"/>
      <c r="C18" s="2449"/>
      <c r="D18" s="2449"/>
      <c r="E18" s="2449"/>
      <c r="F18" s="2450"/>
      <c r="G18" s="2451" t="str">
        <f>COVER!T21</f>
        <v>815-433-0464</v>
      </c>
      <c r="H18" s="2452"/>
      <c r="I18" s="2452"/>
      <c r="J18" s="2452"/>
      <c r="K18" s="2451" t="str">
        <f>COVER!X21</f>
        <v>815-433-6464</v>
      </c>
      <c r="L18" s="2453"/>
    </row>
    <row r="19" spans="1:13" ht="12.2" customHeight="1" x14ac:dyDescent="0.2">
      <c r="A19" s="1182"/>
      <c r="C19" s="1182"/>
      <c r="D19" s="1182"/>
      <c r="E19" s="1182"/>
      <c r="F19" s="1182"/>
      <c r="G19" s="1182"/>
      <c r="H19" s="1182"/>
      <c r="I19" s="1182"/>
      <c r="J19" s="1182"/>
      <c r="K19" s="1182"/>
      <c r="L19" s="1182"/>
    </row>
    <row r="20" spans="1:13" ht="12.2" customHeight="1" x14ac:dyDescent="0.2">
      <c r="A20" s="1182"/>
      <c r="C20" s="1182"/>
      <c r="D20" s="1182"/>
      <c r="E20" s="1182"/>
      <c r="F20" s="1182"/>
      <c r="G20" s="1182"/>
      <c r="H20" s="1182"/>
      <c r="I20" s="1182"/>
      <c r="J20" s="1182" t="s">
        <v>1169</v>
      </c>
      <c r="K20" s="1160" t="s">
        <v>1169</v>
      </c>
    </row>
    <row r="21" spans="1:13" ht="12.2" customHeight="1" x14ac:dyDescent="0.2">
      <c r="A21" s="1183" t="s">
        <v>1698</v>
      </c>
    </row>
    <row r="22" spans="1:13" ht="12.2" customHeight="1" x14ac:dyDescent="0.2">
      <c r="A22" s="1184"/>
    </row>
    <row r="23" spans="1:13" ht="12.2" customHeight="1" x14ac:dyDescent="0.2">
      <c r="A23" s="1184"/>
      <c r="B23" s="1185"/>
      <c r="C23" s="1186" t="s">
        <v>1182</v>
      </c>
    </row>
    <row r="24" spans="1:13" ht="10.15" customHeight="1" x14ac:dyDescent="0.2">
      <c r="A24" s="1184"/>
      <c r="C24" s="1186" t="s">
        <v>1181</v>
      </c>
    </row>
    <row r="25" spans="1:13" ht="9" customHeight="1" x14ac:dyDescent="0.2">
      <c r="B25" s="1187" t="s">
        <v>1169</v>
      </c>
      <c r="C25" s="1188"/>
    </row>
    <row r="26" spans="1:13" s="1182" customFormat="1" ht="12.2" customHeight="1" x14ac:dyDescent="0.2">
      <c r="B26" s="1185"/>
      <c r="C26" s="1186" t="s">
        <v>1699</v>
      </c>
    </row>
    <row r="27" spans="1:13" s="1182" customFormat="1" ht="9" customHeight="1" x14ac:dyDescent="0.2">
      <c r="B27" s="1187"/>
      <c r="C27" s="1186"/>
    </row>
    <row r="28" spans="1:13" s="1182" customFormat="1" ht="12.2" customHeight="1" x14ac:dyDescent="0.2">
      <c r="A28" s="1189"/>
      <c r="B28" s="1185"/>
      <c r="C28" s="1186" t="s">
        <v>1700</v>
      </c>
    </row>
    <row r="29" spans="1:13" s="1182" customFormat="1" ht="9" customHeight="1" x14ac:dyDescent="0.2">
      <c r="A29" s="1189"/>
      <c r="B29" s="1187"/>
      <c r="C29" s="1186"/>
    </row>
    <row r="30" spans="1:13" s="1182" customFormat="1" ht="12.2" customHeight="1" x14ac:dyDescent="0.2">
      <c r="B30" s="1185"/>
      <c r="C30" s="1186" t="s">
        <v>1562</v>
      </c>
      <c r="D30" s="1180"/>
      <c r="E30" s="1180"/>
    </row>
    <row r="31" spans="1:13" s="1182" customFormat="1" ht="9" customHeight="1" x14ac:dyDescent="0.2">
      <c r="B31" s="1187"/>
      <c r="C31" s="1186"/>
      <c r="D31" s="1180"/>
      <c r="E31" s="1180"/>
    </row>
    <row r="32" spans="1:13" s="1182" customFormat="1" ht="12.2" customHeight="1" x14ac:dyDescent="0.2">
      <c r="B32" s="1185"/>
      <c r="C32" s="1186" t="s">
        <v>1563</v>
      </c>
      <c r="D32" s="1180"/>
      <c r="E32" s="1180"/>
    </row>
    <row r="33" spans="1:8" s="1182" customFormat="1" ht="10.9" customHeight="1" x14ac:dyDescent="0.2">
      <c r="B33" s="1187"/>
      <c r="C33" s="1190" t="s">
        <v>1701</v>
      </c>
      <c r="D33" s="1180"/>
      <c r="E33" s="1180"/>
    </row>
    <row r="34" spans="1:8" ht="9" customHeight="1" x14ac:dyDescent="0.2">
      <c r="B34" s="1187"/>
      <c r="C34" s="1190"/>
    </row>
    <row r="35" spans="1:8" s="1182" customFormat="1" ht="13.5" customHeight="1" x14ac:dyDescent="0.2">
      <c r="B35" s="1185"/>
      <c r="C35" s="1186" t="s">
        <v>1564</v>
      </c>
    </row>
    <row r="36" spans="1:8" s="1182" customFormat="1" ht="10.9" customHeight="1" x14ac:dyDescent="0.2">
      <c r="B36" s="1187"/>
      <c r="C36" s="1190" t="s">
        <v>1565</v>
      </c>
    </row>
    <row r="37" spans="1:8" ht="9" customHeight="1" x14ac:dyDescent="0.2">
      <c r="B37" s="1187"/>
      <c r="C37" s="1190"/>
    </row>
    <row r="38" spans="1:8" s="1182" customFormat="1" ht="12.2" customHeight="1" x14ac:dyDescent="0.2">
      <c r="B38" s="1185"/>
      <c r="C38" s="1186" t="s">
        <v>1566</v>
      </c>
    </row>
    <row r="39" spans="1:8" ht="9" customHeight="1" x14ac:dyDescent="0.2">
      <c r="B39" s="1187"/>
      <c r="C39" s="1190"/>
    </row>
    <row r="40" spans="1:8" s="1182" customFormat="1" ht="13.5" customHeight="1" x14ac:dyDescent="0.2">
      <c r="B40" s="1185"/>
      <c r="C40" s="1186" t="s">
        <v>1567</v>
      </c>
    </row>
    <row r="41" spans="1:8" ht="9" customHeight="1" x14ac:dyDescent="0.2">
      <c r="A41" s="1191"/>
      <c r="B41" s="1187"/>
      <c r="C41" s="1190"/>
    </row>
    <row r="42" spans="1:8" s="1182" customFormat="1" ht="13.5" customHeight="1" x14ac:dyDescent="0.2">
      <c r="B42" s="1185"/>
      <c r="C42" s="1186" t="s">
        <v>1835</v>
      </c>
      <c r="D42" s="1180"/>
      <c r="E42" s="1180"/>
      <c r="F42" s="1180"/>
      <c r="G42" s="1180"/>
      <c r="H42" s="1180"/>
    </row>
    <row r="43" spans="1:8" s="1182" customFormat="1" ht="12.95" customHeight="1" x14ac:dyDescent="0.2">
      <c r="B43" s="1187"/>
      <c r="C43" s="1177"/>
      <c r="D43" s="1180"/>
      <c r="E43" s="1180"/>
      <c r="F43" s="1180"/>
      <c r="G43" s="1180"/>
      <c r="H43" s="1180"/>
    </row>
    <row r="44" spans="1:8" s="1182" customFormat="1" ht="13.5" customHeight="1" x14ac:dyDescent="0.2">
      <c r="A44" s="1183" t="s">
        <v>1180</v>
      </c>
      <c r="B44" s="1187"/>
      <c r="D44" s="1180"/>
      <c r="E44" s="1180"/>
      <c r="F44" s="1180"/>
      <c r="G44" s="1180"/>
      <c r="H44" s="1180"/>
    </row>
    <row r="45" spans="1:8" ht="12" customHeight="1" x14ac:dyDescent="0.2">
      <c r="B45" s="1187"/>
      <c r="D45" s="1192"/>
      <c r="E45" s="1192"/>
      <c r="F45" s="1192"/>
      <c r="G45" s="1192"/>
      <c r="H45" s="1192"/>
    </row>
    <row r="46" spans="1:8" s="1182" customFormat="1" ht="12.2" customHeight="1" x14ac:dyDescent="0.2">
      <c r="B46" s="1185"/>
      <c r="C46" s="1193" t="s">
        <v>1568</v>
      </c>
      <c r="D46" s="1180"/>
      <c r="E46" s="1180"/>
      <c r="F46" s="1180"/>
      <c r="G46" s="1180"/>
      <c r="H46" s="1180"/>
    </row>
    <row r="47" spans="1:8" ht="9" customHeight="1" x14ac:dyDescent="0.2"/>
    <row r="48" spans="1:8" ht="12.2" customHeight="1" x14ac:dyDescent="0.2">
      <c r="B48" s="1917"/>
      <c r="C48" s="1194" t="s">
        <v>1569</v>
      </c>
    </row>
    <row r="49" spans="1:12" ht="9" customHeight="1" x14ac:dyDescent="0.2"/>
    <row r="50" spans="1:12" ht="6" customHeight="1" x14ac:dyDescent="0.2">
      <c r="C50" s="1194"/>
    </row>
    <row r="51" spans="1:12" ht="12.2" customHeight="1" x14ac:dyDescent="0.2">
      <c r="A51" s="1192"/>
    </row>
    <row r="52" spans="1:12" ht="12.2" customHeight="1" x14ac:dyDescent="0.2"/>
    <row r="53" spans="1:12" ht="12.2" customHeight="1" x14ac:dyDescent="0.2"/>
    <row r="54" spans="1:12" ht="12.2" customHeight="1" x14ac:dyDescent="0.2"/>
    <row r="55" spans="1:12" ht="12.2" customHeight="1" x14ac:dyDescent="0.2">
      <c r="A55" s="1195"/>
    </row>
    <row r="58" spans="1:12" ht="12.75" customHeight="1" x14ac:dyDescent="0.2"/>
    <row r="59" spans="1:12" ht="36" customHeight="1" x14ac:dyDescent="0.2">
      <c r="L59" s="1162"/>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127"/>
  <sheetViews>
    <sheetView showGridLines="0" topLeftCell="A22" zoomScale="125" zoomScaleNormal="125" workbookViewId="0">
      <selection activeCell="B11" sqref="B11"/>
    </sheetView>
  </sheetViews>
  <sheetFormatPr defaultColWidth="10.7109375" defaultRowHeight="11.25" x14ac:dyDescent="0.2"/>
  <cols>
    <col min="1" max="1" width="1.7109375" style="1199" customWidth="1"/>
    <col min="2" max="2" width="2.7109375" style="1203" customWidth="1"/>
    <col min="3" max="3" width="3.28515625" style="1213" customWidth="1"/>
    <col min="4" max="4" width="97.7109375" style="1203" customWidth="1"/>
    <col min="5" max="5" width="4.140625" style="1203" customWidth="1"/>
    <col min="6" max="16384" width="10.7109375" style="1203"/>
  </cols>
  <sheetData>
    <row r="1" spans="1:11" s="1196" customFormat="1" ht="12.75" x14ac:dyDescent="0.2">
      <c r="A1" s="2492" t="str">
        <f>'Single Audit Cover'!A7</f>
        <v>Saunemin CCSD 438</v>
      </c>
      <c r="B1" s="2488"/>
      <c r="C1" s="2488"/>
      <c r="D1" s="2488"/>
    </row>
    <row r="2" spans="1:11" s="1196" customFormat="1" ht="12.75" x14ac:dyDescent="0.2">
      <c r="A2" s="2493">
        <f>'Single Audit Cover'!E7</f>
        <v>17053438004</v>
      </c>
      <c r="B2" s="2494"/>
      <c r="C2" s="2494"/>
      <c r="D2" s="2494"/>
    </row>
    <row r="3" spans="1:11" s="1196" customFormat="1" ht="12.75" x14ac:dyDescent="0.2">
      <c r="A3" s="2492" t="s">
        <v>1513</v>
      </c>
      <c r="B3" s="2488"/>
      <c r="C3" s="2488"/>
      <c r="D3" s="2488"/>
    </row>
    <row r="4" spans="1:11" s="1196" customFormat="1" ht="4.5" customHeight="1" x14ac:dyDescent="0.2">
      <c r="A4" s="1197"/>
      <c r="B4" s="1198"/>
      <c r="C4" s="1198"/>
      <c r="D4" s="1198"/>
    </row>
    <row r="5" spans="1:11" x14ac:dyDescent="0.2">
      <c r="B5" s="1200" t="s">
        <v>1514</v>
      </c>
      <c r="C5" s="1201"/>
      <c r="D5" s="1202"/>
    </row>
    <row r="6" spans="1:11" x14ac:dyDescent="0.2">
      <c r="B6" s="1200" t="s">
        <v>1225</v>
      </c>
      <c r="C6" s="1201"/>
      <c r="D6" s="1202"/>
    </row>
    <row r="7" spans="1:11" x14ac:dyDescent="0.2">
      <c r="B7" s="1200" t="s">
        <v>1515</v>
      </c>
      <c r="C7" s="1201"/>
      <c r="D7" s="1202"/>
    </row>
    <row r="8" spans="1:11" ht="4.5" customHeight="1" x14ac:dyDescent="0.2">
      <c r="B8" s="1200"/>
      <c r="C8" s="1201"/>
      <c r="D8" s="1202"/>
    </row>
    <row r="9" spans="1:11" x14ac:dyDescent="0.2">
      <c r="B9" s="1204" t="s">
        <v>1224</v>
      </c>
      <c r="C9" s="1205"/>
      <c r="D9" s="1202"/>
    </row>
    <row r="10" spans="1:11" ht="4.5" customHeight="1" x14ac:dyDescent="0.2">
      <c r="B10" s="1204"/>
      <c r="C10" s="1205"/>
      <c r="D10" s="1202"/>
    </row>
    <row r="11" spans="1:11" x14ac:dyDescent="0.2">
      <c r="B11" s="1206"/>
      <c r="C11" s="1207">
        <v>1</v>
      </c>
      <c r="D11" s="1208" t="s">
        <v>1702</v>
      </c>
      <c r="E11" s="1209"/>
      <c r="F11" s="1209"/>
      <c r="G11" s="1209"/>
      <c r="H11" s="1209"/>
      <c r="I11" s="1209"/>
      <c r="J11" s="1209"/>
      <c r="K11" s="1209"/>
    </row>
    <row r="12" spans="1:11" ht="3" customHeight="1" x14ac:dyDescent="0.2">
      <c r="B12" s="1210"/>
      <c r="C12" s="1207"/>
      <c r="D12" s="1208"/>
      <c r="E12" s="1209"/>
      <c r="F12" s="1209"/>
      <c r="G12" s="1209"/>
      <c r="H12" s="1209"/>
      <c r="I12" s="1209"/>
      <c r="J12" s="1209"/>
      <c r="K12" s="1209"/>
    </row>
    <row r="13" spans="1:11" x14ac:dyDescent="0.2">
      <c r="B13" s="1206"/>
      <c r="C13" s="1207">
        <f>C11+1</f>
        <v>2</v>
      </c>
      <c r="D13" s="1211" t="s">
        <v>1703</v>
      </c>
      <c r="E13" s="1209"/>
      <c r="F13" s="1209"/>
      <c r="G13" s="1209"/>
      <c r="H13" s="1209"/>
      <c r="I13" s="1209"/>
      <c r="J13" s="1209"/>
      <c r="K13" s="1209"/>
    </row>
    <row r="14" spans="1:11" ht="3" customHeight="1" x14ac:dyDescent="0.2">
      <c r="B14" s="1210"/>
      <c r="C14" s="1207"/>
      <c r="D14" s="1211"/>
      <c r="E14" s="1209"/>
      <c r="F14" s="1209"/>
      <c r="G14" s="1209"/>
      <c r="H14" s="1209"/>
      <c r="I14" s="1209"/>
      <c r="J14" s="1209"/>
      <c r="K14" s="1209"/>
    </row>
    <row r="15" spans="1:11" x14ac:dyDescent="0.2">
      <c r="B15" s="1206"/>
      <c r="C15" s="1207">
        <f>C13+1</f>
        <v>3</v>
      </c>
      <c r="D15" s="1208" t="s">
        <v>1704</v>
      </c>
      <c r="E15" s="1209"/>
      <c r="F15" s="1209"/>
      <c r="G15" s="1209"/>
      <c r="H15" s="1209"/>
      <c r="I15" s="1209"/>
      <c r="J15" s="1209"/>
      <c r="K15" s="1209"/>
    </row>
    <row r="16" spans="1:11" ht="10.5" customHeight="1" x14ac:dyDescent="0.2">
      <c r="B16" s="1212"/>
      <c r="D16" s="1211" t="s">
        <v>1223</v>
      </c>
      <c r="E16" s="1209"/>
      <c r="F16" s="1209"/>
      <c r="G16" s="1209"/>
      <c r="H16" s="1209"/>
      <c r="I16" s="1209"/>
      <c r="J16" s="1209"/>
      <c r="K16" s="1209"/>
    </row>
    <row r="17" spans="1:11" ht="3" customHeight="1" x14ac:dyDescent="0.2">
      <c r="B17" s="1212"/>
      <c r="D17" s="1211"/>
      <c r="E17" s="1209"/>
      <c r="F17" s="1209"/>
      <c r="G17" s="1209"/>
      <c r="H17" s="1209"/>
      <c r="I17" s="1209"/>
      <c r="J17" s="1209"/>
      <c r="K17" s="1209"/>
    </row>
    <row r="18" spans="1:11" x14ac:dyDescent="0.2">
      <c r="B18" s="1206"/>
      <c r="C18" s="1207">
        <f>C15+1</f>
        <v>4</v>
      </c>
      <c r="D18" s="1214" t="s">
        <v>1705</v>
      </c>
      <c r="E18" s="1209"/>
      <c r="F18" s="1209"/>
      <c r="G18" s="1209"/>
      <c r="H18" s="1209"/>
      <c r="I18" s="1209"/>
      <c r="J18" s="1209"/>
      <c r="K18" s="1209"/>
    </row>
    <row r="19" spans="1:11" ht="9.75" customHeight="1" x14ac:dyDescent="0.2">
      <c r="A19" s="1203"/>
      <c r="B19" s="1212"/>
      <c r="D19" s="1211" t="s">
        <v>1222</v>
      </c>
      <c r="E19" s="1209"/>
      <c r="F19" s="1209"/>
      <c r="G19" s="1209"/>
      <c r="H19" s="1209"/>
      <c r="I19" s="1209"/>
      <c r="J19" s="1209"/>
      <c r="K19" s="1209"/>
    </row>
    <row r="20" spans="1:11" ht="3" customHeight="1" x14ac:dyDescent="0.2">
      <c r="A20" s="1203"/>
      <c r="B20" s="1212"/>
      <c r="D20" s="1211"/>
      <c r="E20" s="1209"/>
      <c r="F20" s="1209"/>
      <c r="G20" s="1209"/>
      <c r="H20" s="1209"/>
      <c r="I20" s="1209"/>
      <c r="J20" s="1209"/>
      <c r="K20" s="1209"/>
    </row>
    <row r="21" spans="1:11" x14ac:dyDescent="0.2">
      <c r="A21" s="1203"/>
      <c r="B21" s="1206"/>
      <c r="C21" s="1207">
        <f>C18+1</f>
        <v>5</v>
      </c>
      <c r="D21" s="1211" t="s">
        <v>1221</v>
      </c>
      <c r="E21" s="1209"/>
      <c r="F21" s="1209"/>
      <c r="G21" s="1209"/>
      <c r="H21" s="1209"/>
      <c r="I21" s="1209"/>
      <c r="J21" s="1209"/>
      <c r="K21" s="1209"/>
    </row>
    <row r="22" spans="1:11" ht="10.5" customHeight="1" x14ac:dyDescent="0.2">
      <c r="A22" s="1203"/>
      <c r="B22" s="1212"/>
      <c r="D22" s="1211" t="s">
        <v>1220</v>
      </c>
      <c r="E22" s="1209"/>
      <c r="F22" s="1209"/>
      <c r="G22" s="1209"/>
      <c r="H22" s="1209"/>
      <c r="I22" s="1209"/>
      <c r="J22" s="1209"/>
      <c r="K22" s="1209"/>
    </row>
    <row r="23" spans="1:11" ht="3" customHeight="1" x14ac:dyDescent="0.2">
      <c r="A23" s="1203"/>
      <c r="B23" s="1212"/>
      <c r="D23" s="1211"/>
      <c r="E23" s="1209"/>
      <c r="F23" s="1209"/>
      <c r="G23" s="1209"/>
      <c r="H23" s="1209"/>
      <c r="I23" s="1209"/>
      <c r="J23" s="1209"/>
      <c r="K23" s="1209"/>
    </row>
    <row r="24" spans="1:11" x14ac:dyDescent="0.2">
      <c r="A24" s="1203"/>
      <c r="B24" s="1206"/>
      <c r="C24" s="1207">
        <f>C21+1</f>
        <v>6</v>
      </c>
      <c r="D24" s="1215" t="s">
        <v>1726</v>
      </c>
      <c r="E24" s="1209"/>
      <c r="F24" s="1209"/>
      <c r="G24" s="1209"/>
      <c r="H24" s="1209"/>
      <c r="I24" s="1209"/>
      <c r="J24" s="1209"/>
      <c r="K24" s="1209"/>
    </row>
    <row r="25" spans="1:11" x14ac:dyDescent="0.2">
      <c r="A25" s="1203"/>
      <c r="B25" s="1212"/>
      <c r="D25" s="1211" t="s">
        <v>1706</v>
      </c>
      <c r="E25" s="1209"/>
      <c r="F25" s="1209"/>
      <c r="G25" s="1209"/>
      <c r="H25" s="1209"/>
      <c r="I25" s="1209"/>
      <c r="J25" s="1209"/>
      <c r="K25" s="1209"/>
    </row>
    <row r="26" spans="1:11" x14ac:dyDescent="0.2">
      <c r="A26" s="1203"/>
      <c r="B26" s="1212"/>
      <c r="D26" s="1216" t="s">
        <v>1707</v>
      </c>
      <c r="E26" s="1209"/>
      <c r="F26" s="1209"/>
      <c r="G26" s="1209"/>
      <c r="H26" s="1209"/>
      <c r="I26" s="1209"/>
      <c r="J26" s="1209"/>
      <c r="K26" s="1209"/>
    </row>
    <row r="27" spans="1:11" ht="3" customHeight="1" x14ac:dyDescent="0.2">
      <c r="A27" s="1203"/>
      <c r="B27" s="1212"/>
      <c r="D27" s="1216"/>
      <c r="E27" s="1209"/>
      <c r="F27" s="1209"/>
      <c r="G27" s="1209"/>
      <c r="H27" s="1209"/>
      <c r="I27" s="1209"/>
      <c r="J27" s="1209"/>
      <c r="K27" s="1209"/>
    </row>
    <row r="28" spans="1:11" x14ac:dyDescent="0.2">
      <c r="A28" s="1203"/>
      <c r="B28" s="1206"/>
      <c r="C28" s="1213">
        <f>C24+1</f>
        <v>7</v>
      </c>
      <c r="D28" s="1216" t="s">
        <v>1570</v>
      </c>
      <c r="E28" s="1209"/>
      <c r="F28" s="1209"/>
      <c r="G28" s="1209"/>
      <c r="H28" s="1209"/>
      <c r="I28" s="1209"/>
      <c r="J28" s="1209"/>
      <c r="K28" s="1209"/>
    </row>
    <row r="29" spans="1:11" ht="10.5" customHeight="1" x14ac:dyDescent="0.2">
      <c r="A29" s="1203"/>
      <c r="D29" s="1217" t="s">
        <v>1571</v>
      </c>
    </row>
    <row r="30" spans="1:11" ht="6" customHeight="1" x14ac:dyDescent="0.2">
      <c r="A30" s="1203"/>
      <c r="D30" s="1202"/>
    </row>
    <row r="31" spans="1:11" x14ac:dyDescent="0.2">
      <c r="A31" s="1203"/>
      <c r="B31" s="1204" t="s">
        <v>1219</v>
      </c>
      <c r="C31" s="1205"/>
      <c r="D31" s="1202"/>
    </row>
    <row r="32" spans="1:11" ht="4.5" customHeight="1" x14ac:dyDescent="0.2">
      <c r="A32" s="1203"/>
      <c r="B32" s="1204"/>
      <c r="C32" s="1205"/>
      <c r="D32" s="1202"/>
    </row>
    <row r="33" spans="1:5" x14ac:dyDescent="0.2">
      <c r="A33" s="1203"/>
      <c r="B33" s="1206"/>
      <c r="C33" s="1207">
        <v>8</v>
      </c>
      <c r="D33" s="1218" t="s">
        <v>1218</v>
      </c>
    </row>
    <row r="34" spans="1:5" ht="10.5" customHeight="1" x14ac:dyDescent="0.2">
      <c r="A34" s="1203"/>
      <c r="B34" s="1219"/>
      <c r="C34" s="1207"/>
      <c r="D34" s="1218" t="s">
        <v>1572</v>
      </c>
    </row>
    <row r="35" spans="1:5" ht="3" customHeight="1" x14ac:dyDescent="0.2">
      <c r="A35" s="1203"/>
      <c r="B35" s="1212"/>
      <c r="D35" s="1202"/>
    </row>
    <row r="36" spans="1:5" x14ac:dyDescent="0.2">
      <c r="A36" s="1203"/>
      <c r="B36" s="1206"/>
      <c r="C36" s="1207">
        <f>C33+1</f>
        <v>9</v>
      </c>
      <c r="D36" s="1218" t="s">
        <v>1217</v>
      </c>
    </row>
    <row r="37" spans="1:5" ht="10.5" customHeight="1" x14ac:dyDescent="0.2">
      <c r="A37" s="1203"/>
      <c r="B37" s="1212"/>
      <c r="D37" s="1218" t="s">
        <v>1572</v>
      </c>
    </row>
    <row r="38" spans="1:5" ht="3" customHeight="1" x14ac:dyDescent="0.2">
      <c r="A38" s="1203"/>
      <c r="B38" s="1220"/>
      <c r="C38" s="1221"/>
      <c r="D38" s="1202"/>
    </row>
    <row r="39" spans="1:5" x14ac:dyDescent="0.2">
      <c r="A39" s="1203"/>
      <c r="B39" s="1222"/>
      <c r="C39" s="1213">
        <f>C36+1</f>
        <v>10</v>
      </c>
      <c r="D39" s="1202" t="s">
        <v>1216</v>
      </c>
    </row>
    <row r="40" spans="1:5" ht="10.5" customHeight="1" x14ac:dyDescent="0.2">
      <c r="A40" s="1203"/>
      <c r="B40" s="1223"/>
      <c r="C40" s="1221"/>
      <c r="D40" s="1202" t="s">
        <v>1573</v>
      </c>
    </row>
    <row r="41" spans="1:5" ht="3" customHeight="1" x14ac:dyDescent="0.2">
      <c r="A41" s="1203"/>
      <c r="B41" s="1220"/>
      <c r="C41" s="1221"/>
      <c r="D41" s="1202"/>
    </row>
    <row r="42" spans="1:5" ht="10.5" customHeight="1" x14ac:dyDescent="0.2">
      <c r="A42" s="1203"/>
      <c r="B42" s="1222"/>
      <c r="C42" s="1213">
        <v>11</v>
      </c>
      <c r="D42" s="1224" t="s">
        <v>1574</v>
      </c>
      <c r="E42" s="312"/>
    </row>
    <row r="43" spans="1:5" ht="3" customHeight="1" x14ac:dyDescent="0.2">
      <c r="A43" s="1203"/>
      <c r="B43" s="1220"/>
      <c r="C43" s="1221"/>
      <c r="D43" s="1202"/>
    </row>
    <row r="44" spans="1:5" x14ac:dyDescent="0.2">
      <c r="A44" s="1203"/>
      <c r="B44" s="1206"/>
      <c r="C44" s="1207">
        <f>C42+1</f>
        <v>12</v>
      </c>
      <c r="D44" s="1218" t="s">
        <v>1215</v>
      </c>
    </row>
    <row r="45" spans="1:5" ht="10.5" customHeight="1" x14ac:dyDescent="0.2">
      <c r="A45" s="1203"/>
      <c r="B45" s="1219"/>
      <c r="C45" s="1207"/>
      <c r="D45" s="1218" t="s">
        <v>1214</v>
      </c>
    </row>
    <row r="46" spans="1:5" ht="10.5" customHeight="1" x14ac:dyDescent="0.2">
      <c r="A46" s="1203"/>
      <c r="B46" s="1220"/>
      <c r="C46" s="1221"/>
      <c r="D46" s="1218" t="s">
        <v>1213</v>
      </c>
    </row>
    <row r="47" spans="1:5" ht="3" customHeight="1" x14ac:dyDescent="0.2">
      <c r="A47" s="1203"/>
      <c r="B47" s="1220"/>
      <c r="C47" s="1221"/>
      <c r="D47" s="1218"/>
    </row>
    <row r="48" spans="1:5" x14ac:dyDescent="0.2">
      <c r="A48" s="1203"/>
      <c r="B48" s="1206"/>
      <c r="C48" s="1207">
        <f>C44+1</f>
        <v>13</v>
      </c>
      <c r="D48" s="1218" t="s">
        <v>1575</v>
      </c>
    </row>
    <row r="49" spans="1:4" ht="3" customHeight="1" x14ac:dyDescent="0.2">
      <c r="A49" s="1203"/>
      <c r="B49" s="1210"/>
      <c r="C49" s="1207"/>
      <c r="D49" s="1218"/>
    </row>
    <row r="50" spans="1:4" x14ac:dyDescent="0.2">
      <c r="A50" s="1203"/>
      <c r="B50" s="1206"/>
      <c r="C50" s="1207">
        <f>C48+1</f>
        <v>14</v>
      </c>
      <c r="D50" s="1218" t="s">
        <v>1212</v>
      </c>
    </row>
    <row r="51" spans="1:4" ht="3" customHeight="1" x14ac:dyDescent="0.2">
      <c r="A51" s="1203"/>
      <c r="B51" s="1210"/>
      <c r="C51" s="1207"/>
      <c r="D51" s="1218"/>
    </row>
    <row r="52" spans="1:4" x14ac:dyDescent="0.2">
      <c r="A52" s="1203"/>
      <c r="B52" s="1206"/>
      <c r="C52" s="1207">
        <f>C50+1</f>
        <v>15</v>
      </c>
      <c r="D52" s="1218" t="s">
        <v>1211</v>
      </c>
    </row>
    <row r="53" spans="1:4" ht="3" customHeight="1" x14ac:dyDescent="0.2">
      <c r="A53" s="1203"/>
      <c r="B53" s="1210"/>
      <c r="C53" s="1207"/>
      <c r="D53" s="1218"/>
    </row>
    <row r="54" spans="1:4" x14ac:dyDescent="0.2">
      <c r="A54" s="1203"/>
      <c r="B54" s="1206"/>
      <c r="C54" s="1207">
        <f>C52+1</f>
        <v>16</v>
      </c>
      <c r="D54" s="1218" t="s">
        <v>1210</v>
      </c>
    </row>
    <row r="55" spans="1:4" ht="3" customHeight="1" x14ac:dyDescent="0.2">
      <c r="A55" s="1203"/>
      <c r="B55" s="1210"/>
      <c r="C55" s="1207"/>
      <c r="D55" s="1218"/>
    </row>
    <row r="56" spans="1:4" x14ac:dyDescent="0.2">
      <c r="A56" s="1203"/>
      <c r="B56" s="1206"/>
      <c r="C56" s="1207">
        <f>C54+1</f>
        <v>17</v>
      </c>
      <c r="D56" s="1202" t="s">
        <v>1708</v>
      </c>
    </row>
    <row r="57" spans="1:4" ht="10.5" customHeight="1" x14ac:dyDescent="0.2">
      <c r="A57" s="1203"/>
      <c r="D57" s="1218" t="s">
        <v>1709</v>
      </c>
    </row>
    <row r="58" spans="1:4" x14ac:dyDescent="0.2">
      <c r="A58" s="1203"/>
      <c r="C58" s="1225"/>
      <c r="D58" s="1218" t="s">
        <v>1710</v>
      </c>
    </row>
    <row r="59" spans="1:4" ht="10.5" customHeight="1" x14ac:dyDescent="0.2">
      <c r="A59" s="1203"/>
      <c r="D59" s="1202" t="s">
        <v>1209</v>
      </c>
    </row>
    <row r="60" spans="1:4" ht="10.5" customHeight="1" x14ac:dyDescent="0.2">
      <c r="A60" s="1203"/>
      <c r="D60" s="1226" t="s">
        <v>1599</v>
      </c>
    </row>
    <row r="61" spans="1:4" ht="10.5" customHeight="1" x14ac:dyDescent="0.2">
      <c r="A61" s="1203"/>
      <c r="C61" s="1225"/>
      <c r="D61" s="1218" t="s">
        <v>1711</v>
      </c>
    </row>
    <row r="62" spans="1:4" ht="10.5" customHeight="1" x14ac:dyDescent="0.2">
      <c r="A62" s="1203"/>
      <c r="D62" s="1227" t="s">
        <v>1208</v>
      </c>
    </row>
    <row r="63" spans="1:4" ht="10.5" customHeight="1" x14ac:dyDescent="0.2">
      <c r="A63" s="1203"/>
      <c r="D63" s="1202" t="s">
        <v>1576</v>
      </c>
    </row>
    <row r="64" spans="1:4" ht="10.5" customHeight="1" x14ac:dyDescent="0.2">
      <c r="A64" s="1203"/>
      <c r="D64" s="1226" t="s">
        <v>1598</v>
      </c>
    </row>
    <row r="65" spans="1:4" x14ac:dyDescent="0.2">
      <c r="A65" s="1203"/>
      <c r="C65" s="1225"/>
      <c r="D65" s="1218" t="s">
        <v>1712</v>
      </c>
    </row>
    <row r="66" spans="1:4" ht="10.5" customHeight="1" x14ac:dyDescent="0.2">
      <c r="A66" s="1203"/>
      <c r="D66" s="1228" t="s">
        <v>1207</v>
      </c>
    </row>
    <row r="67" spans="1:4" ht="10.5" customHeight="1" x14ac:dyDescent="0.2">
      <c r="A67" s="1203"/>
      <c r="D67" s="1202" t="s">
        <v>1577</v>
      </c>
    </row>
    <row r="68" spans="1:4" ht="10.5" customHeight="1" x14ac:dyDescent="0.2">
      <c r="A68" s="1203"/>
      <c r="D68" s="1226" t="s">
        <v>1598</v>
      </c>
    </row>
    <row r="69" spans="1:4" ht="10.5" customHeight="1" x14ac:dyDescent="0.2">
      <c r="A69" s="1203"/>
      <c r="C69" s="1225"/>
      <c r="D69" s="1218" t="s">
        <v>1713</v>
      </c>
    </row>
    <row r="70" spans="1:4" x14ac:dyDescent="0.2">
      <c r="A70" s="1203"/>
      <c r="D70" s="1227" t="s">
        <v>1206</v>
      </c>
    </row>
    <row r="71" spans="1:4" ht="3" customHeight="1" x14ac:dyDescent="0.2">
      <c r="A71" s="1203"/>
      <c r="D71" s="1202"/>
    </row>
    <row r="72" spans="1:4" x14ac:dyDescent="0.2">
      <c r="A72" s="1203"/>
      <c r="B72" s="1206"/>
      <c r="C72" s="1207">
        <f>C56+1</f>
        <v>18</v>
      </c>
      <c r="D72" s="1228" t="s">
        <v>1714</v>
      </c>
    </row>
    <row r="73" spans="1:4" ht="3" customHeight="1" x14ac:dyDescent="0.2">
      <c r="A73" s="1203"/>
      <c r="B73" s="1210"/>
      <c r="C73" s="1207"/>
      <c r="D73" s="1228"/>
    </row>
    <row r="74" spans="1:4" x14ac:dyDescent="0.2">
      <c r="A74" s="1203"/>
      <c r="B74" s="1206"/>
      <c r="C74" s="1207">
        <f>C72+1</f>
        <v>19</v>
      </c>
      <c r="D74" s="1218" t="s">
        <v>1205</v>
      </c>
    </row>
    <row r="75" spans="1:4" ht="3" customHeight="1" x14ac:dyDescent="0.2">
      <c r="A75" s="1203"/>
      <c r="B75" s="1210"/>
      <c r="C75" s="1207"/>
      <c r="D75" s="1218"/>
    </row>
    <row r="76" spans="1:4" x14ac:dyDescent="0.2">
      <c r="A76" s="1203"/>
      <c r="B76" s="1206"/>
      <c r="C76" s="1207">
        <f>C74+1</f>
        <v>20</v>
      </c>
      <c r="D76" s="1229" t="s">
        <v>1715</v>
      </c>
    </row>
    <row r="77" spans="1:4" ht="3" customHeight="1" x14ac:dyDescent="0.2">
      <c r="A77" s="1203"/>
      <c r="B77" s="1210"/>
      <c r="C77" s="1207"/>
      <c r="D77" s="1229"/>
    </row>
    <row r="78" spans="1:4" x14ac:dyDescent="0.2">
      <c r="A78" s="1203"/>
      <c r="B78" s="1206"/>
      <c r="C78" s="1207">
        <f>C76+1</f>
        <v>21</v>
      </c>
      <c r="D78" s="1202" t="s">
        <v>1716</v>
      </c>
    </row>
    <row r="79" spans="1:4" ht="3" customHeight="1" x14ac:dyDescent="0.2">
      <c r="A79" s="1203"/>
      <c r="B79" s="1210"/>
      <c r="C79" s="1207"/>
      <c r="D79" s="1202"/>
    </row>
    <row r="80" spans="1:4" x14ac:dyDescent="0.2">
      <c r="A80" s="1203"/>
      <c r="B80" s="1206"/>
      <c r="C80" s="1207">
        <f>C78+1</f>
        <v>22</v>
      </c>
      <c r="D80" s="1230" t="s">
        <v>1717</v>
      </c>
    </row>
    <row r="81" spans="1:4" ht="3" customHeight="1" x14ac:dyDescent="0.2">
      <c r="A81" s="1203"/>
      <c r="B81" s="1210"/>
      <c r="C81" s="1207"/>
      <c r="D81" s="1230"/>
    </row>
    <row r="82" spans="1:4" x14ac:dyDescent="0.2">
      <c r="A82" s="1203"/>
      <c r="B82" s="1206"/>
      <c r="C82" s="1207">
        <f>C80+1</f>
        <v>23</v>
      </c>
      <c r="D82" s="1229" t="s">
        <v>1718</v>
      </c>
    </row>
    <row r="83" spans="1:4" ht="10.5" customHeight="1" x14ac:dyDescent="0.2">
      <c r="A83" s="1203"/>
      <c r="B83" s="1212"/>
      <c r="D83" s="1218" t="s">
        <v>1204</v>
      </c>
    </row>
    <row r="84" spans="1:4" ht="3" customHeight="1" x14ac:dyDescent="0.2">
      <c r="A84" s="1203"/>
      <c r="B84" s="1212"/>
      <c r="D84" s="1218"/>
    </row>
    <row r="85" spans="1:4" x14ac:dyDescent="0.2">
      <c r="A85" s="1203"/>
      <c r="B85" s="1206"/>
      <c r="C85" s="1207">
        <f>C82+1</f>
        <v>24</v>
      </c>
      <c r="D85" s="1218" t="s">
        <v>1203</v>
      </c>
    </row>
    <row r="86" spans="1:4" ht="3" customHeight="1" x14ac:dyDescent="0.2">
      <c r="A86" s="1203"/>
      <c r="B86" s="1210"/>
      <c r="C86" s="1207"/>
      <c r="D86" s="1218"/>
    </row>
    <row r="87" spans="1:4" x14ac:dyDescent="0.2">
      <c r="A87" s="1203"/>
      <c r="B87" s="1206"/>
      <c r="C87" s="1207">
        <f>C85+1</f>
        <v>25</v>
      </c>
      <c r="D87" s="1218" t="s">
        <v>1202</v>
      </c>
    </row>
    <row r="88" spans="1:4" ht="3" customHeight="1" x14ac:dyDescent="0.2">
      <c r="A88" s="1203"/>
      <c r="B88" s="1210"/>
      <c r="C88" s="1207"/>
      <c r="D88" s="1218"/>
    </row>
    <row r="89" spans="1:4" x14ac:dyDescent="0.2">
      <c r="A89" s="1203"/>
      <c r="B89" s="1206"/>
      <c r="C89" s="1207">
        <f>C87+1</f>
        <v>26</v>
      </c>
      <c r="D89" s="1218" t="s">
        <v>1201</v>
      </c>
    </row>
    <row r="90" spans="1:4" ht="3" customHeight="1" x14ac:dyDescent="0.2">
      <c r="A90" s="1203"/>
      <c r="B90" s="1210"/>
      <c r="C90" s="1207"/>
      <c r="D90" s="1218"/>
    </row>
    <row r="91" spans="1:4" x14ac:dyDescent="0.2">
      <c r="A91" s="1203"/>
      <c r="B91" s="1206"/>
      <c r="C91" s="1207">
        <f>C89+1</f>
        <v>27</v>
      </c>
      <c r="D91" s="1218" t="s">
        <v>1719</v>
      </c>
    </row>
    <row r="92" spans="1:4" x14ac:dyDescent="0.2">
      <c r="A92" s="1203"/>
      <c r="B92" s="1231"/>
      <c r="C92" s="1225"/>
      <c r="D92" s="1218" t="s">
        <v>1200</v>
      </c>
    </row>
    <row r="93" spans="1:4" ht="4.5" customHeight="1" x14ac:dyDescent="0.2">
      <c r="A93" s="1203"/>
      <c r="D93" s="1202"/>
    </row>
    <row r="94" spans="1:4" x14ac:dyDescent="0.2">
      <c r="A94" s="1203"/>
      <c r="B94" s="1204" t="s">
        <v>1578</v>
      </c>
      <c r="C94" s="1205"/>
      <c r="D94" s="1202"/>
    </row>
    <row r="95" spans="1:4" ht="4.5" customHeight="1" x14ac:dyDescent="0.2">
      <c r="A95" s="1203"/>
      <c r="B95" s="1204"/>
      <c r="C95" s="1205"/>
      <c r="D95" s="1202"/>
    </row>
    <row r="96" spans="1:4" x14ac:dyDescent="0.2">
      <c r="A96" s="1203"/>
      <c r="B96" s="1206"/>
      <c r="C96" s="1207">
        <f>C91+1</f>
        <v>28</v>
      </c>
      <c r="D96" s="1218" t="s">
        <v>1720</v>
      </c>
    </row>
    <row r="97" spans="1:4" ht="3" customHeight="1" x14ac:dyDescent="0.2">
      <c r="A97" s="1203"/>
      <c r="B97" s="1210"/>
      <c r="C97" s="1207"/>
      <c r="D97" s="1218"/>
    </row>
    <row r="98" spans="1:4" x14ac:dyDescent="0.2">
      <c r="A98" s="1203"/>
      <c r="B98" s="1206"/>
      <c r="C98" s="1207">
        <f>C96+1</f>
        <v>29</v>
      </c>
      <c r="D98" s="1232" t="s">
        <v>1721</v>
      </c>
    </row>
    <row r="99" spans="1:4" ht="3" customHeight="1" x14ac:dyDescent="0.2">
      <c r="A99" s="1203"/>
      <c r="B99" s="1210"/>
      <c r="C99" s="1207"/>
      <c r="D99" s="1232"/>
    </row>
    <row r="100" spans="1:4" x14ac:dyDescent="0.2">
      <c r="A100" s="1203"/>
      <c r="B100" s="1206"/>
      <c r="C100" s="1207">
        <f>C98+1</f>
        <v>30</v>
      </c>
      <c r="D100" s="1218" t="s">
        <v>1722</v>
      </c>
    </row>
    <row r="101" spans="1:4" ht="3" customHeight="1" x14ac:dyDescent="0.2">
      <c r="A101" s="1203"/>
      <c r="B101" s="1210"/>
      <c r="C101" s="1207"/>
      <c r="D101" s="1233"/>
    </row>
    <row r="102" spans="1:4" x14ac:dyDescent="0.2">
      <c r="A102" s="1203"/>
      <c r="B102" s="1206"/>
      <c r="C102" s="1207">
        <f>C100+1</f>
        <v>31</v>
      </c>
      <c r="D102" s="1218" t="s">
        <v>1579</v>
      </c>
    </row>
    <row r="103" spans="1:4" ht="4.5" customHeight="1" x14ac:dyDescent="0.2">
      <c r="A103" s="1203"/>
      <c r="B103" s="312"/>
      <c r="C103" s="1207"/>
      <c r="D103" s="1218"/>
    </row>
    <row r="104" spans="1:4" ht="14.1" customHeight="1" x14ac:dyDescent="0.2">
      <c r="A104" s="1203"/>
      <c r="B104" s="1234" t="s">
        <v>1199</v>
      </c>
    </row>
    <row r="105" spans="1:4" ht="4.5" customHeight="1" x14ac:dyDescent="0.2">
      <c r="A105" s="1203"/>
      <c r="B105" s="1234"/>
    </row>
    <row r="106" spans="1:4" x14ac:dyDescent="0.2">
      <c r="A106" s="1203"/>
      <c r="B106" s="1206"/>
      <c r="C106" s="1207">
        <f>C102+1</f>
        <v>32</v>
      </c>
      <c r="D106" s="1202" t="s">
        <v>1580</v>
      </c>
    </row>
    <row r="107" spans="1:4" ht="3" customHeight="1" x14ac:dyDescent="0.2">
      <c r="A107" s="1203"/>
      <c r="B107" s="1210"/>
      <c r="C107" s="1207"/>
      <c r="D107" s="1202"/>
    </row>
    <row r="108" spans="1:4" x14ac:dyDescent="0.2">
      <c r="A108" s="1203"/>
      <c r="B108" s="1206"/>
      <c r="C108" s="1207">
        <v>33</v>
      </c>
      <c r="D108" s="1202" t="s">
        <v>1723</v>
      </c>
    </row>
    <row r="109" spans="1:4" ht="3" customHeight="1" x14ac:dyDescent="0.2">
      <c r="A109" s="1203"/>
      <c r="B109" s="1210"/>
      <c r="C109" s="1207"/>
      <c r="D109" s="1202"/>
    </row>
    <row r="110" spans="1:4" x14ac:dyDescent="0.2">
      <c r="A110" s="1203"/>
      <c r="B110" s="1206"/>
      <c r="C110" s="1207">
        <f>C108+1</f>
        <v>34</v>
      </c>
      <c r="D110" s="1202" t="s">
        <v>1198</v>
      </c>
    </row>
    <row r="111" spans="1:4" ht="3" customHeight="1" x14ac:dyDescent="0.2">
      <c r="A111" s="1203"/>
      <c r="B111" s="1210"/>
      <c r="C111" s="1207"/>
      <c r="D111" s="1202"/>
    </row>
    <row r="112" spans="1:4" x14ac:dyDescent="0.2">
      <c r="A112" s="1203"/>
      <c r="B112" s="1206"/>
      <c r="C112" s="1207">
        <f>C110+1</f>
        <v>35</v>
      </c>
      <c r="D112" s="1202" t="s">
        <v>1197</v>
      </c>
    </row>
    <row r="113" spans="1:4" ht="11.25" customHeight="1" x14ac:dyDescent="0.2">
      <c r="A113" s="1203"/>
      <c r="B113" s="1235"/>
      <c r="C113" s="1207"/>
      <c r="D113" s="1236" t="s">
        <v>1196</v>
      </c>
    </row>
    <row r="114" spans="1:4" ht="3" customHeight="1" x14ac:dyDescent="0.2">
      <c r="A114" s="1203"/>
      <c r="B114" s="1237"/>
      <c r="C114" s="1207"/>
      <c r="D114" s="1236"/>
    </row>
    <row r="115" spans="1:4" x14ac:dyDescent="0.2">
      <c r="A115" s="1203"/>
      <c r="B115" s="1206"/>
      <c r="C115" s="1207">
        <f>C112+1</f>
        <v>36</v>
      </c>
      <c r="D115" s="1218" t="s">
        <v>1195</v>
      </c>
    </row>
    <row r="116" spans="1:4" ht="3" customHeight="1" x14ac:dyDescent="0.2">
      <c r="A116" s="1203"/>
      <c r="B116" s="1210"/>
      <c r="C116" s="1207"/>
      <c r="D116" s="1218"/>
    </row>
    <row r="117" spans="1:4" x14ac:dyDescent="0.2">
      <c r="A117" s="1203"/>
      <c r="B117" s="1206"/>
      <c r="C117" s="1207">
        <f>C115+1</f>
        <v>37</v>
      </c>
      <c r="D117" s="1218" t="s">
        <v>1724</v>
      </c>
    </row>
    <row r="118" spans="1:4" ht="3" customHeight="1" x14ac:dyDescent="0.2">
      <c r="A118" s="1203"/>
      <c r="B118" s="1210"/>
      <c r="C118" s="1207"/>
      <c r="D118" s="1218"/>
    </row>
    <row r="119" spans="1:4" x14ac:dyDescent="0.2">
      <c r="A119" s="1203"/>
      <c r="B119" s="1206"/>
      <c r="C119" s="1207">
        <f>C117+1</f>
        <v>38</v>
      </c>
      <c r="D119" s="1218" t="s">
        <v>1725</v>
      </c>
    </row>
    <row r="120" spans="1:4" ht="10.5" customHeight="1" x14ac:dyDescent="0.2">
      <c r="A120" s="1203"/>
      <c r="B120" s="1231"/>
      <c r="C120" s="1207"/>
      <c r="D120" s="1218" t="s">
        <v>1194</v>
      </c>
    </row>
    <row r="121" spans="1:4" ht="10.5" customHeight="1" x14ac:dyDescent="0.2">
      <c r="A121" s="1203"/>
      <c r="B121" s="1231"/>
      <c r="C121" s="1207"/>
      <c r="D121" s="1218" t="s">
        <v>1193</v>
      </c>
    </row>
    <row r="122" spans="1:4" ht="3" customHeight="1" x14ac:dyDescent="0.2">
      <c r="A122" s="1203"/>
      <c r="B122" s="1231"/>
      <c r="C122" s="1207"/>
      <c r="D122" s="1218"/>
    </row>
    <row r="123" spans="1:4" x14ac:dyDescent="0.2">
      <c r="A123" s="1203"/>
      <c r="B123" s="1206"/>
      <c r="C123" s="1207">
        <f>C119+1</f>
        <v>39</v>
      </c>
      <c r="D123" s="1228" t="s">
        <v>1836</v>
      </c>
    </row>
    <row r="124" spans="1:4" x14ac:dyDescent="0.2">
      <c r="A124" s="1203"/>
      <c r="B124" s="312"/>
      <c r="C124" s="1207"/>
      <c r="D124" s="1218" t="s">
        <v>1192</v>
      </c>
    </row>
    <row r="125" spans="1:4" ht="4.5" customHeight="1" x14ac:dyDescent="0.2">
      <c r="A125" s="1203"/>
      <c r="D125" s="1202"/>
    </row>
    <row r="126" spans="1:4" x14ac:dyDescent="0.2">
      <c r="A126" s="1203"/>
      <c r="B126" s="1238"/>
      <c r="C126" s="1207"/>
      <c r="D126" s="1218"/>
    </row>
    <row r="127" spans="1:4" x14ac:dyDescent="0.2">
      <c r="A127" s="1203"/>
      <c r="D127" s="1218"/>
    </row>
  </sheetData>
  <sheetProtection password="F60E" sheet="1" objects="1" scenarios="1"/>
  <mergeCells count="3">
    <mergeCell ref="A1:D1"/>
    <mergeCell ref="A2:D2"/>
    <mergeCell ref="A3:D3"/>
  </mergeCells>
  <hyperlinks>
    <hyperlink ref="D29" r:id="rId1" xr:uid="{00000000-0004-0000-1A00-000000000000}"/>
    <hyperlink ref="D60" r:id="rId2" display="        Verify Non-Cash Commodities amount on ISBE web site: https://www.isbe.net/Pages/School-Nutrition-Programs-Food-Distribution.aspx" xr:uid="{00000000-0004-0000-1A00-000001000000}"/>
    <hyperlink ref="D64" r:id="rId3" xr:uid="{00000000-0004-0000-1A00-000002000000}"/>
    <hyperlink ref="D68" r:id="rId4" xr:uid="{00000000-0004-0000-1A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39" customWidth="1"/>
    <col min="3" max="3" width="1.28515625" style="1239" customWidth="1"/>
    <col min="4" max="4" width="24.42578125" style="1240" customWidth="1"/>
    <col min="5" max="5" width="5" style="317" customWidth="1"/>
    <col min="6" max="16384" width="15.7109375" style="317"/>
  </cols>
  <sheetData>
    <row r="1" spans="1:5" x14ac:dyDescent="0.2">
      <c r="A1" s="2496" t="str">
        <f>'Single Audit Cover'!A7</f>
        <v>Saunemin CCSD 438</v>
      </c>
      <c r="B1" s="2496"/>
      <c r="C1" s="2496"/>
      <c r="D1" s="2496"/>
      <c r="E1" s="2496"/>
    </row>
    <row r="2" spans="1:5" x14ac:dyDescent="0.2">
      <c r="A2" s="2497">
        <f>'Single Audit Cover'!E7</f>
        <v>17053438004</v>
      </c>
      <c r="B2" s="2497"/>
      <c r="C2" s="2497"/>
      <c r="D2" s="2497"/>
      <c r="E2" s="2497"/>
    </row>
    <row r="3" spans="1:5" ht="4.5" customHeight="1" x14ac:dyDescent="0.2"/>
    <row r="4" spans="1:5" x14ac:dyDescent="0.2">
      <c r="A4" s="2496" t="s">
        <v>1245</v>
      </c>
      <c r="B4" s="2496"/>
      <c r="C4" s="2496"/>
      <c r="D4" s="2496"/>
      <c r="E4" s="2496"/>
    </row>
    <row r="5" spans="1:5" x14ac:dyDescent="0.2">
      <c r="A5" s="2499" t="str">
        <f>'Single Audit Cover'!A4</f>
        <v>Year Ending June 30, 2019</v>
      </c>
      <c r="B5" s="2499"/>
      <c r="C5" s="2499"/>
      <c r="D5" s="2499"/>
      <c r="E5" s="2499"/>
    </row>
    <row r="6" spans="1:5" x14ac:dyDescent="0.2">
      <c r="A6" s="2496" t="s">
        <v>1244</v>
      </c>
      <c r="B6" s="2496"/>
      <c r="C6" s="2496"/>
      <c r="D6" s="2496"/>
      <c r="E6" s="2496"/>
    </row>
    <row r="8" spans="1:5" x14ac:dyDescent="0.2">
      <c r="A8" s="1241" t="s">
        <v>1243</v>
      </c>
    </row>
    <row r="10" spans="1:5" x14ac:dyDescent="0.2">
      <c r="A10" s="1242" t="s">
        <v>1242</v>
      </c>
      <c r="B10" s="1243" t="s">
        <v>1241</v>
      </c>
      <c r="C10" s="1243"/>
      <c r="D10" s="1244">
        <f ca="1">SUM('Acct Summary 7-8'!C7:K7)</f>
        <v>120811</v>
      </c>
    </row>
    <row r="11" spans="1:5" ht="18" customHeight="1" x14ac:dyDescent="0.2">
      <c r="A11" s="1242" t="s">
        <v>1240</v>
      </c>
      <c r="B11" s="1243"/>
      <c r="C11" s="1243"/>
    </row>
    <row r="12" spans="1:5" x14ac:dyDescent="0.2">
      <c r="A12" s="1242" t="s">
        <v>1239</v>
      </c>
      <c r="B12" s="1243" t="s">
        <v>1238</v>
      </c>
      <c r="C12" s="1243"/>
      <c r="D12" s="1245">
        <f ca="1">SUM('Revenues 9-14'!C112:D112,'Revenues 9-14'!F112:G112)</f>
        <v>0</v>
      </c>
    </row>
    <row r="13" spans="1:5" x14ac:dyDescent="0.2">
      <c r="A13" s="1242" t="s">
        <v>1237</v>
      </c>
      <c r="B13" s="1243"/>
      <c r="C13" s="1243"/>
    </row>
    <row r="14" spans="1:5" x14ac:dyDescent="0.2">
      <c r="A14" s="1242" t="s">
        <v>1727</v>
      </c>
      <c r="B14" s="1243"/>
      <c r="C14" s="1243"/>
      <c r="D14" s="1245">
        <f>'ICR Computation 30'!E11</f>
        <v>6163.76</v>
      </c>
    </row>
    <row r="15" spans="1:5" x14ac:dyDescent="0.2">
      <c r="A15" s="1242"/>
      <c r="B15" s="1243"/>
      <c r="C15" s="1243"/>
    </row>
    <row r="16" spans="1:5" x14ac:dyDescent="0.2">
      <c r="A16" s="1242" t="s">
        <v>1843</v>
      </c>
      <c r="B16" s="1243"/>
      <c r="C16" s="1243"/>
    </row>
    <row r="17" spans="1:4" x14ac:dyDescent="0.2">
      <c r="A17" s="1242" t="s">
        <v>2060</v>
      </c>
      <c r="B17" s="1243" t="s">
        <v>1236</v>
      </c>
      <c r="C17" s="1243"/>
      <c r="D17" s="1245">
        <f ca="1">-SUM('Revenues 9-14'!C264:D264,'Revenues 9-14'!F264:G264)</f>
        <v>0</v>
      </c>
    </row>
    <row r="19" spans="1:4" ht="13.5" thickBot="1" x14ac:dyDescent="0.25">
      <c r="A19" s="1246" t="s">
        <v>1235</v>
      </c>
      <c r="D19" s="1247">
        <f ca="1">SUM(D10:D17)</f>
        <v>126974.76</v>
      </c>
    </row>
    <row r="20" spans="1:4" ht="21.75" customHeight="1" thickTop="1" x14ac:dyDescent="0.2"/>
    <row r="21" spans="1:4" x14ac:dyDescent="0.2">
      <c r="A21" s="1241" t="s">
        <v>1234</v>
      </c>
    </row>
    <row r="22" spans="1:4" ht="8.25" customHeight="1" x14ac:dyDescent="0.2"/>
    <row r="23" spans="1:4" x14ac:dyDescent="0.2">
      <c r="A23" s="1248" t="s">
        <v>1228</v>
      </c>
    </row>
    <row r="24" spans="1:4" x14ac:dyDescent="0.2">
      <c r="A24" s="2498"/>
      <c r="B24" s="2498"/>
      <c r="D24" s="1249"/>
    </row>
    <row r="25" spans="1:4" x14ac:dyDescent="0.2">
      <c r="A25" s="2495"/>
      <c r="B25" s="2495"/>
      <c r="D25" s="1249"/>
    </row>
    <row r="26" spans="1:4" x14ac:dyDescent="0.2">
      <c r="A26" s="2495"/>
      <c r="B26" s="2495"/>
      <c r="D26" s="1249"/>
    </row>
    <row r="27" spans="1:4" x14ac:dyDescent="0.2">
      <c r="A27" s="2495"/>
      <c r="B27" s="2495"/>
      <c r="D27" s="1249"/>
    </row>
    <row r="28" spans="1:4" x14ac:dyDescent="0.2">
      <c r="A28" s="2495"/>
      <c r="B28" s="2495"/>
      <c r="D28" s="1249"/>
    </row>
    <row r="29" spans="1:4" x14ac:dyDescent="0.2">
      <c r="A29" s="2495"/>
      <c r="B29" s="2495"/>
      <c r="D29" s="1249"/>
    </row>
    <row r="30" spans="1:4" x14ac:dyDescent="0.2">
      <c r="A30" s="2495"/>
      <c r="B30" s="2495"/>
      <c r="D30" s="1249"/>
    </row>
    <row r="32" spans="1:4" x14ac:dyDescent="0.2">
      <c r="A32" s="1241" t="s">
        <v>1233</v>
      </c>
      <c r="D32" s="1244">
        <f ca="1">SUM(D19:D30)</f>
        <v>126974.76</v>
      </c>
    </row>
    <row r="33" spans="1:4" x14ac:dyDescent="0.2">
      <c r="D33" s="1250"/>
    </row>
    <row r="34" spans="1:4" x14ac:dyDescent="0.2">
      <c r="A34" s="317" t="s">
        <v>1232</v>
      </c>
    </row>
    <row r="35" spans="1:4" x14ac:dyDescent="0.2">
      <c r="A35" s="317" t="s">
        <v>1231</v>
      </c>
      <c r="B35" s="1239" t="s">
        <v>1230</v>
      </c>
      <c r="D35" s="1251"/>
    </row>
    <row r="37" spans="1:4" x14ac:dyDescent="0.2">
      <c r="A37" s="1241" t="s">
        <v>1229</v>
      </c>
    </row>
    <row r="39" spans="1:4" ht="13.35" customHeight="1" x14ac:dyDescent="0.2">
      <c r="A39" s="1248" t="s">
        <v>1228</v>
      </c>
    </row>
    <row r="40" spans="1:4" x14ac:dyDescent="0.2">
      <c r="A40" s="2495"/>
      <c r="B40" s="2495"/>
      <c r="D40" s="1249"/>
    </row>
    <row r="41" spans="1:4" x14ac:dyDescent="0.2">
      <c r="A41" s="2495"/>
      <c r="B41" s="2495"/>
      <c r="D41" s="1252"/>
    </row>
    <row r="42" spans="1:4" x14ac:dyDescent="0.2">
      <c r="A42" s="2495"/>
      <c r="B42" s="2495"/>
      <c r="D42" s="1252"/>
    </row>
    <row r="43" spans="1:4" x14ac:dyDescent="0.2">
      <c r="A43" s="2495"/>
      <c r="B43" s="2495"/>
      <c r="D43" s="1252"/>
    </row>
    <row r="44" spans="1:4" x14ac:dyDescent="0.2">
      <c r="A44" s="2495"/>
      <c r="B44" s="2495"/>
      <c r="D44" s="1252"/>
    </row>
    <row r="45" spans="1:4" x14ac:dyDescent="0.2">
      <c r="A45" s="2495"/>
      <c r="B45" s="2495"/>
      <c r="D45" s="1252"/>
    </row>
    <row r="47" spans="1:4" x14ac:dyDescent="0.2">
      <c r="B47" s="1253" t="s">
        <v>1227</v>
      </c>
      <c r="C47" s="1253"/>
      <c r="D47" s="1254">
        <f>SUM(D35:D45)</f>
        <v>0</v>
      </c>
    </row>
    <row r="49" spans="2:4" x14ac:dyDescent="0.2">
      <c r="B49" s="1253" t="s">
        <v>1226</v>
      </c>
      <c r="C49" s="1253"/>
      <c r="D49" s="1254">
        <f ca="1">D32-D47</f>
        <v>126974.76</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17" colorId="8" zoomScale="110" zoomScaleNormal="110" workbookViewId="0">
      <selection activeCell="F24" sqref="F24"/>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45" t="s">
        <v>386</v>
      </c>
      <c r="B1" s="2145"/>
      <c r="C1" s="2145"/>
      <c r="D1" s="2145"/>
      <c r="E1" s="2145"/>
      <c r="F1" s="2145"/>
      <c r="G1" s="2145"/>
      <c r="H1" s="2145"/>
      <c r="I1" s="2145"/>
      <c r="J1" s="2145"/>
      <c r="K1" s="2145"/>
      <c r="L1" s="2145"/>
      <c r="M1" s="2145"/>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1947</v>
      </c>
      <c r="E7" s="222"/>
      <c r="F7" s="351" t="s">
        <v>272</v>
      </c>
      <c r="G7" s="222"/>
      <c r="H7" s="222"/>
      <c r="I7" s="222"/>
      <c r="J7" s="352">
        <v>38263308</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3.055677E-2</v>
      </c>
      <c r="E10" s="356" t="s">
        <v>1005</v>
      </c>
      <c r="F10" s="355">
        <v>3.9115599999999997E-3</v>
      </c>
      <c r="G10" s="356" t="s">
        <v>1005</v>
      </c>
      <c r="H10" s="355">
        <v>7.4505999999999997E-4</v>
      </c>
      <c r="I10" s="356" t="s">
        <v>1006</v>
      </c>
      <c r="J10" s="1715">
        <f>ROUND(D10+F10+H10,5)</f>
        <v>3.5209999999999998E-2</v>
      </c>
      <c r="K10" s="222"/>
      <c r="L10" s="355">
        <v>4.8950000000000003E-4</v>
      </c>
      <c r="M10" s="222"/>
    </row>
    <row r="11" spans="1:14" ht="7.5" customHeight="1" x14ac:dyDescent="0.2">
      <c r="B11" s="222"/>
      <c r="C11" s="222"/>
      <c r="D11" s="2155" t="str">
        <f>IF(SUM(J10)&lt;=0.0999999,"","Enter the Tax Rates by moving the decimal two places to the left.")</f>
        <v/>
      </c>
      <c r="E11" s="2156"/>
      <c r="F11" s="2156"/>
      <c r="G11" s="2156"/>
      <c r="H11" s="2156"/>
      <c r="I11" s="2156"/>
      <c r="J11" s="2156"/>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16">
        <f ca="1">SUM('Acct Summary 7-8'!C8,'Acct Summary 7-8'!D8,'Acct Summary 7-8'!F8,'Acct Summary 7-8'!I8)</f>
        <v>2130803</v>
      </c>
      <c r="E16" s="356"/>
      <c r="F16" s="1716">
        <f ca="1">SUM('Acct Summary 7-8'!C17,'Acct Summary 7-8'!D17,'Acct Summary 7-8'!F17)</f>
        <v>2119786</v>
      </c>
      <c r="G16" s="356"/>
      <c r="H16" s="1716">
        <f ca="1">SUM(D16-F16)</f>
        <v>11017</v>
      </c>
      <c r="I16" s="222"/>
      <c r="J16" s="1716">
        <f ca="1">SUM('Acct Summary 7-8'!C81,'Acct Summary 7-8'!D81,'Acct Summary 7-8'!F81,'Acct Summary 7-8'!I81)</f>
        <v>3572002</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16">
        <f>'Short-Term Long-Term Debt 24'!F4</f>
        <v>0</v>
      </c>
      <c r="E22" s="356" t="s">
        <v>1005</v>
      </c>
      <c r="F22" s="1716">
        <f>'Short-Term Long-Term Debt 24'!F15</f>
        <v>0</v>
      </c>
      <c r="G22" s="356" t="s">
        <v>1005</v>
      </c>
      <c r="H22" s="1716">
        <f>'Short-Term Long-Term Debt 24'!F21</f>
        <v>0</v>
      </c>
      <c r="I22" s="356" t="s">
        <v>1005</v>
      </c>
      <c r="J22" s="1716">
        <f>'Short-Term Long-Term Debt 24'!F23</f>
        <v>0</v>
      </c>
      <c r="K22" s="356" t="s">
        <v>1005</v>
      </c>
      <c r="L22" s="1716">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16">
        <f>'Short-Term Long-Term Debt 24'!F27</f>
        <v>0</v>
      </c>
      <c r="E24" s="356" t="s">
        <v>1006</v>
      </c>
      <c r="F24" s="1717">
        <f>SUM(D22,F22,H22,J22,L22, D24)</f>
        <v>0</v>
      </c>
      <c r="G24" s="222"/>
      <c r="H24" s="222"/>
      <c r="I24" s="222"/>
      <c r="J24" s="222"/>
      <c r="K24" s="222"/>
      <c r="L24" s="222"/>
      <c r="M24" s="222"/>
    </row>
    <row r="25" spans="1:13" ht="11.25" customHeight="1" x14ac:dyDescent="0.2">
      <c r="A25" s="349"/>
      <c r="B25" s="181" t="s">
        <v>9</v>
      </c>
      <c r="C25" s="237" t="s">
        <v>2062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3050</v>
      </c>
      <c r="C31" s="367" t="s">
        <v>586</v>
      </c>
      <c r="D31" s="237" t="s">
        <v>1072</v>
      </c>
      <c r="E31" s="222"/>
      <c r="F31" s="222"/>
      <c r="G31" s="363"/>
      <c r="H31" s="1718">
        <f>IF(B31="X",(J7*0.069),IF(B32="X",(J7*0.138),"Enter x in a.or b."))</f>
        <v>2640168.2520000003</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17">
        <f>'Assets-Liab 5-6'!N36</f>
        <v>43865</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146"/>
      <c r="C54" s="2147"/>
      <c r="D54" s="2147"/>
      <c r="E54" s="2147"/>
      <c r="F54" s="2147"/>
      <c r="G54" s="2147"/>
      <c r="H54" s="2147"/>
      <c r="I54" s="2147"/>
      <c r="J54" s="2147"/>
      <c r="K54" s="2147"/>
      <c r="L54" s="2148"/>
      <c r="M54" s="380"/>
    </row>
    <row r="55" spans="1:13" ht="12.75" customHeight="1" x14ac:dyDescent="0.2">
      <c r="B55" s="2149"/>
      <c r="C55" s="2150"/>
      <c r="D55" s="2150"/>
      <c r="E55" s="2150"/>
      <c r="F55" s="2150"/>
      <c r="G55" s="2150"/>
      <c r="H55" s="2150"/>
      <c r="I55" s="2150"/>
      <c r="J55" s="2150"/>
      <c r="K55" s="2150"/>
      <c r="L55" s="2151"/>
      <c r="M55" s="380"/>
    </row>
    <row r="56" spans="1:13" ht="12.75" customHeight="1" x14ac:dyDescent="0.2">
      <c r="B56" s="2149"/>
      <c r="C56" s="2150"/>
      <c r="D56" s="2150"/>
      <c r="E56" s="2150"/>
      <c r="F56" s="2150"/>
      <c r="G56" s="2150"/>
      <c r="H56" s="2150"/>
      <c r="I56" s="2150"/>
      <c r="J56" s="2150"/>
      <c r="K56" s="2150"/>
      <c r="L56" s="2151"/>
      <c r="M56" s="222"/>
    </row>
    <row r="57" spans="1:13" ht="12.75" customHeight="1" x14ac:dyDescent="0.2">
      <c r="B57" s="2149"/>
      <c r="C57" s="2150"/>
      <c r="D57" s="2150"/>
      <c r="E57" s="2150"/>
      <c r="F57" s="2150"/>
      <c r="G57" s="2150"/>
      <c r="H57" s="2150"/>
      <c r="I57" s="2150"/>
      <c r="J57" s="2150"/>
      <c r="K57" s="2150"/>
      <c r="L57" s="2151"/>
      <c r="M57" s="222"/>
    </row>
    <row r="58" spans="1:13" x14ac:dyDescent="0.2">
      <c r="B58" s="2152"/>
      <c r="C58" s="2153"/>
      <c r="D58" s="2153"/>
      <c r="E58" s="2153"/>
      <c r="F58" s="2153"/>
      <c r="G58" s="2153"/>
      <c r="H58" s="2153"/>
      <c r="I58" s="2153"/>
      <c r="J58" s="2153"/>
      <c r="K58" s="2153"/>
      <c r="L58" s="2154"/>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57"/>
      <c r="D61" s="2158"/>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20"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topLeftCell="A7"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38" customWidth="1"/>
    <col min="4" max="4" width="12.7109375" style="1339" customWidth="1"/>
    <col min="5" max="6" width="11.7109375" style="317" customWidth="1"/>
    <col min="7" max="7" width="11.7109375" style="1239" customWidth="1"/>
    <col min="8" max="8" width="13.7109375" style="1239" bestFit="1" customWidth="1"/>
    <col min="9" max="9" width="11.7109375" style="1239" customWidth="1"/>
    <col min="10" max="10" width="13.7109375" style="1239" customWidth="1"/>
    <col min="11" max="12" width="11.7109375" style="1239" customWidth="1"/>
    <col min="13" max="13" width="11.7109375" style="317" customWidth="1"/>
    <col min="14" max="14" width="2.7109375" style="317" customWidth="1"/>
    <col min="15" max="16384" width="33.5703125" style="317"/>
  </cols>
  <sheetData>
    <row r="1" spans="2:14" ht="11.85" customHeight="1" x14ac:dyDescent="0.2">
      <c r="B1" s="2457" t="str">
        <f>'Single Audit Cover'!A7</f>
        <v>Saunemin CCSD 438</v>
      </c>
      <c r="C1" s="2500"/>
      <c r="D1" s="2500"/>
      <c r="E1" s="2500"/>
      <c r="F1" s="2500"/>
      <c r="G1" s="2500"/>
      <c r="H1" s="2500"/>
      <c r="I1" s="2500"/>
      <c r="J1" s="2500"/>
      <c r="K1" s="2500"/>
      <c r="L1" s="2500"/>
      <c r="M1" s="2500"/>
    </row>
    <row r="2" spans="2:14" ht="15" x14ac:dyDescent="0.2">
      <c r="B2" s="2501">
        <f>'Single Audit Cover'!E7</f>
        <v>17053438004</v>
      </c>
      <c r="C2" s="2501"/>
      <c r="D2" s="2501"/>
      <c r="E2" s="2501"/>
      <c r="F2" s="2501"/>
      <c r="G2" s="2501"/>
      <c r="H2" s="2501"/>
      <c r="I2" s="2501"/>
      <c r="J2" s="2501"/>
      <c r="K2" s="2501"/>
      <c r="L2" s="2501"/>
      <c r="M2" s="2501"/>
      <c r="N2" s="1283"/>
    </row>
    <row r="3" spans="2:14" ht="15" x14ac:dyDescent="0.2">
      <c r="B3" s="2502" t="s">
        <v>1219</v>
      </c>
      <c r="C3" s="2502"/>
      <c r="D3" s="2502"/>
      <c r="E3" s="2502"/>
      <c r="F3" s="2502"/>
      <c r="G3" s="2502"/>
      <c r="H3" s="2502"/>
      <c r="I3" s="2502"/>
      <c r="J3" s="2502"/>
      <c r="K3" s="2502"/>
      <c r="L3" s="2502"/>
      <c r="M3" s="2502"/>
      <c r="N3" s="1283"/>
    </row>
    <row r="4" spans="2:14" ht="15" x14ac:dyDescent="0.2">
      <c r="B4" s="2503" t="str">
        <f>'Single Audit Cover'!A4</f>
        <v>Year Ending June 30, 2019</v>
      </c>
      <c r="C4" s="2503"/>
      <c r="D4" s="2503"/>
      <c r="E4" s="2503"/>
      <c r="F4" s="2503"/>
      <c r="G4" s="2503"/>
      <c r="H4" s="2503"/>
      <c r="I4" s="2503"/>
      <c r="J4" s="2503"/>
      <c r="K4" s="2503"/>
      <c r="L4" s="2503"/>
      <c r="M4" s="2503"/>
      <c r="N4" s="1283"/>
    </row>
    <row r="6" spans="2:14" x14ac:dyDescent="0.2">
      <c r="B6" s="1284"/>
      <c r="C6" s="1285"/>
      <c r="D6" s="1286" t="s">
        <v>1265</v>
      </c>
      <c r="E6" s="1287" t="s">
        <v>527</v>
      </c>
      <c r="F6" s="1288"/>
      <c r="G6" s="1289" t="s">
        <v>1734</v>
      </c>
      <c r="H6" s="1287"/>
      <c r="I6" s="1287"/>
      <c r="J6" s="1287"/>
      <c r="K6" s="1290"/>
      <c r="L6" s="1291"/>
      <c r="M6" s="1292"/>
    </row>
    <row r="7" spans="2:14" x14ac:dyDescent="0.2">
      <c r="B7" s="1293" t="s">
        <v>1581</v>
      </c>
      <c r="C7" s="1294"/>
      <c r="D7" s="1295"/>
      <c r="E7" s="1296"/>
      <c r="F7" s="1297"/>
      <c r="G7" s="1296"/>
      <c r="H7" s="1298" t="s">
        <v>1262</v>
      </c>
      <c r="I7" s="1296"/>
      <c r="J7" s="1299" t="s">
        <v>1262</v>
      </c>
      <c r="K7" s="1300"/>
      <c r="L7" s="1301" t="s">
        <v>1260</v>
      </c>
      <c r="M7" s="1302"/>
    </row>
    <row r="8" spans="2:14" x14ac:dyDescent="0.2">
      <c r="B8" s="1648"/>
      <c r="C8" s="1294" t="s">
        <v>1264</v>
      </c>
      <c r="D8" s="1295" t="s">
        <v>1263</v>
      </c>
      <c r="E8" s="1303" t="s">
        <v>1262</v>
      </c>
      <c r="F8" s="1304" t="s">
        <v>1262</v>
      </c>
      <c r="G8" s="1305" t="s">
        <v>1262</v>
      </c>
      <c r="H8" s="1298" t="s">
        <v>1838</v>
      </c>
      <c r="I8" s="1300" t="s">
        <v>1262</v>
      </c>
      <c r="J8" s="1299" t="s">
        <v>1989</v>
      </c>
      <c r="K8" s="1300" t="s">
        <v>1261</v>
      </c>
      <c r="L8" s="1301" t="s">
        <v>1257</v>
      </c>
      <c r="M8" s="1302" t="s">
        <v>30</v>
      </c>
    </row>
    <row r="9" spans="2:14" ht="14.25" x14ac:dyDescent="0.2">
      <c r="B9" s="1306" t="s">
        <v>1259</v>
      </c>
      <c r="C9" s="1294" t="s">
        <v>1735</v>
      </c>
      <c r="D9" s="1295" t="s">
        <v>1736</v>
      </c>
      <c r="E9" s="1303" t="s">
        <v>1838</v>
      </c>
      <c r="F9" s="1304" t="s">
        <v>1989</v>
      </c>
      <c r="G9" s="1305" t="s">
        <v>1838</v>
      </c>
      <c r="H9" s="1298" t="s">
        <v>1582</v>
      </c>
      <c r="I9" s="1300" t="s">
        <v>1989</v>
      </c>
      <c r="J9" s="1299" t="s">
        <v>1582</v>
      </c>
      <c r="K9" s="1300" t="s">
        <v>1258</v>
      </c>
      <c r="L9" s="1307" t="s">
        <v>1583</v>
      </c>
      <c r="M9" s="1302"/>
    </row>
    <row r="10" spans="2:14" ht="11.85" customHeight="1" x14ac:dyDescent="0.2">
      <c r="B10" s="1306" t="s">
        <v>1256</v>
      </c>
      <c r="C10" s="1308" t="s">
        <v>1255</v>
      </c>
      <c r="D10" s="1309" t="s">
        <v>1254</v>
      </c>
      <c r="E10" s="1310" t="s">
        <v>1253</v>
      </c>
      <c r="F10" s="1311" t="s">
        <v>1252</v>
      </c>
      <c r="G10" s="1312" t="s">
        <v>1251</v>
      </c>
      <c r="H10" s="1313" t="s">
        <v>1266</v>
      </c>
      <c r="I10" s="1314" t="s">
        <v>1250</v>
      </c>
      <c r="J10" s="1315" t="s">
        <v>1266</v>
      </c>
      <c r="K10" s="1316" t="s">
        <v>1249</v>
      </c>
      <c r="L10" s="1316" t="s">
        <v>1248</v>
      </c>
      <c r="M10" s="1317" t="s">
        <v>1247</v>
      </c>
    </row>
    <row r="11" spans="2:14" ht="20.100000000000001" customHeight="1" x14ac:dyDescent="0.2">
      <c r="B11" s="1318"/>
      <c r="C11" s="1319"/>
      <c r="D11" s="1320"/>
      <c r="E11" s="1321"/>
      <c r="F11" s="1321"/>
      <c r="G11" s="1321"/>
      <c r="H11" s="1321"/>
      <c r="I11" s="1321"/>
      <c r="J11" s="1321"/>
      <c r="K11" s="1321"/>
      <c r="L11" s="1321">
        <f>+G11+I11+K11</f>
        <v>0</v>
      </c>
      <c r="M11" s="1321"/>
    </row>
    <row r="12" spans="2:14" ht="20.100000000000001" customHeight="1" x14ac:dyDescent="0.2">
      <c r="B12" s="1318"/>
      <c r="C12" s="1322"/>
      <c r="D12" s="1323"/>
      <c r="E12" s="1324"/>
      <c r="F12" s="1324"/>
      <c r="G12" s="1324"/>
      <c r="H12" s="1324"/>
      <c r="I12" s="1324"/>
      <c r="J12" s="1324"/>
      <c r="K12" s="1324"/>
      <c r="L12" s="1321">
        <f t="shared" ref="L12:L27" si="0">+G12+I12+K12</f>
        <v>0</v>
      </c>
      <c r="M12" s="1324"/>
    </row>
    <row r="13" spans="2:14" ht="20.100000000000001" customHeight="1" x14ac:dyDescent="0.2">
      <c r="B13" s="1318"/>
      <c r="C13" s="1322"/>
      <c r="D13" s="1323"/>
      <c r="E13" s="1324"/>
      <c r="F13" s="1324"/>
      <c r="G13" s="1324"/>
      <c r="H13" s="1324"/>
      <c r="I13" s="1324"/>
      <c r="J13" s="1324"/>
      <c r="K13" s="1324"/>
      <c r="L13" s="1321">
        <f t="shared" si="0"/>
        <v>0</v>
      </c>
      <c r="M13" s="1324"/>
    </row>
    <row r="14" spans="2:14" ht="20.100000000000001" customHeight="1" x14ac:dyDescent="0.2">
      <c r="B14" s="1318"/>
      <c r="C14" s="1322"/>
      <c r="D14" s="1323"/>
      <c r="E14" s="1324"/>
      <c r="F14" s="1324"/>
      <c r="G14" s="1324"/>
      <c r="H14" s="1324"/>
      <c r="I14" s="1324"/>
      <c r="J14" s="1324"/>
      <c r="K14" s="1324"/>
      <c r="L14" s="1321">
        <f t="shared" si="0"/>
        <v>0</v>
      </c>
      <c r="M14" s="1324"/>
    </row>
    <row r="15" spans="2:14" ht="20.100000000000001" customHeight="1" x14ac:dyDescent="0.2">
      <c r="B15" s="1318" t="s">
        <v>1169</v>
      </c>
      <c r="C15" s="1322"/>
      <c r="D15" s="1323"/>
      <c r="E15" s="1324"/>
      <c r="F15" s="1324"/>
      <c r="G15" s="1324"/>
      <c r="H15" s="1324"/>
      <c r="I15" s="1324"/>
      <c r="J15" s="1324"/>
      <c r="K15" s="1324"/>
      <c r="L15" s="1321">
        <f t="shared" si="0"/>
        <v>0</v>
      </c>
      <c r="M15" s="1324"/>
    </row>
    <row r="16" spans="2:14" ht="20.100000000000001" customHeight="1" x14ac:dyDescent="0.2">
      <c r="B16" s="1318"/>
      <c r="C16" s="1322"/>
      <c r="D16" s="1323"/>
      <c r="E16" s="1324"/>
      <c r="F16" s="1324"/>
      <c r="G16" s="1324"/>
      <c r="H16" s="1324"/>
      <c r="I16" s="1324"/>
      <c r="J16" s="1324"/>
      <c r="K16" s="1324"/>
      <c r="L16" s="1321">
        <f t="shared" si="0"/>
        <v>0</v>
      </c>
      <c r="M16" s="1324"/>
    </row>
    <row r="17" spans="2:14" ht="20.100000000000001" customHeight="1" x14ac:dyDescent="0.2">
      <c r="B17" s="1318"/>
      <c r="C17" s="1322"/>
      <c r="D17" s="1323"/>
      <c r="E17" s="1324"/>
      <c r="F17" s="1324"/>
      <c r="G17" s="1324"/>
      <c r="H17" s="1324"/>
      <c r="I17" s="1324"/>
      <c r="J17" s="1324"/>
      <c r="K17" s="1324"/>
      <c r="L17" s="1321">
        <f t="shared" si="0"/>
        <v>0</v>
      </c>
      <c r="M17" s="1324"/>
    </row>
    <row r="18" spans="2:14" ht="20.100000000000001" customHeight="1" x14ac:dyDescent="0.2">
      <c r="B18" s="1318"/>
      <c r="C18" s="1322"/>
      <c r="D18" s="1323"/>
      <c r="E18" s="1324"/>
      <c r="F18" s="1324"/>
      <c r="G18" s="1324"/>
      <c r="H18" s="1324"/>
      <c r="I18" s="1324"/>
      <c r="J18" s="1324"/>
      <c r="K18" s="1324"/>
      <c r="L18" s="1321">
        <f t="shared" si="0"/>
        <v>0</v>
      </c>
      <c r="M18" s="1324"/>
    </row>
    <row r="19" spans="2:14" ht="20.100000000000001" customHeight="1" x14ac:dyDescent="0.2">
      <c r="B19" s="1318"/>
      <c r="C19" s="1322"/>
      <c r="D19" s="1323"/>
      <c r="E19" s="1324"/>
      <c r="F19" s="1324"/>
      <c r="G19" s="1324"/>
      <c r="H19" s="1324"/>
      <c r="I19" s="1324"/>
      <c r="J19" s="1324"/>
      <c r="K19" s="1324"/>
      <c r="L19" s="1321">
        <f t="shared" si="0"/>
        <v>0</v>
      </c>
      <c r="M19" s="1324"/>
    </row>
    <row r="20" spans="2:14" ht="20.100000000000001" customHeight="1" x14ac:dyDescent="0.2">
      <c r="B20" s="1318"/>
      <c r="C20" s="1322"/>
      <c r="D20" s="1323"/>
      <c r="E20" s="1324"/>
      <c r="F20" s="1324"/>
      <c r="G20" s="1324"/>
      <c r="H20" s="1324"/>
      <c r="I20" s="1324"/>
      <c r="J20" s="1324"/>
      <c r="K20" s="1324"/>
      <c r="L20" s="1321">
        <f t="shared" si="0"/>
        <v>0</v>
      </c>
      <c r="M20" s="1324"/>
    </row>
    <row r="21" spans="2:14" ht="20.100000000000001" customHeight="1" x14ac:dyDescent="0.2">
      <c r="B21" s="1318"/>
      <c r="C21" s="1322"/>
      <c r="D21" s="1323"/>
      <c r="E21" s="1324"/>
      <c r="F21" s="1324"/>
      <c r="G21" s="1324"/>
      <c r="H21" s="1324"/>
      <c r="I21" s="1324"/>
      <c r="J21" s="1324"/>
      <c r="K21" s="1324"/>
      <c r="L21" s="1321">
        <f t="shared" si="0"/>
        <v>0</v>
      </c>
      <c r="M21" s="1324"/>
    </row>
    <row r="22" spans="2:14" ht="20.100000000000001" customHeight="1" x14ac:dyDescent="0.2">
      <c r="B22" s="1318"/>
      <c r="C22" s="1322"/>
      <c r="D22" s="1323"/>
      <c r="E22" s="1324"/>
      <c r="F22" s="1324"/>
      <c r="G22" s="1324"/>
      <c r="H22" s="1324"/>
      <c r="I22" s="1324"/>
      <c r="J22" s="1324"/>
      <c r="K22" s="1324"/>
      <c r="L22" s="1321">
        <f t="shared" si="0"/>
        <v>0</v>
      </c>
      <c r="M22" s="1324"/>
    </row>
    <row r="23" spans="2:14" ht="20.100000000000001" customHeight="1" x14ac:dyDescent="0.2">
      <c r="B23" s="1318"/>
      <c r="C23" s="1322"/>
      <c r="D23" s="1323"/>
      <c r="E23" s="1324"/>
      <c r="F23" s="1324"/>
      <c r="G23" s="1324"/>
      <c r="H23" s="1324"/>
      <c r="I23" s="1324"/>
      <c r="J23" s="1324"/>
      <c r="K23" s="1324"/>
      <c r="L23" s="1321">
        <f t="shared" si="0"/>
        <v>0</v>
      </c>
      <c r="M23" s="1324"/>
    </row>
    <row r="24" spans="2:14" ht="20.100000000000001" customHeight="1" x14ac:dyDescent="0.2">
      <c r="B24" s="1318"/>
      <c r="C24" s="1322"/>
      <c r="D24" s="1323"/>
      <c r="E24" s="1324"/>
      <c r="F24" s="1324"/>
      <c r="G24" s="1324"/>
      <c r="H24" s="1324"/>
      <c r="I24" s="1324"/>
      <c r="J24" s="1324"/>
      <c r="K24" s="1324"/>
      <c r="L24" s="1321">
        <f t="shared" si="0"/>
        <v>0</v>
      </c>
      <c r="M24" s="1324"/>
    </row>
    <row r="25" spans="2:14" ht="20.100000000000001" customHeight="1" x14ac:dyDescent="0.2">
      <c r="B25" s="1318"/>
      <c r="C25" s="1322"/>
      <c r="D25" s="1323"/>
      <c r="E25" s="1324"/>
      <c r="F25" s="1324"/>
      <c r="G25" s="1324"/>
      <c r="H25" s="1324"/>
      <c r="I25" s="1324"/>
      <c r="J25" s="1324"/>
      <c r="K25" s="1324"/>
      <c r="L25" s="1321">
        <f t="shared" si="0"/>
        <v>0</v>
      </c>
      <c r="M25" s="1324"/>
    </row>
    <row r="26" spans="2:14" ht="20.100000000000001" customHeight="1" x14ac:dyDescent="0.2">
      <c r="B26" s="1318"/>
      <c r="C26" s="1322"/>
      <c r="D26" s="1323"/>
      <c r="E26" s="1324"/>
      <c r="F26" s="1324"/>
      <c r="G26" s="1324"/>
      <c r="H26" s="1324"/>
      <c r="I26" s="1324"/>
      <c r="J26" s="1324"/>
      <c r="K26" s="1324"/>
      <c r="L26" s="1321">
        <f t="shared" si="0"/>
        <v>0</v>
      </c>
      <c r="M26" s="1324"/>
    </row>
    <row r="27" spans="2:14" ht="20.100000000000001" customHeight="1" x14ac:dyDescent="0.2">
      <c r="B27" s="1318"/>
      <c r="C27" s="1322"/>
      <c r="D27" s="1323"/>
      <c r="E27" s="1324"/>
      <c r="F27" s="1324"/>
      <c r="G27" s="1324"/>
      <c r="H27" s="1324"/>
      <c r="I27" s="1324"/>
      <c r="J27" s="1324"/>
      <c r="K27" s="1324"/>
      <c r="L27" s="1321">
        <f t="shared" si="0"/>
        <v>0</v>
      </c>
      <c r="M27" s="1324"/>
      <c r="N27" s="1325"/>
    </row>
    <row r="28" spans="2:14" ht="12.75" customHeight="1" x14ac:dyDescent="0.2">
      <c r="B28" s="1326"/>
      <c r="C28" s="1327"/>
      <c r="D28" s="1328"/>
      <c r="E28" s="1329"/>
      <c r="F28" s="1329"/>
      <c r="G28" s="1329"/>
      <c r="H28" s="1329"/>
      <c r="I28" s="1329"/>
      <c r="J28" s="1329"/>
      <c r="K28" s="1329"/>
      <c r="L28" s="1329"/>
      <c r="M28" s="1329"/>
      <c r="N28" s="1325"/>
    </row>
    <row r="29" spans="2:14" x14ac:dyDescent="0.2">
      <c r="B29" s="1238"/>
      <c r="C29" s="1330"/>
      <c r="D29" s="1331"/>
      <c r="E29" s="1238"/>
      <c r="F29" s="1238"/>
      <c r="G29" s="1231"/>
      <c r="H29" s="1231"/>
      <c r="I29" s="1231"/>
      <c r="J29" s="1231"/>
      <c r="K29" s="1231"/>
      <c r="L29" s="1231"/>
      <c r="M29" s="1238"/>
      <c r="N29" s="1325"/>
    </row>
    <row r="30" spans="2:14" ht="13.5" customHeight="1" x14ac:dyDescent="0.2">
      <c r="B30" s="1263" t="s">
        <v>1737</v>
      </c>
      <c r="C30" s="1330"/>
      <c r="D30" s="1331"/>
      <c r="E30" s="1238"/>
      <c r="F30" s="1238"/>
      <c r="G30" s="1231"/>
      <c r="H30" s="1231"/>
      <c r="I30" s="1231"/>
      <c r="J30" s="1231"/>
      <c r="K30" s="1231"/>
      <c r="L30" s="1231"/>
      <c r="M30" s="1238"/>
      <c r="N30" s="1325"/>
    </row>
    <row r="31" spans="2:14" ht="8.25" customHeight="1" x14ac:dyDescent="0.2">
      <c r="B31" s="1263"/>
      <c r="C31" s="1330"/>
      <c r="D31" s="1331"/>
      <c r="E31" s="1238"/>
      <c r="F31" s="1238"/>
      <c r="G31" s="1231"/>
      <c r="H31" s="1231"/>
      <c r="I31" s="1231"/>
      <c r="J31" s="1231"/>
      <c r="K31" s="1231"/>
      <c r="L31" s="1231"/>
      <c r="M31" s="1238"/>
      <c r="N31" s="1325"/>
    </row>
    <row r="32" spans="2:14" x14ac:dyDescent="0.2">
      <c r="B32" s="1332" t="s">
        <v>1839</v>
      </c>
      <c r="C32" s="1333"/>
      <c r="D32" s="1334"/>
      <c r="E32" s="1335"/>
      <c r="F32" s="1335"/>
      <c r="G32" s="1335"/>
      <c r="H32" s="1335"/>
      <c r="I32" s="317"/>
      <c r="J32" s="317"/>
    </row>
    <row r="33" spans="2:13" x14ac:dyDescent="0.2">
      <c r="B33" s="1258"/>
      <c r="C33" s="1336"/>
      <c r="D33" s="1337"/>
      <c r="E33" s="1259"/>
      <c r="F33" s="1259"/>
      <c r="G33" s="317"/>
      <c r="H33" s="317"/>
      <c r="I33" s="317"/>
      <c r="J33" s="317"/>
    </row>
    <row r="34" spans="2:13" ht="13.5" customHeight="1" x14ac:dyDescent="0.2">
      <c r="B34" s="1257" t="s">
        <v>1246</v>
      </c>
      <c r="G34" s="317"/>
      <c r="H34" s="317"/>
      <c r="I34" s="317"/>
      <c r="J34" s="317"/>
    </row>
    <row r="35" spans="2:13" ht="13.5" customHeight="1" x14ac:dyDescent="0.2">
      <c r="B35" s="1340"/>
      <c r="C35" s="1341"/>
      <c r="D35" s="1342"/>
      <c r="E35" s="1278"/>
      <c r="F35" s="1278"/>
      <c r="G35" s="1278"/>
      <c r="H35" s="1278"/>
      <c r="I35" s="1278"/>
      <c r="J35" s="1278"/>
      <c r="K35" s="1343"/>
      <c r="L35" s="1343"/>
      <c r="M35" s="1278"/>
    </row>
    <row r="36" spans="2:13" ht="9.6" customHeight="1" x14ac:dyDescent="0.2">
      <c r="B36" s="1344"/>
      <c r="G36" s="317"/>
      <c r="H36" s="317"/>
      <c r="I36" s="317"/>
      <c r="J36" s="317"/>
    </row>
    <row r="37" spans="2:13" ht="11.25" customHeight="1" x14ac:dyDescent="0.2">
      <c r="B37" s="1345" t="s">
        <v>1738</v>
      </c>
      <c r="C37" s="1346"/>
      <c r="D37" s="1346"/>
      <c r="E37" s="1346"/>
      <c r="F37" s="1346"/>
      <c r="G37" s="1346"/>
      <c r="H37" s="1346"/>
      <c r="I37" s="1347"/>
      <c r="J37" s="1347"/>
      <c r="K37" s="1347"/>
      <c r="L37" s="1347"/>
      <c r="M37" s="1347"/>
    </row>
    <row r="38" spans="2:13" ht="11.25" customHeight="1" x14ac:dyDescent="0.2">
      <c r="B38" s="1348" t="s">
        <v>1584</v>
      </c>
      <c r="C38" s="1347"/>
      <c r="D38" s="1347"/>
      <c r="E38" s="1347"/>
      <c r="F38" s="1347"/>
      <c r="G38" s="1347"/>
      <c r="H38" s="1347"/>
      <c r="I38" s="1347"/>
      <c r="J38" s="1347"/>
      <c r="K38" s="1347"/>
      <c r="L38" s="1347"/>
      <c r="M38" s="1347"/>
    </row>
    <row r="39" spans="2:13" ht="3.95" customHeight="1" x14ac:dyDescent="0.2">
      <c r="B39" s="1348"/>
      <c r="C39" s="1347"/>
      <c r="D39" s="1347"/>
      <c r="E39" s="1347"/>
      <c r="F39" s="1347"/>
      <c r="G39" s="1347"/>
      <c r="H39" s="1347"/>
      <c r="I39" s="1347"/>
      <c r="J39" s="1347"/>
      <c r="K39" s="1347"/>
      <c r="L39" s="1347"/>
      <c r="M39" s="1347"/>
    </row>
    <row r="40" spans="2:13" ht="11.25" customHeight="1" x14ac:dyDescent="0.2">
      <c r="B40" s="1345" t="s">
        <v>1739</v>
      </c>
      <c r="C40" s="1347"/>
      <c r="D40" s="1347"/>
      <c r="E40" s="1347"/>
      <c r="F40" s="1347"/>
      <c r="G40" s="1347"/>
      <c r="H40" s="1347"/>
      <c r="I40" s="1347"/>
      <c r="J40" s="1347"/>
      <c r="K40" s="1347"/>
      <c r="L40" s="1347"/>
      <c r="M40" s="1347"/>
    </row>
    <row r="41" spans="2:13" ht="11.25" customHeight="1" x14ac:dyDescent="0.2">
      <c r="B41" s="1281" t="s">
        <v>1585</v>
      </c>
      <c r="C41" s="1349"/>
      <c r="D41" s="1350"/>
      <c r="E41" s="1281"/>
      <c r="F41" s="1281"/>
      <c r="G41" s="1281"/>
      <c r="H41" s="1281"/>
      <c r="I41" s="1281"/>
      <c r="J41" s="1281"/>
      <c r="K41" s="1351"/>
      <c r="L41" s="1351"/>
      <c r="M41" s="1281"/>
    </row>
    <row r="42" spans="2:13" ht="3.95" customHeight="1" x14ac:dyDescent="0.2">
      <c r="B42" s="1281"/>
      <c r="C42" s="1349"/>
      <c r="D42" s="1350"/>
      <c r="E42" s="1281"/>
      <c r="F42" s="1281"/>
      <c r="G42" s="1281"/>
      <c r="H42" s="1281"/>
      <c r="I42" s="1281"/>
      <c r="J42" s="1281"/>
      <c r="K42" s="1351"/>
      <c r="L42" s="1351"/>
      <c r="M42" s="1281"/>
    </row>
    <row r="43" spans="2:13" ht="11.25" customHeight="1" x14ac:dyDescent="0.2">
      <c r="B43" s="1352" t="s">
        <v>1740</v>
      </c>
      <c r="C43" s="1349"/>
      <c r="D43" s="1350"/>
      <c r="E43" s="1281"/>
      <c r="F43" s="1281"/>
      <c r="G43" s="1281"/>
      <c r="H43" s="1281"/>
      <c r="I43" s="1281"/>
      <c r="J43" s="1281"/>
      <c r="K43" s="1351"/>
      <c r="L43" s="1351"/>
      <c r="M43" s="1281"/>
    </row>
    <row r="44" spans="2:13" ht="3.95" customHeight="1" x14ac:dyDescent="0.2">
      <c r="B44" s="1352"/>
      <c r="C44" s="1349"/>
      <c r="D44" s="1350"/>
      <c r="E44" s="1281"/>
      <c r="F44" s="1281"/>
      <c r="G44" s="1281"/>
      <c r="H44" s="1281"/>
      <c r="I44" s="1281"/>
      <c r="J44" s="1281"/>
      <c r="K44" s="1351"/>
      <c r="L44" s="1351"/>
      <c r="M44" s="1281"/>
    </row>
    <row r="45" spans="2:13" ht="11.25" customHeight="1" x14ac:dyDescent="0.2">
      <c r="B45" s="1353" t="s">
        <v>1741</v>
      </c>
      <c r="C45" s="1349"/>
      <c r="D45" s="1350"/>
      <c r="E45" s="1281"/>
      <c r="F45" s="1281"/>
      <c r="G45" s="1281"/>
      <c r="H45" s="1281"/>
      <c r="I45" s="1281"/>
      <c r="J45" s="1281"/>
      <c r="K45" s="1351"/>
      <c r="L45" s="1351"/>
      <c r="M45" s="1281"/>
    </row>
    <row r="46" spans="2:13" ht="11.25" customHeight="1" x14ac:dyDescent="0.2">
      <c r="B46" s="1281" t="s">
        <v>1586</v>
      </c>
      <c r="G46" s="317"/>
      <c r="H46" s="317"/>
      <c r="I46" s="317"/>
      <c r="J46" s="317"/>
    </row>
    <row r="47" spans="2:13" ht="11.1" customHeight="1" x14ac:dyDescent="0.2">
      <c r="B47" s="1281"/>
      <c r="G47" s="317"/>
      <c r="H47" s="317"/>
      <c r="I47" s="317"/>
      <c r="J47" s="317"/>
    </row>
    <row r="48" spans="2:13" ht="11.1" customHeight="1" x14ac:dyDescent="0.2">
      <c r="B48" s="1281"/>
      <c r="G48" s="317"/>
      <c r="H48" s="317"/>
      <c r="I48" s="317"/>
      <c r="J48" s="317"/>
    </row>
    <row r="49" spans="7:13" ht="13.5" customHeight="1" x14ac:dyDescent="0.2">
      <c r="M49" s="1354"/>
    </row>
    <row r="50" spans="7:13" ht="13.5" customHeight="1" x14ac:dyDescent="0.2">
      <c r="M50" s="1354"/>
    </row>
    <row r="51" spans="7:13" ht="13.5" customHeight="1" x14ac:dyDescent="0.2">
      <c r="M51" s="1354"/>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52"/>
  <sheetViews>
    <sheetView showGridLines="0" topLeftCell="A22"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39" customWidth="1"/>
    <col min="4" max="4" width="16.7109375" style="1239" customWidth="1"/>
    <col min="5" max="5" width="7.5703125" style="317" customWidth="1"/>
    <col min="6" max="6" width="2.7109375" style="317" customWidth="1"/>
    <col min="7" max="7" width="3.28515625" style="317" customWidth="1"/>
    <col min="8" max="16384" width="8" style="317"/>
  </cols>
  <sheetData>
    <row r="1" spans="1:7" ht="13.5" customHeight="1" x14ac:dyDescent="0.2">
      <c r="A1" s="2505" t="str">
        <f>'Single Audit Cover'!A7</f>
        <v>Saunemin CCSD 438</v>
      </c>
      <c r="B1" s="2505"/>
      <c r="C1" s="2505"/>
      <c r="D1" s="2505"/>
      <c r="E1" s="2505"/>
      <c r="F1" s="2505"/>
    </row>
    <row r="2" spans="1:7" ht="13.5" customHeight="1" x14ac:dyDescent="0.2">
      <c r="A2" s="2501">
        <f>'Single Audit Cover'!E7</f>
        <v>17053438004</v>
      </c>
      <c r="B2" s="2501"/>
      <c r="C2" s="2501"/>
      <c r="D2" s="2501"/>
      <c r="E2" s="2501"/>
      <c r="F2" s="2501"/>
      <c r="G2" s="1256"/>
    </row>
    <row r="3" spans="1:7" ht="15.75" customHeight="1" x14ac:dyDescent="0.2">
      <c r="A3" s="2506" t="s">
        <v>1271</v>
      </c>
      <c r="B3" s="2506"/>
      <c r="C3" s="2506"/>
      <c r="D3" s="2506"/>
      <c r="E3" s="2506"/>
      <c r="F3" s="2506"/>
    </row>
    <row r="4" spans="1:7" ht="13.5" customHeight="1" x14ac:dyDescent="0.2">
      <c r="A4" s="2507" t="str">
        <f>'Single Audit Cover'!A4</f>
        <v>Year Ending June 30, 2019</v>
      </c>
      <c r="B4" s="2507"/>
      <c r="C4" s="2507"/>
      <c r="D4" s="2507"/>
      <c r="E4" s="2507"/>
      <c r="F4" s="2507"/>
    </row>
    <row r="5" spans="1:7" ht="8.25" customHeight="1" x14ac:dyDescent="0.2">
      <c r="C5" s="317"/>
      <c r="D5" s="317"/>
    </row>
    <row r="6" spans="1:7" ht="13.5" customHeight="1" x14ac:dyDescent="0.2">
      <c r="A6" s="1257" t="s">
        <v>1728</v>
      </c>
      <c r="C6" s="317"/>
      <c r="D6" s="317"/>
    </row>
    <row r="7" spans="1:7" ht="60.95" customHeight="1" x14ac:dyDescent="0.2">
      <c r="A7" s="2504" t="s">
        <v>1729</v>
      </c>
      <c r="B7" s="2504"/>
      <c r="C7" s="2504"/>
      <c r="D7" s="2504"/>
      <c r="E7" s="2504"/>
      <c r="F7" s="2504"/>
    </row>
    <row r="8" spans="1:7" ht="12" customHeight="1" x14ac:dyDescent="0.2">
      <c r="A8" s="1257"/>
      <c r="B8" s="1263"/>
      <c r="C8" s="1263"/>
      <c r="D8" s="1263"/>
    </row>
    <row r="9" spans="1:7" ht="15" customHeight="1" x14ac:dyDescent="0.2">
      <c r="A9" s="1258" t="s">
        <v>1730</v>
      </c>
      <c r="B9" s="1261"/>
      <c r="C9" s="1261"/>
      <c r="D9" s="1261"/>
      <c r="E9" s="1259"/>
      <c r="F9" s="1259"/>
      <c r="G9" s="1259"/>
    </row>
    <row r="10" spans="1:7" ht="15" customHeight="1" x14ac:dyDescent="0.2">
      <c r="A10" s="1260" t="s">
        <v>1547</v>
      </c>
      <c r="B10" s="1261"/>
      <c r="C10" s="1262"/>
      <c r="D10" s="1261" t="s">
        <v>1548</v>
      </c>
      <c r="E10" s="1262"/>
      <c r="F10" s="1261" t="s">
        <v>99</v>
      </c>
      <c r="G10" s="1259"/>
    </row>
    <row r="11" spans="1:7" ht="12" customHeight="1" x14ac:dyDescent="0.2">
      <c r="A11" s="1260"/>
      <c r="B11" s="1261"/>
      <c r="C11" s="1885"/>
      <c r="D11" s="1261"/>
      <c r="E11" s="1885"/>
      <c r="F11" s="1261"/>
      <c r="G11" s="1259"/>
    </row>
    <row r="12" spans="1:7" x14ac:dyDescent="0.2">
      <c r="A12" s="1257" t="s">
        <v>1587</v>
      </c>
      <c r="C12" s="1241"/>
      <c r="D12" s="1241"/>
    </row>
    <row r="13" spans="1:7" ht="15" customHeight="1" x14ac:dyDescent="0.2">
      <c r="A13" s="2504" t="s">
        <v>1731</v>
      </c>
      <c r="B13" s="2504"/>
      <c r="C13" s="2504"/>
      <c r="D13" s="2504"/>
      <c r="E13" s="2504"/>
      <c r="F13" s="2504"/>
    </row>
    <row r="14" spans="1:7" ht="9.75" customHeight="1" x14ac:dyDescent="0.2">
      <c r="C14" s="1241"/>
      <c r="D14" s="1241"/>
    </row>
    <row r="15" spans="1:7" ht="13.5" customHeight="1" x14ac:dyDescent="0.2">
      <c r="C15" s="1829" t="s">
        <v>1270</v>
      </c>
      <c r="D15" s="2509" t="s">
        <v>1269</v>
      </c>
      <c r="E15" s="2509"/>
      <c r="F15" s="2509"/>
    </row>
    <row r="16" spans="1:7" ht="13.5" customHeight="1" x14ac:dyDescent="0.2">
      <c r="A16" s="1263"/>
      <c r="B16" s="1257" t="s">
        <v>1268</v>
      </c>
      <c r="C16" s="1829" t="s">
        <v>1267</v>
      </c>
      <c r="D16" s="2510" t="s">
        <v>1588</v>
      </c>
      <c r="E16" s="2510"/>
      <c r="F16" s="2510"/>
    </row>
    <row r="17" spans="1:6" ht="20.45" customHeight="1" x14ac:dyDescent="0.2">
      <c r="A17" s="1264"/>
      <c r="B17" s="1265"/>
      <c r="C17" s="1266"/>
      <c r="D17" s="2508"/>
      <c r="E17" s="2508"/>
      <c r="F17" s="2508"/>
    </row>
    <row r="18" spans="1:6" ht="20.65" customHeight="1" x14ac:dyDescent="0.2">
      <c r="A18" s="1264"/>
      <c r="B18" s="1265"/>
      <c r="C18" s="1266"/>
      <c r="D18" s="2508"/>
      <c r="E18" s="2508"/>
      <c r="F18" s="2508"/>
    </row>
    <row r="19" spans="1:6" ht="20.65" customHeight="1" x14ac:dyDescent="0.2">
      <c r="A19" s="1264"/>
      <c r="B19" s="1265"/>
      <c r="C19" s="1266"/>
      <c r="D19" s="2508"/>
      <c r="E19" s="2508"/>
      <c r="F19" s="2508"/>
    </row>
    <row r="20" spans="1:6" ht="20.65" customHeight="1" x14ac:dyDescent="0.2">
      <c r="A20" s="1264"/>
      <c r="B20" s="1265"/>
      <c r="C20" s="1266"/>
      <c r="D20" s="2508"/>
      <c r="E20" s="2508"/>
      <c r="F20" s="2508"/>
    </row>
    <row r="21" spans="1:6" ht="20.65" customHeight="1" x14ac:dyDescent="0.2">
      <c r="A21" s="1264"/>
      <c r="B21" s="1265"/>
      <c r="C21" s="1266"/>
      <c r="D21" s="2508"/>
      <c r="E21" s="2508"/>
      <c r="F21" s="2508"/>
    </row>
    <row r="22" spans="1:6" ht="20.65" customHeight="1" x14ac:dyDescent="0.2">
      <c r="A22" s="1264"/>
      <c r="B22" s="1265"/>
      <c r="C22" s="1266"/>
      <c r="D22" s="2508"/>
      <c r="E22" s="2508"/>
      <c r="F22" s="2508"/>
    </row>
    <row r="23" spans="1:6" ht="20.65" customHeight="1" x14ac:dyDescent="0.2">
      <c r="A23" s="1264"/>
      <c r="B23" s="1265"/>
      <c r="C23" s="1266"/>
      <c r="D23" s="2508"/>
      <c r="E23" s="2508"/>
      <c r="F23" s="2508"/>
    </row>
    <row r="24" spans="1:6" ht="20.65" customHeight="1" x14ac:dyDescent="0.2">
      <c r="A24" s="1264"/>
      <c r="B24" s="1265"/>
      <c r="C24" s="1266"/>
      <c r="D24" s="2508"/>
      <c r="E24" s="2508"/>
      <c r="F24" s="2508"/>
    </row>
    <row r="25" spans="1:6" ht="20.65" customHeight="1" x14ac:dyDescent="0.2">
      <c r="A25" s="1264"/>
      <c r="B25" s="1265"/>
      <c r="C25" s="1266"/>
      <c r="D25" s="2508"/>
      <c r="E25" s="2508"/>
      <c r="F25" s="2508"/>
    </row>
    <row r="26" spans="1:6" ht="20.65" customHeight="1" x14ac:dyDescent="0.2">
      <c r="A26" s="1264"/>
      <c r="B26" s="1265"/>
      <c r="C26" s="1266"/>
      <c r="D26" s="2508"/>
      <c r="E26" s="2508"/>
      <c r="F26" s="2508"/>
    </row>
    <row r="27" spans="1:6" ht="20.65" customHeight="1" x14ac:dyDescent="0.2">
      <c r="A27" s="1264"/>
      <c r="B27" s="1265"/>
      <c r="C27" s="1266"/>
      <c r="D27" s="2508"/>
      <c r="E27" s="2508"/>
      <c r="F27" s="2508"/>
    </row>
    <row r="28" spans="1:6" ht="20.65" customHeight="1" x14ac:dyDescent="0.2">
      <c r="A28" s="1264"/>
      <c r="B28" s="1265"/>
      <c r="C28" s="1266"/>
      <c r="D28" s="2508"/>
      <c r="E28" s="2508"/>
      <c r="F28" s="2508"/>
    </row>
    <row r="29" spans="1:6" ht="20.65" customHeight="1" x14ac:dyDescent="0.2">
      <c r="A29" s="1264"/>
      <c r="B29" s="1265"/>
      <c r="C29" s="1266"/>
      <c r="D29" s="2508"/>
      <c r="E29" s="2508"/>
      <c r="F29" s="2508"/>
    </row>
    <row r="30" spans="1:6" ht="12" customHeight="1" x14ac:dyDescent="0.2">
      <c r="A30" s="328"/>
      <c r="B30" s="328"/>
      <c r="C30" s="1445"/>
      <c r="D30" s="1886"/>
      <c r="E30" s="1267"/>
    </row>
    <row r="31" spans="1:6" ht="12" customHeight="1" x14ac:dyDescent="0.2">
      <c r="A31" s="1268" t="s">
        <v>1549</v>
      </c>
      <c r="B31" s="328"/>
      <c r="C31" s="1445"/>
      <c r="D31" s="1886"/>
      <c r="E31" s="1267"/>
    </row>
    <row r="32" spans="1:6" ht="30" customHeight="1" x14ac:dyDescent="0.2">
      <c r="A32" s="2512" t="s">
        <v>1732</v>
      </c>
      <c r="B32" s="2512"/>
      <c r="C32" s="2512"/>
      <c r="D32" s="2512"/>
      <c r="E32" s="2512"/>
      <c r="F32" s="2512"/>
    </row>
    <row r="33" spans="1:6" ht="13.5" customHeight="1" x14ac:dyDescent="0.2">
      <c r="A33" s="328" t="s">
        <v>1434</v>
      </c>
      <c r="B33" s="328"/>
      <c r="C33" s="1269">
        <v>0</v>
      </c>
      <c r="D33" s="1886"/>
      <c r="E33" s="1267"/>
    </row>
    <row r="34" spans="1:6" ht="13.5" customHeight="1" x14ac:dyDescent="0.2">
      <c r="A34" s="328" t="s">
        <v>1837</v>
      </c>
      <c r="B34" s="328"/>
      <c r="C34" s="1270">
        <v>0</v>
      </c>
      <c r="D34" s="1886" t="s">
        <v>1589</v>
      </c>
      <c r="E34" s="2513">
        <f>+C33+C34</f>
        <v>0</v>
      </c>
      <c r="F34" s="2514"/>
    </row>
    <row r="35" spans="1:6" ht="12" customHeight="1" x14ac:dyDescent="0.2">
      <c r="A35" s="328"/>
      <c r="B35" s="328"/>
      <c r="C35" s="1887"/>
      <c r="D35" s="1886"/>
      <c r="E35" s="1271"/>
      <c r="F35" s="1272"/>
    </row>
    <row r="36" spans="1:6" ht="13.5" customHeight="1" x14ac:dyDescent="0.2">
      <c r="A36" s="1268" t="s">
        <v>1550</v>
      </c>
      <c r="B36" s="328"/>
      <c r="C36" s="1445"/>
      <c r="D36" s="1886"/>
      <c r="E36" s="1267"/>
    </row>
    <row r="37" spans="1:6" ht="14.25" customHeight="1" x14ac:dyDescent="0.2">
      <c r="A37" s="328" t="s">
        <v>1484</v>
      </c>
      <c r="B37" s="328"/>
      <c r="C37" s="1888"/>
      <c r="D37" s="1886"/>
      <c r="E37" s="1267"/>
    </row>
    <row r="38" spans="1:6" ht="14.25" customHeight="1" x14ac:dyDescent="0.2">
      <c r="A38" s="328"/>
      <c r="B38" s="328" t="s">
        <v>1435</v>
      </c>
      <c r="C38" s="1273"/>
      <c r="D38" s="1886"/>
      <c r="E38" s="1267"/>
    </row>
    <row r="39" spans="1:6" ht="14.25" customHeight="1" x14ac:dyDescent="0.2">
      <c r="A39" s="328"/>
      <c r="B39" s="328" t="s">
        <v>1436</v>
      </c>
      <c r="C39" s="1273"/>
      <c r="D39" s="1886"/>
      <c r="E39" s="1267"/>
    </row>
    <row r="40" spans="1:6" ht="14.25" customHeight="1" x14ac:dyDescent="0.2">
      <c r="A40" s="328"/>
      <c r="B40" s="328" t="s">
        <v>1437</v>
      </c>
      <c r="C40" s="1273"/>
      <c r="D40" s="1886"/>
      <c r="E40" s="1267"/>
    </row>
    <row r="41" spans="1:6" ht="14.25" customHeight="1" x14ac:dyDescent="0.2">
      <c r="A41" s="328"/>
      <c r="B41" s="328" t="s">
        <v>1438</v>
      </c>
      <c r="C41" s="1273"/>
      <c r="D41" s="1886"/>
      <c r="E41" s="1267"/>
    </row>
    <row r="42" spans="1:6" ht="14.25" customHeight="1" x14ac:dyDescent="0.2">
      <c r="A42" s="328" t="s">
        <v>1439</v>
      </c>
      <c r="B42" s="328"/>
      <c r="C42" s="1884"/>
      <c r="D42" s="1886"/>
      <c r="E42" s="1267"/>
    </row>
    <row r="43" spans="1:6" ht="14.25" customHeight="1" x14ac:dyDescent="0.2">
      <c r="A43" s="328" t="s">
        <v>1440</v>
      </c>
      <c r="B43" s="328"/>
      <c r="C43" s="1274"/>
      <c r="D43" s="1886"/>
      <c r="E43" s="1267"/>
    </row>
    <row r="44" spans="1:6" ht="14.25" customHeight="1" x14ac:dyDescent="0.2">
      <c r="A44" s="328"/>
      <c r="B44" s="328"/>
      <c r="C44" s="1888" t="s">
        <v>1441</v>
      </c>
      <c r="D44" s="1886"/>
      <c r="E44" s="1267"/>
    </row>
    <row r="45" spans="1:6" ht="13.5" customHeight="1" x14ac:dyDescent="0.2">
      <c r="B45" s="322"/>
      <c r="C45" s="1275"/>
      <c r="D45" s="1275"/>
    </row>
    <row r="46" spans="1:6" x14ac:dyDescent="0.2">
      <c r="A46" s="1276" t="s">
        <v>1733</v>
      </c>
      <c r="C46" s="317"/>
      <c r="D46" s="317"/>
    </row>
    <row r="47" spans="1:6" s="322" customFormat="1" ht="11.25" customHeight="1" x14ac:dyDescent="0.2">
      <c r="A47" s="1277"/>
      <c r="B47" s="1278"/>
      <c r="C47" s="1278"/>
      <c r="D47" s="1278"/>
      <c r="E47" s="1278"/>
      <c r="F47" s="1278"/>
    </row>
    <row r="48" spans="1:6" s="322" customFormat="1" ht="6" customHeight="1" x14ac:dyDescent="0.2">
      <c r="A48" s="1279"/>
    </row>
    <row r="49" spans="1:5" s="1281" customFormat="1" ht="23.25" customHeight="1" x14ac:dyDescent="0.2">
      <c r="A49" s="1280">
        <v>5</v>
      </c>
      <c r="B49" s="2515" t="s">
        <v>1590</v>
      </c>
      <c r="C49" s="2515"/>
      <c r="D49" s="2515"/>
      <c r="E49" s="1380"/>
    </row>
    <row r="50" spans="1:5" s="1281" customFormat="1" ht="3.75" customHeight="1" x14ac:dyDescent="0.2">
      <c r="A50" s="1280"/>
      <c r="B50" s="1828"/>
      <c r="C50" s="1828"/>
      <c r="D50" s="1828"/>
      <c r="E50" s="1380"/>
    </row>
    <row r="51" spans="1:5" s="1281" customFormat="1" ht="20.25" customHeight="1" x14ac:dyDescent="0.2">
      <c r="A51" s="1282">
        <v>6</v>
      </c>
      <c r="B51" s="2511" t="s">
        <v>1551</v>
      </c>
      <c r="C51" s="2511"/>
      <c r="D51" s="2511"/>
    </row>
    <row r="52" spans="1:5" ht="14.25" customHeight="1" x14ac:dyDescent="0.2">
      <c r="A52" s="1282"/>
      <c r="B52" s="2511"/>
      <c r="C52" s="2511"/>
      <c r="D52" s="2511"/>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3"/>
  <sheetViews>
    <sheetView showGridLines="0" zoomScale="110" zoomScaleNormal="110" workbookViewId="0">
      <selection activeCell="H20" sqref="H20"/>
    </sheetView>
  </sheetViews>
  <sheetFormatPr defaultColWidth="9.140625" defaultRowHeight="12.75" x14ac:dyDescent="0.2"/>
  <cols>
    <col min="1" max="1" width="1.42578125" style="1281" customWidth="1"/>
    <col min="2" max="2" width="24.42578125" style="1338" customWidth="1"/>
    <col min="3" max="3" width="29.5703125" style="317" customWidth="1"/>
    <col min="4" max="4" width="9.28515625" style="317" customWidth="1"/>
    <col min="5" max="5" width="5.28515625" style="1239"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20" t="str">
        <f>'Single Audit Cover'!A7</f>
        <v>Saunemin CCSD 438</v>
      </c>
      <c r="C1" s="2521"/>
      <c r="D1" s="2521"/>
      <c r="E1" s="2521"/>
      <c r="F1" s="2521"/>
      <c r="G1" s="2521"/>
      <c r="H1" s="2521"/>
      <c r="I1" s="2521"/>
      <c r="J1" s="1389"/>
    </row>
    <row r="2" spans="2:10" s="317" customFormat="1" ht="12.75" customHeight="1" x14ac:dyDescent="0.2">
      <c r="B2" s="2522">
        <f>'Single Audit Cover'!E7</f>
        <v>17053438004</v>
      </c>
      <c r="C2" s="2523"/>
      <c r="D2" s="2523"/>
      <c r="E2" s="2523"/>
      <c r="F2" s="2523"/>
      <c r="G2" s="2523"/>
      <c r="H2" s="2523"/>
      <c r="I2" s="2523"/>
      <c r="J2" s="1389"/>
    </row>
    <row r="3" spans="2:10" s="317" customFormat="1" ht="12.75" customHeight="1" x14ac:dyDescent="0.2">
      <c r="B3" s="2524" t="s">
        <v>1285</v>
      </c>
      <c r="C3" s="2525"/>
      <c r="D3" s="2525"/>
      <c r="E3" s="2525"/>
      <c r="F3" s="2525"/>
      <c r="G3" s="2525"/>
      <c r="H3" s="2525"/>
      <c r="I3" s="2525"/>
      <c r="J3" s="1390"/>
    </row>
    <row r="4" spans="2:10" s="317" customFormat="1" ht="12.75" customHeight="1" x14ac:dyDescent="0.2">
      <c r="B4" s="2524" t="str">
        <f>'Single Audit Cover'!A4</f>
        <v>Year Ending June 30, 2019</v>
      </c>
      <c r="C4" s="2525"/>
      <c r="D4" s="2525"/>
      <c r="E4" s="2525"/>
      <c r="F4" s="2525"/>
      <c r="G4" s="2525"/>
      <c r="H4" s="2525"/>
      <c r="I4" s="2525"/>
    </row>
    <row r="5" spans="2:10" s="317" customFormat="1" ht="6.2" customHeight="1" x14ac:dyDescent="0.2">
      <c r="B5" s="1391" t="s">
        <v>1169</v>
      </c>
      <c r="C5" s="1275"/>
      <c r="D5" s="1275"/>
      <c r="E5" s="1364"/>
      <c r="F5" s="322"/>
      <c r="G5" s="322"/>
      <c r="H5" s="322"/>
      <c r="I5" s="322"/>
    </row>
    <row r="6" spans="2:10" s="317" customFormat="1" ht="6.2" customHeight="1" x14ac:dyDescent="0.2">
      <c r="B6" s="1392"/>
      <c r="C6" s="1360"/>
      <c r="D6" s="1360"/>
      <c r="E6" s="1361"/>
      <c r="F6" s="1360"/>
      <c r="G6" s="1360"/>
      <c r="H6" s="1360"/>
      <c r="I6" s="1360"/>
    </row>
    <row r="7" spans="2:10" s="317" customFormat="1" ht="13.5" customHeight="1" x14ac:dyDescent="0.2">
      <c r="B7" s="2524" t="s">
        <v>1284</v>
      </c>
      <c r="C7" s="2525"/>
      <c r="D7" s="2525"/>
      <c r="E7" s="2525"/>
      <c r="F7" s="2525"/>
      <c r="G7" s="2525"/>
      <c r="H7" s="2525"/>
      <c r="I7" s="2525"/>
    </row>
    <row r="8" spans="2:10" s="317" customFormat="1" ht="6.2" customHeight="1" x14ac:dyDescent="0.2">
      <c r="B8" s="1393" t="s">
        <v>1169</v>
      </c>
      <c r="C8" s="1394"/>
      <c r="D8" s="1394"/>
      <c r="E8" s="1395"/>
      <c r="F8" s="1394"/>
      <c r="G8" s="1394"/>
      <c r="H8" s="1394"/>
      <c r="I8" s="1394"/>
    </row>
    <row r="9" spans="2:10" s="317" customFormat="1" ht="9" customHeight="1" x14ac:dyDescent="0.2">
      <c r="B9" s="1396"/>
      <c r="C9" s="322"/>
      <c r="D9" s="322"/>
      <c r="E9" s="1364"/>
      <c r="F9" s="322"/>
      <c r="G9" s="322"/>
      <c r="H9" s="322"/>
      <c r="I9" s="322"/>
    </row>
    <row r="10" spans="2:10" s="317" customFormat="1" ht="12.75" customHeight="1" x14ac:dyDescent="0.2">
      <c r="B10" s="1397" t="s">
        <v>1283</v>
      </c>
      <c r="C10" s="1398"/>
      <c r="D10" s="1398"/>
      <c r="E10" s="1239"/>
    </row>
    <row r="11" spans="2:10" s="317" customFormat="1" ht="13.5" customHeight="1" x14ac:dyDescent="0.2">
      <c r="B11" s="1330" t="s">
        <v>1282</v>
      </c>
      <c r="C11" s="2526"/>
      <c r="D11" s="2526"/>
      <c r="E11" s="1399"/>
      <c r="F11" s="1399"/>
      <c r="G11" s="1399"/>
    </row>
    <row r="12" spans="2:10" s="317" customFormat="1" ht="11.45" customHeight="1" x14ac:dyDescent="0.2">
      <c r="B12" s="1338"/>
      <c r="C12" s="1400" t="s">
        <v>1442</v>
      </c>
      <c r="D12" s="1401"/>
      <c r="E12" s="1239"/>
    </row>
    <row r="13" spans="2:10" s="317" customFormat="1" ht="12.75" customHeight="1" x14ac:dyDescent="0.2">
      <c r="B13" s="1402"/>
      <c r="C13" s="1368"/>
      <c r="D13" s="1368"/>
      <c r="E13" s="1239"/>
    </row>
    <row r="14" spans="2:10" s="317" customFormat="1" ht="12.75" customHeight="1" x14ac:dyDescent="0.2">
      <c r="B14" s="1349" t="s">
        <v>1281</v>
      </c>
      <c r="C14" s="1263"/>
      <c r="E14" s="1239"/>
    </row>
    <row r="15" spans="2:10" s="317" customFormat="1" ht="13.5" customHeight="1" x14ac:dyDescent="0.2">
      <c r="B15" s="1403" t="s">
        <v>1278</v>
      </c>
      <c r="C15" s="1404"/>
      <c r="D15" s="1379"/>
      <c r="E15" s="1405"/>
      <c r="F15" s="1281" t="s">
        <v>885</v>
      </c>
      <c r="G15" s="1405"/>
      <c r="H15" s="1281" t="s">
        <v>1276</v>
      </c>
      <c r="I15" s="1281"/>
    </row>
    <row r="16" spans="2:10" s="317" customFormat="1" ht="8.4499999999999993" customHeight="1" x14ac:dyDescent="0.2">
      <c r="B16" s="1349"/>
      <c r="C16" s="1263"/>
      <c r="E16" s="1364"/>
      <c r="F16" s="1281"/>
      <c r="G16" s="322"/>
      <c r="H16" s="1281"/>
      <c r="I16" s="1281"/>
    </row>
    <row r="17" spans="2:9" s="317" customFormat="1" ht="13.5" customHeight="1" x14ac:dyDescent="0.2">
      <c r="B17" s="1403" t="s">
        <v>1277</v>
      </c>
      <c r="C17" s="1404"/>
      <c r="D17" s="1379"/>
      <c r="E17" s="1406"/>
      <c r="F17" s="1238"/>
      <c r="G17" s="1406"/>
      <c r="H17" s="1281"/>
      <c r="I17" s="1281"/>
    </row>
    <row r="18" spans="2:9" s="317" customFormat="1" ht="12.75" customHeight="1" x14ac:dyDescent="0.2">
      <c r="B18" s="1403" t="s">
        <v>1443</v>
      </c>
      <c r="C18" s="1404"/>
      <c r="D18" s="1379"/>
      <c r="E18" s="1405"/>
      <c r="F18" s="1281" t="s">
        <v>885</v>
      </c>
      <c r="G18" s="1405"/>
      <c r="H18" s="1281" t="s">
        <v>1276</v>
      </c>
      <c r="I18" s="1281"/>
    </row>
    <row r="19" spans="2:9" s="317" customFormat="1" ht="8.4499999999999993" customHeight="1" x14ac:dyDescent="0.2">
      <c r="B19" s="1349"/>
      <c r="C19" s="1263"/>
      <c r="E19" s="1364"/>
      <c r="F19" s="1281"/>
      <c r="G19" s="322"/>
      <c r="H19" s="1281"/>
      <c r="I19" s="1281"/>
    </row>
    <row r="20" spans="2:9" s="317" customFormat="1" ht="13.5" customHeight="1" x14ac:dyDescent="0.2">
      <c r="B20" s="1403" t="s">
        <v>1591</v>
      </c>
      <c r="C20" s="1404"/>
      <c r="D20" s="1379"/>
      <c r="E20" s="1405"/>
      <c r="F20" s="1281" t="s">
        <v>885</v>
      </c>
      <c r="G20" s="1405"/>
      <c r="H20" s="1281" t="s">
        <v>99</v>
      </c>
      <c r="I20" s="1281"/>
    </row>
    <row r="21" spans="2:9" s="317" customFormat="1" ht="12.75" customHeight="1" x14ac:dyDescent="0.2">
      <c r="B21" s="1349"/>
      <c r="C21" s="1263"/>
      <c r="E21" s="1364"/>
      <c r="F21" s="1281"/>
      <c r="G21" s="322"/>
      <c r="H21" s="1281"/>
      <c r="I21" s="1281"/>
    </row>
    <row r="22" spans="2:9" s="317" customFormat="1" ht="12.75" customHeight="1" x14ac:dyDescent="0.2">
      <c r="B22" s="1397" t="s">
        <v>1280</v>
      </c>
      <c r="C22" s="1407"/>
      <c r="D22" s="1398"/>
      <c r="E22" s="1364"/>
      <c r="F22" s="1281"/>
      <c r="G22" s="322"/>
      <c r="H22" s="1281"/>
      <c r="I22" s="1281"/>
    </row>
    <row r="23" spans="2:9" s="317" customFormat="1" ht="12.75" customHeight="1" x14ac:dyDescent="0.2">
      <c r="B23" s="1349" t="s">
        <v>1279</v>
      </c>
      <c r="C23" s="1263"/>
      <c r="E23" s="1364"/>
      <c r="F23" s="1281"/>
      <c r="G23" s="322"/>
      <c r="H23" s="1281"/>
      <c r="I23" s="1281"/>
    </row>
    <row r="24" spans="2:9" s="317" customFormat="1" ht="13.5" customHeight="1" x14ac:dyDescent="0.2">
      <c r="B24" s="1403" t="s">
        <v>1278</v>
      </c>
      <c r="C24" s="1404"/>
      <c r="D24" s="1379"/>
      <c r="E24" s="1405"/>
      <c r="F24" s="1281" t="s">
        <v>885</v>
      </c>
      <c r="G24" s="1405"/>
      <c r="H24" s="1281" t="s">
        <v>1276</v>
      </c>
      <c r="I24" s="1281"/>
    </row>
    <row r="25" spans="2:9" s="317" customFormat="1" ht="8.4499999999999993" customHeight="1" x14ac:dyDescent="0.2">
      <c r="B25" s="1349"/>
      <c r="C25" s="1263"/>
      <c r="E25" s="1364"/>
      <c r="F25" s="1281"/>
      <c r="G25" s="322"/>
      <c r="H25" s="1281"/>
      <c r="I25" s="1281"/>
    </row>
    <row r="26" spans="2:9" s="317" customFormat="1" ht="13.5" customHeight="1" x14ac:dyDescent="0.2">
      <c r="B26" s="1403" t="s">
        <v>1277</v>
      </c>
      <c r="C26" s="1404"/>
      <c r="D26" s="1379"/>
      <c r="E26" s="1406"/>
      <c r="F26" s="1238"/>
      <c r="G26" s="1406"/>
      <c r="H26" s="1281"/>
      <c r="I26" s="1281"/>
    </row>
    <row r="27" spans="2:9" s="317" customFormat="1" ht="12.75" customHeight="1" x14ac:dyDescent="0.2">
      <c r="B27" s="1403" t="s">
        <v>1443</v>
      </c>
      <c r="C27" s="1404"/>
      <c r="D27" s="1379"/>
      <c r="E27" s="1405"/>
      <c r="F27" s="1281" t="s">
        <v>885</v>
      </c>
      <c r="G27" s="1405"/>
      <c r="H27" s="1281" t="s">
        <v>1276</v>
      </c>
      <c r="I27" s="1281"/>
    </row>
    <row r="28" spans="2:9" s="317" customFormat="1" ht="12.75" customHeight="1" x14ac:dyDescent="0.2">
      <c r="B28" s="1349"/>
      <c r="C28" s="1263"/>
      <c r="E28" s="1239"/>
    </row>
    <row r="29" spans="2:9" s="317" customFormat="1" ht="12.75" customHeight="1" x14ac:dyDescent="0.2">
      <c r="B29" s="1349" t="s">
        <v>1275</v>
      </c>
      <c r="C29" s="1263"/>
      <c r="D29" s="2527"/>
      <c r="E29" s="2527"/>
      <c r="F29" s="2527"/>
      <c r="G29" s="2527"/>
      <c r="H29" s="2527"/>
      <c r="I29" s="2527"/>
    </row>
    <row r="30" spans="2:9" s="317" customFormat="1" x14ac:dyDescent="0.2">
      <c r="B30" s="1349"/>
      <c r="C30" s="322"/>
      <c r="D30" s="1400" t="s">
        <v>1747</v>
      </c>
      <c r="E30" s="1401"/>
      <c r="F30" s="1401"/>
      <c r="G30" s="1401"/>
      <c r="H30" s="1401"/>
      <c r="I30" s="1401"/>
    </row>
    <row r="31" spans="2:9" s="317" customFormat="1" ht="9.9499999999999993" customHeight="1" x14ac:dyDescent="0.2">
      <c r="B31" s="1349"/>
      <c r="E31" s="1239"/>
    </row>
    <row r="32" spans="2:9" s="317" customFormat="1" x14ac:dyDescent="0.2">
      <c r="B32" s="1349" t="s">
        <v>1274</v>
      </c>
      <c r="C32" s="1263"/>
      <c r="E32" s="1239"/>
    </row>
    <row r="33" spans="2:9" ht="13.5" customHeight="1" x14ac:dyDescent="0.2">
      <c r="B33" s="1349" t="s">
        <v>1552</v>
      </c>
      <c r="C33" s="1263"/>
      <c r="E33" s="1405"/>
      <c r="F33" s="1281" t="s">
        <v>885</v>
      </c>
      <c r="G33" s="1405"/>
      <c r="H33" s="1281" t="s">
        <v>99</v>
      </c>
    </row>
    <row r="35" spans="2:9" x14ac:dyDescent="0.2">
      <c r="B35" s="1408" t="s">
        <v>1748</v>
      </c>
      <c r="C35" s="1409"/>
      <c r="D35" s="1248"/>
    </row>
    <row r="36" spans="2:9" ht="6" customHeight="1" x14ac:dyDescent="0.2">
      <c r="B36" s="1408"/>
      <c r="C36" s="1409"/>
      <c r="D36" s="1248"/>
    </row>
    <row r="37" spans="2:9" ht="17.25" customHeight="1" x14ac:dyDescent="0.2">
      <c r="B37" s="1410" t="s">
        <v>1749</v>
      </c>
      <c r="C37" s="2528" t="s">
        <v>1750</v>
      </c>
      <c r="D37" s="2529"/>
      <c r="E37" s="2529"/>
      <c r="F37" s="2530"/>
      <c r="G37" s="2528" t="s">
        <v>1592</v>
      </c>
      <c r="H37" s="2529"/>
      <c r="I37" s="2530"/>
    </row>
    <row r="38" spans="2:9" ht="16.5" customHeight="1" x14ac:dyDescent="0.2">
      <c r="B38" s="1411"/>
      <c r="C38" s="2516"/>
      <c r="D38" s="2517"/>
      <c r="E38" s="2517"/>
      <c r="F38" s="2518"/>
      <c r="G38" s="2531"/>
      <c r="H38" s="2532"/>
      <c r="I38" s="2533"/>
    </row>
    <row r="39" spans="2:9" ht="16.5" customHeight="1" x14ac:dyDescent="0.2">
      <c r="B39" s="1411"/>
      <c r="C39" s="2516"/>
      <c r="D39" s="2517"/>
      <c r="E39" s="2517"/>
      <c r="F39" s="2518"/>
      <c r="G39" s="2519"/>
      <c r="H39" s="2519"/>
      <c r="I39" s="2519"/>
    </row>
    <row r="40" spans="2:9" ht="16.5" customHeight="1" x14ac:dyDescent="0.2">
      <c r="B40" s="1411"/>
      <c r="C40" s="2516"/>
      <c r="D40" s="2517"/>
      <c r="E40" s="2517"/>
      <c r="F40" s="2518"/>
      <c r="G40" s="2519"/>
      <c r="H40" s="2519"/>
      <c r="I40" s="2519"/>
    </row>
    <row r="41" spans="2:9" ht="16.5" customHeight="1" x14ac:dyDescent="0.2">
      <c r="B41" s="1411"/>
      <c r="C41" s="2516"/>
      <c r="D41" s="2517"/>
      <c r="E41" s="2517"/>
      <c r="F41" s="2518"/>
      <c r="G41" s="2519"/>
      <c r="H41" s="2519"/>
      <c r="I41" s="2519"/>
    </row>
    <row r="42" spans="2:9" ht="16.5" customHeight="1" x14ac:dyDescent="0.2">
      <c r="B42" s="1411"/>
      <c r="C42" s="2516"/>
      <c r="D42" s="2517"/>
      <c r="E42" s="2517"/>
      <c r="F42" s="2518"/>
      <c r="G42" s="2519"/>
      <c r="H42" s="2519"/>
      <c r="I42" s="2519"/>
    </row>
    <row r="43" spans="2:9" ht="16.5" customHeight="1" x14ac:dyDescent="0.2">
      <c r="B43" s="1411"/>
      <c r="C43" s="2534" t="s">
        <v>1593</v>
      </c>
      <c r="D43" s="2535"/>
      <c r="E43" s="2535"/>
      <c r="F43" s="2536"/>
      <c r="G43" s="2537">
        <f>SUM(G38:I42)</f>
        <v>0</v>
      </c>
      <c r="H43" s="2537"/>
      <c r="I43" s="2537"/>
    </row>
    <row r="44" spans="2:9" ht="12.75" customHeight="1" x14ac:dyDescent="0.2"/>
    <row r="45" spans="2:9" ht="12.75" customHeight="1" x14ac:dyDescent="0.2">
      <c r="B45" s="1402" t="s">
        <v>1840</v>
      </c>
      <c r="D45" s="2538">
        <v>0</v>
      </c>
      <c r="E45" s="2539"/>
    </row>
    <row r="46" spans="2:9" ht="5.25" customHeight="1" x14ac:dyDescent="0.2">
      <c r="B46" s="1412"/>
      <c r="D46" s="1413"/>
      <c r="E46" s="1414"/>
    </row>
    <row r="47" spans="2:9" ht="12.75" customHeight="1" x14ac:dyDescent="0.2">
      <c r="B47" s="1281" t="s">
        <v>1594</v>
      </c>
      <c r="C47" s="1281"/>
      <c r="D47" s="1415" t="e">
        <f>+G43/D45</f>
        <v>#DIV/0!</v>
      </c>
      <c r="E47" s="1416"/>
      <c r="F47" s="1417"/>
      <c r="I47" s="1418"/>
    </row>
    <row r="48" spans="2:9" ht="9.9499999999999993" customHeight="1" x14ac:dyDescent="0.2"/>
    <row r="49" spans="1:9" x14ac:dyDescent="0.2">
      <c r="B49" s="1349" t="s">
        <v>1273</v>
      </c>
      <c r="C49" s="1263"/>
      <c r="D49" s="1263"/>
      <c r="E49" s="2540"/>
      <c r="F49" s="2540"/>
      <c r="G49" s="2540"/>
      <c r="H49" s="322"/>
    </row>
    <row r="51" spans="1:9" ht="13.5" customHeight="1" x14ac:dyDescent="0.2">
      <c r="B51" s="1349" t="s">
        <v>1272</v>
      </c>
      <c r="C51" s="1263"/>
      <c r="E51" s="1405"/>
      <c r="F51" s="1281" t="s">
        <v>885</v>
      </c>
      <c r="G51" s="1405"/>
      <c r="H51" s="1281" t="s">
        <v>99</v>
      </c>
    </row>
    <row r="52" spans="1:9" x14ac:dyDescent="0.2">
      <c r="B52" s="1341"/>
      <c r="C52" s="1278"/>
      <c r="D52" s="1419"/>
      <c r="E52" s="1420"/>
      <c r="F52" s="1421"/>
      <c r="G52" s="1421"/>
      <c r="H52" s="1421"/>
      <c r="I52" s="1421"/>
    </row>
    <row r="53" spans="1:9" ht="6" customHeight="1" x14ac:dyDescent="0.2">
      <c r="B53" s="1396"/>
      <c r="C53" s="322"/>
      <c r="D53" s="1422"/>
      <c r="E53" s="1423"/>
      <c r="F53" s="1424"/>
      <c r="G53" s="1424"/>
      <c r="H53" s="1424"/>
      <c r="I53" s="1424"/>
    </row>
    <row r="54" spans="1:9" s="1428" customFormat="1" ht="14.25" x14ac:dyDescent="0.2">
      <c r="A54" s="1425"/>
      <c r="B54" s="1426" t="s">
        <v>1751</v>
      </c>
      <c r="C54" s="1427"/>
      <c r="D54" s="1427"/>
    </row>
    <row r="55" spans="1:9" s="1428" customFormat="1" ht="12.75" customHeight="1" x14ac:dyDescent="0.2">
      <c r="A55" s="1425"/>
      <c r="B55" s="1429" t="s">
        <v>1595</v>
      </c>
      <c r="C55" s="1425"/>
      <c r="D55" s="1425"/>
    </row>
    <row r="56" spans="1:9" s="1428" customFormat="1" ht="12.75" customHeight="1" x14ac:dyDescent="0.2">
      <c r="A56" s="1425"/>
      <c r="B56" s="1429" t="s">
        <v>1596</v>
      </c>
      <c r="C56" s="1425"/>
      <c r="D56" s="1425"/>
    </row>
    <row r="57" spans="1:9" s="1428" customFormat="1" ht="3.95" customHeight="1" x14ac:dyDescent="0.2">
      <c r="A57" s="1425"/>
      <c r="B57" s="1429"/>
      <c r="C57" s="1425"/>
      <c r="D57" s="1425"/>
    </row>
    <row r="58" spans="1:9" s="1428" customFormat="1" ht="13.5" customHeight="1" x14ac:dyDescent="0.2">
      <c r="A58" s="1425"/>
      <c r="B58" s="1430" t="s">
        <v>1752</v>
      </c>
      <c r="C58" s="1431"/>
      <c r="D58" s="1431"/>
    </row>
    <row r="59" spans="1:9" s="1428" customFormat="1" ht="3.95" customHeight="1" x14ac:dyDescent="0.2">
      <c r="A59" s="1425"/>
      <c r="B59" s="1430"/>
      <c r="C59" s="1431"/>
      <c r="D59" s="1431"/>
    </row>
    <row r="60" spans="1:9" s="1428" customFormat="1" ht="13.5" customHeight="1" x14ac:dyDescent="0.2">
      <c r="A60" s="1425"/>
      <c r="B60" s="1430" t="s">
        <v>1753</v>
      </c>
      <c r="C60" s="1431"/>
      <c r="D60" s="1431"/>
    </row>
    <row r="61" spans="1:9" s="1428" customFormat="1" ht="3.95" customHeight="1" x14ac:dyDescent="0.2">
      <c r="A61" s="1425"/>
      <c r="B61" s="1430"/>
      <c r="C61" s="1431"/>
      <c r="D61" s="1431"/>
    </row>
    <row r="62" spans="1:9" s="1428" customFormat="1" ht="12.75" customHeight="1" x14ac:dyDescent="0.2">
      <c r="A62" s="1425"/>
      <c r="B62" s="1430" t="s">
        <v>1754</v>
      </c>
      <c r="C62" s="1431"/>
      <c r="D62" s="1431"/>
    </row>
    <row r="63" spans="1:9" s="1428" customFormat="1" ht="13.5" customHeight="1" x14ac:dyDescent="0.2">
      <c r="A63" s="1425"/>
      <c r="B63" s="1429" t="s">
        <v>1597</v>
      </c>
      <c r="C63" s="1425"/>
      <c r="D63" s="1425"/>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1BC28-E93A-4480-8F51-6E2D7E7EA5D7}">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1</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3073</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3067</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3068</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3066</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3076</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90FD-41F2-4617-9DFD-84A980DEBE99}">
  <sheetPr>
    <pageSetUpPr fitToPage="1"/>
  </sheetPr>
  <dimension ref="A1:M38"/>
  <sheetViews>
    <sheetView showGridLines="0" topLeftCell="A13" zoomScale="110" zoomScaleNormal="110" workbookViewId="0">
      <selection activeCell="B26" sqref="B26:K26"/>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2</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3072</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3065</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3070</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3069</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3071</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900F-0679-42DD-A4B5-78E61D667237}">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3</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3082</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3074</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3083</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3077</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3075</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0F9F-9686-47C3-8449-9540978FEA2E}">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4</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3078</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3079</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3081</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3116</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3080</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24FE-140B-475B-BACD-55537294D49A}">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5</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3085</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3084</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3087</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3086</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3117</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C4F1C-B14C-4C0F-B85E-C82C484215BF}">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6</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3090</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3118</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3088</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3091</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3089</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2FC60-CD7E-4E17-939B-582A48AE411B}">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7</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3094</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3092</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3096</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3093</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3095</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C5" sqref="C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60"/>
      <c r="B1" s="2161"/>
      <c r="C1" s="2161"/>
      <c r="D1" s="384"/>
      <c r="E1" s="384"/>
      <c r="F1" s="384"/>
      <c r="G1" s="384"/>
      <c r="H1" s="384"/>
      <c r="I1" s="384"/>
      <c r="J1" s="384"/>
      <c r="K1" s="384"/>
      <c r="L1" s="384"/>
      <c r="M1" s="384"/>
      <c r="N1" s="384"/>
      <c r="O1" s="2160"/>
      <c r="P1" s="2161"/>
      <c r="Q1" s="2161"/>
    </row>
    <row r="2" spans="1:18" ht="15" x14ac:dyDescent="0.2">
      <c r="A2" s="2164" t="s">
        <v>556</v>
      </c>
      <c r="B2" s="2164"/>
      <c r="C2" s="2164"/>
      <c r="D2" s="2164"/>
      <c r="E2" s="2164"/>
      <c r="F2" s="2164"/>
      <c r="G2" s="2164"/>
      <c r="H2" s="2164"/>
      <c r="I2" s="2164"/>
      <c r="J2" s="2164"/>
      <c r="K2" s="2164"/>
      <c r="L2" s="2164"/>
      <c r="M2" s="2164"/>
      <c r="N2" s="2164"/>
      <c r="O2" s="2164"/>
      <c r="P2" s="2164"/>
      <c r="Q2" s="2164"/>
      <c r="R2" s="2164"/>
    </row>
    <row r="3" spans="1:18" ht="12.75" x14ac:dyDescent="0.2">
      <c r="A3" s="2165" t="s">
        <v>1413</v>
      </c>
      <c r="B3" s="2165"/>
      <c r="C3" s="2165"/>
      <c r="D3" s="2165"/>
      <c r="E3" s="2165"/>
      <c r="F3" s="2165"/>
      <c r="G3" s="2165"/>
      <c r="H3" s="2165"/>
      <c r="I3" s="2165"/>
      <c r="J3" s="2165"/>
      <c r="K3" s="2165"/>
      <c r="L3" s="2165"/>
      <c r="M3" s="2165"/>
      <c r="N3" s="2165"/>
      <c r="O3" s="2165"/>
      <c r="P3" s="2165"/>
      <c r="Q3" s="2165"/>
      <c r="R3" s="2165"/>
    </row>
    <row r="4" spans="1:18" x14ac:dyDescent="0.2">
      <c r="A4" s="2166" t="s">
        <v>1554</v>
      </c>
      <c r="B4" s="2166"/>
      <c r="C4" s="2166"/>
      <c r="D4" s="2166"/>
      <c r="E4" s="2166"/>
      <c r="F4" s="2166"/>
      <c r="G4" s="2166"/>
      <c r="H4" s="2166"/>
      <c r="I4" s="2166"/>
      <c r="J4" s="2166"/>
      <c r="K4" s="2166"/>
      <c r="L4" s="2166"/>
      <c r="M4" s="2166"/>
      <c r="N4" s="2166"/>
      <c r="O4" s="2166"/>
      <c r="P4" s="2166"/>
      <c r="Q4" s="2166"/>
      <c r="R4" s="2166"/>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Saunemin CCSD 438</v>
      </c>
      <c r="E7" s="391"/>
      <c r="G7" s="252"/>
      <c r="H7" s="387"/>
      <c r="I7" s="387"/>
      <c r="J7" s="387"/>
      <c r="K7" s="387"/>
      <c r="L7" s="329"/>
      <c r="M7" s="329"/>
      <c r="N7" s="329"/>
      <c r="O7" s="329"/>
      <c r="P7" s="329"/>
    </row>
    <row r="8" spans="1:18" ht="12.75" x14ac:dyDescent="0.2">
      <c r="A8" s="329"/>
      <c r="B8" s="329"/>
      <c r="C8" s="389" t="s">
        <v>1125</v>
      </c>
      <c r="D8" s="392">
        <f>COVER!A13</f>
        <v>17053438004</v>
      </c>
      <c r="E8" s="393"/>
      <c r="G8" s="329"/>
      <c r="H8" s="329"/>
      <c r="I8" s="329"/>
      <c r="J8" s="329"/>
      <c r="K8" s="329"/>
      <c r="L8" s="329"/>
      <c r="M8" s="329"/>
      <c r="N8" s="329"/>
      <c r="O8" s="329"/>
      <c r="P8" s="329"/>
    </row>
    <row r="9" spans="1:18" ht="12.75" x14ac:dyDescent="0.2">
      <c r="A9" s="329"/>
      <c r="B9" s="329"/>
      <c r="C9" s="389" t="s">
        <v>713</v>
      </c>
      <c r="D9" s="394" t="str">
        <f>COVER!A15</f>
        <v>Livingston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 ca="1">IF(K12&gt;0.24999,"4",IF(K12&gt;0.09999,"3",IF(K12&gt;=0,"2",1)))</f>
        <v>4</v>
      </c>
      <c r="P11" s="216"/>
      <c r="Q11" s="216"/>
    </row>
    <row r="12" spans="1:18" s="408" customFormat="1" ht="11.25" x14ac:dyDescent="0.2">
      <c r="A12" s="218"/>
      <c r="B12" s="401"/>
      <c r="C12" s="218" t="s">
        <v>1365</v>
      </c>
      <c r="D12" s="218"/>
      <c r="E12" s="218"/>
      <c r="F12" s="218" t="s">
        <v>1091</v>
      </c>
      <c r="G12" s="402"/>
      <c r="H12" s="403">
        <f ca="1">SUM('Acct Summary 7-8'!C81+'Acct Summary 7-8'!D81+'Acct Summary 7-8'!F81+'Acct Summary 7-8'!I81+IF('Acct Summary 7-8'!G81&lt;0,'Acct Summary 7-8'!G81,"0")+IF('Acct Summary 7-8'!J81&lt;0,'Acct Summary 7-8'!J81,"0"))</f>
        <v>3572002</v>
      </c>
      <c r="I12" s="404"/>
      <c r="J12" s="404"/>
      <c r="K12" s="405">
        <f ca="1">TRUNC((H12/H13*100000),5)/100000</f>
        <v>1.6763642626000002</v>
      </c>
      <c r="L12" s="406"/>
      <c r="M12" s="360" t="s">
        <v>1144</v>
      </c>
      <c r="N12" s="360"/>
      <c r="O12" s="407">
        <v>0.35</v>
      </c>
      <c r="P12" s="218"/>
      <c r="Q12" s="218"/>
    </row>
    <row r="13" spans="1:18" s="408" customFormat="1" ht="12.75" x14ac:dyDescent="0.2">
      <c r="A13" s="218"/>
      <c r="B13" s="401"/>
      <c r="C13" s="2162" t="s">
        <v>1324</v>
      </c>
      <c r="D13" s="2163"/>
      <c r="E13" s="218"/>
      <c r="F13" s="409" t="s">
        <v>793</v>
      </c>
      <c r="G13" s="402"/>
      <c r="H13" s="403">
        <f ca="1">SUM('Acct Summary 7-8'!C8+'Acct Summary 7-8'!D8+'Acct Summary 7-8'!F8+'Acct Summary 7-8'!I8)+H14</f>
        <v>2130803</v>
      </c>
      <c r="I13" s="404"/>
      <c r="J13" s="404"/>
      <c r="K13" s="410"/>
      <c r="L13" s="218"/>
      <c r="M13" s="360" t="s">
        <v>1145</v>
      </c>
      <c r="N13" s="360"/>
      <c r="O13" s="411">
        <f ca="1">(O11*O12)</f>
        <v>1.4</v>
      </c>
      <c r="P13" s="218"/>
      <c r="Q13" s="218"/>
      <c r="R13" s="412"/>
    </row>
    <row r="14" spans="1:18" s="408" customFormat="1" ht="12.75" x14ac:dyDescent="0.2">
      <c r="A14" s="218"/>
      <c r="B14" s="401"/>
      <c r="C14" s="240" t="s">
        <v>1397</v>
      </c>
      <c r="D14" s="413"/>
      <c r="E14" s="218"/>
      <c r="F14" s="409" t="s">
        <v>795</v>
      </c>
      <c r="G14" s="402"/>
      <c r="H14" s="403">
        <f ca="1">-SUM('Acct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 ca="1">IF(K17&gt;1.2,"1",IF(K17&gt;1.1,"2",IF(K17&gt;1,"3",4)))</f>
        <v>4</v>
      </c>
      <c r="P16" s="216"/>
      <c r="R16" s="384"/>
    </row>
    <row r="17" spans="1:18" s="408" customFormat="1" ht="11.25" x14ac:dyDescent="0.2">
      <c r="A17" s="218"/>
      <c r="B17" s="401"/>
      <c r="C17" s="218" t="s">
        <v>797</v>
      </c>
      <c r="D17" s="218"/>
      <c r="E17" s="218"/>
      <c r="F17" s="218" t="s">
        <v>444</v>
      </c>
      <c r="G17" s="402"/>
      <c r="H17" s="403">
        <f ca="1">SUM('Acct Summary 7-8'!C17+'Acct Summary 7-8'!D17+'Acct Summary 7-8'!F17)</f>
        <v>2119786</v>
      </c>
      <c r="I17" s="404"/>
      <c r="J17" s="416"/>
      <c r="K17" s="405">
        <f ca="1">TRUNC((H17/H18*100000),5)/100000</f>
        <v>0.99482964870000001</v>
      </c>
      <c r="L17" s="406"/>
      <c r="M17" s="417" t="s">
        <v>1171</v>
      </c>
      <c r="O17" s="418" t="str">
        <f ca="1">IF(AND(O16="2", J20 &gt; 2),"1",IF(AND(O16 = "1", J20 &gt; 2),"2",IF(AND(O16="1", J20 &gt;1),"1","0")))</f>
        <v>0</v>
      </c>
      <c r="P17" s="218"/>
    </row>
    <row r="18" spans="1:18" s="408" customFormat="1" ht="11.25" x14ac:dyDescent="0.2">
      <c r="A18" s="218"/>
      <c r="B18" s="401"/>
      <c r="C18" s="2162" t="s">
        <v>1317</v>
      </c>
      <c r="D18" s="2163"/>
      <c r="E18" s="218"/>
      <c r="F18" s="419" t="s">
        <v>794</v>
      </c>
      <c r="G18" s="402"/>
      <c r="H18" s="403">
        <f ca="1">SUM('Acct Summary 7-8'!C8+'Acct Summary 7-8'!D8+'Acct Summary 7-8'!F8+'Acct Summary 7-8'!I8)+H19</f>
        <v>2130803</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 ca="1">-SUM('Acct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 ca="1">IF(K17&lt;=1,"0",TRUNC(((K12-0.1)/(K17-1)*100),5)/100)</f>
        <v>0</v>
      </c>
      <c r="K20" s="405" t="str">
        <f ca="1">IF(K17&lt;=1,"0",IF(AND(O16="2", J20 &gt; 2),TRUNC(((K12-0.1)/(K17-1)*100),5)/100,IF(AND(O16 = "1", J20 &gt; 2),TRUNC(((K12-0.1)/(K17-1)*100),5)/100,IF(AND(O16="1", J20 &gt;1),TRUNC(((K12-0.1)/(K17-1)*100),5)/100,""))))</f>
        <v>0</v>
      </c>
      <c r="L20" s="218"/>
      <c r="M20" s="360" t="s">
        <v>1145</v>
      </c>
      <c r="N20" s="360"/>
      <c r="O20" s="411">
        <f ca="1">(O16+O17)*O18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 ca="1">IF(K24&gt;=180,"4",IF(K24&gt;=90,"3",IF(K24&gt;=30,"2",1)))</f>
        <v>4</v>
      </c>
      <c r="P23" s="216"/>
      <c r="R23" s="384"/>
    </row>
    <row r="24" spans="1:18" s="408" customFormat="1" ht="11.25" x14ac:dyDescent="0.2">
      <c r="A24" s="218"/>
      <c r="B24" s="401"/>
      <c r="C24" s="2159" t="s">
        <v>1412</v>
      </c>
      <c r="D24" s="2159"/>
      <c r="E24" s="218"/>
      <c r="F24" s="218" t="s">
        <v>445</v>
      </c>
      <c r="G24" s="402"/>
      <c r="H24" s="403">
        <f ca="1">SUM('Assets-Liab 5-6'!C4+'Assets-Liab 5-6'!D4+'Assets-Liab 5-6'!F4+'Assets-Liab 5-6'!I4+'Assets-Liab 5-6'!C5+'Assets-Liab 5-6'!D5+'Assets-Liab 5-6'!F5+'Assets-Liab 5-6'!I5)</f>
        <v>3571653</v>
      </c>
      <c r="I24" s="422"/>
      <c r="J24" s="422"/>
      <c r="K24" s="423">
        <f ca="1">TRUNC(((H24/H25*100000)/100000),2)</f>
        <v>606.55999999999995</v>
      </c>
      <c r="L24" s="424"/>
      <c r="M24" s="360" t="s">
        <v>1144</v>
      </c>
      <c r="N24" s="360"/>
      <c r="O24" s="411">
        <v>0.1</v>
      </c>
      <c r="P24" s="218"/>
    </row>
    <row r="25" spans="1:18" s="408" customFormat="1" ht="12.75" x14ac:dyDescent="0.2">
      <c r="A25" s="218"/>
      <c r="B25" s="401"/>
      <c r="C25" s="218" t="s">
        <v>798</v>
      </c>
      <c r="D25" s="218"/>
      <c r="E25" s="218"/>
      <c r="F25" s="218" t="s">
        <v>446</v>
      </c>
      <c r="G25" s="402"/>
      <c r="H25" s="423">
        <f ca="1">ROUND((H17/360),5)</f>
        <v>5888.2944399999997</v>
      </c>
      <c r="I25" s="425"/>
      <c r="J25" s="425"/>
      <c r="K25" s="410"/>
      <c r="L25" s="218"/>
      <c r="M25" s="360" t="s">
        <v>1145</v>
      </c>
      <c r="N25" s="360"/>
      <c r="O25" s="411">
        <f ca="1">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1930</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1145163.4134800001</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43865</v>
      </c>
      <c r="I32" s="420"/>
      <c r="J32" s="420"/>
      <c r="K32" s="423">
        <f>TRUNC(100-((((H32/H33*100))*100)/100),2)</f>
        <v>98.33</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2640168.2520000003</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 ca="1">(O13+O20+O25+O29+O33)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1985</v>
      </c>
      <c r="N37" s="414"/>
      <c r="O37" s="442" t="str">
        <f ca="1">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20"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36F0-58F6-478C-BE83-A6BBCD65CAEB}">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8</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3120</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3097</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3119</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3099</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3098</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438B9-A53C-447B-8FEA-B23B74BA34D4}">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2"/>
      <c r="M3" s="1972"/>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9</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3100</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3101</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3102</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3103</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3121</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7:K17"/>
    <mergeCell ref="B20:K20"/>
    <mergeCell ref="B23:K23"/>
    <mergeCell ref="B26:K26"/>
    <mergeCell ref="B29:K29"/>
    <mergeCell ref="B14:K14"/>
    <mergeCell ref="B1:K1"/>
    <mergeCell ref="B2:K2"/>
    <mergeCell ref="B3:K3"/>
    <mergeCell ref="B4:K4"/>
    <mergeCell ref="B7:K7"/>
  </mergeCells>
  <pageMargins left="0.7" right="0.7" top="0.75" bottom="0.75" header="0.3" footer="0.3"/>
  <pageSetup scale="92" fitToHeight="0"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17EA1-6A11-4671-AA86-1564E58FB798}">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3"/>
      <c r="M3" s="1973"/>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10</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3104</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3105</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3106</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3122</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3123</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4:K14"/>
    <mergeCell ref="B1:K1"/>
    <mergeCell ref="B2:K2"/>
    <mergeCell ref="B3:K3"/>
    <mergeCell ref="B4:K4"/>
    <mergeCell ref="B7:K7"/>
    <mergeCell ref="B17:K17"/>
    <mergeCell ref="B20:K20"/>
    <mergeCell ref="B23:K23"/>
    <mergeCell ref="B26:K26"/>
    <mergeCell ref="B29:K29"/>
  </mergeCells>
  <pageMargins left="0.7" right="0.7" top="0.75" bottom="0.75" header="0.3" footer="0.3"/>
  <pageSetup scale="92" fitToHeight="0"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D795-2624-40DE-8A2A-A3D2605E2F59}">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3"/>
      <c r="M3" s="1973"/>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11</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3109</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3107</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3115</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3114</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3108</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4:K14"/>
    <mergeCell ref="B1:K1"/>
    <mergeCell ref="B2:K2"/>
    <mergeCell ref="B3:K3"/>
    <mergeCell ref="B4:K4"/>
    <mergeCell ref="B7:K7"/>
    <mergeCell ref="B17:K17"/>
    <mergeCell ref="B20:K20"/>
    <mergeCell ref="B23:K23"/>
    <mergeCell ref="B26:K26"/>
    <mergeCell ref="B29:K29"/>
  </mergeCells>
  <pageMargins left="0.7" right="0.7" top="0.75" bottom="0.75" header="0.3" footer="0.3"/>
  <pageSetup scale="92" fitToHeight="0"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9B644-0860-42C3-951B-15F70E4E9827}">
  <sheetPr>
    <pageSetUpPr fitToPage="1"/>
  </sheetPr>
  <dimension ref="A1:M38"/>
  <sheetViews>
    <sheetView showGridLines="0" zoomScale="110" zoomScaleNormal="110" workbookViewId="0">
      <selection sqref="A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0" t="str">
        <f>'Single Audit Cover'!A7</f>
        <v>Saunemin CCSD 438</v>
      </c>
      <c r="C1" s="2520"/>
      <c r="D1" s="2520"/>
      <c r="E1" s="2520"/>
      <c r="F1" s="2520"/>
      <c r="G1" s="2520"/>
      <c r="H1" s="2520"/>
      <c r="I1" s="2520"/>
      <c r="J1" s="2520"/>
      <c r="K1" s="2520"/>
      <c r="L1" s="1355"/>
      <c r="M1" s="1355"/>
    </row>
    <row r="2" spans="1:13" ht="12" customHeight="1" x14ac:dyDescent="0.2">
      <c r="B2" s="2522">
        <f>'Single Audit Cover'!E7</f>
        <v>17053438004</v>
      </c>
      <c r="C2" s="2522"/>
      <c r="D2" s="2522"/>
      <c r="E2" s="2522"/>
      <c r="F2" s="2522"/>
      <c r="G2" s="2522"/>
      <c r="H2" s="2522"/>
      <c r="I2" s="2522"/>
      <c r="J2" s="2522"/>
      <c r="K2" s="2522"/>
      <c r="L2" s="1356"/>
      <c r="M2" s="1357"/>
    </row>
    <row r="3" spans="1:13" ht="10.35" customHeight="1" x14ac:dyDescent="0.2">
      <c r="B3" s="2542" t="s">
        <v>1285</v>
      </c>
      <c r="C3" s="2542"/>
      <c r="D3" s="2542"/>
      <c r="E3" s="2542"/>
      <c r="F3" s="2542"/>
      <c r="G3" s="2542"/>
      <c r="H3" s="2542"/>
      <c r="I3" s="2542"/>
      <c r="J3" s="2542"/>
      <c r="K3" s="2542"/>
      <c r="L3" s="1973"/>
      <c r="M3" s="1973"/>
    </row>
    <row r="4" spans="1:13" ht="14.25" customHeight="1" x14ac:dyDescent="0.2">
      <c r="B4" s="2543" t="str">
        <f>'Single Audit Cover'!A4</f>
        <v>Year Ending June 30, 2019</v>
      </c>
      <c r="C4" s="2543"/>
      <c r="D4" s="2543"/>
      <c r="E4" s="2543"/>
      <c r="F4" s="2543"/>
      <c r="G4" s="2543"/>
      <c r="H4" s="2543"/>
      <c r="I4" s="2543"/>
      <c r="J4" s="2543"/>
      <c r="K4" s="2543"/>
      <c r="L4" s="313"/>
      <c r="M4" s="313"/>
    </row>
    <row r="5" spans="1:13" ht="7.5" customHeight="1" x14ac:dyDescent="0.2">
      <c r="B5" s="1241" t="s">
        <v>1169</v>
      </c>
      <c r="C5" s="1241"/>
    </row>
    <row r="6" spans="1:13" ht="7.5" customHeight="1" x14ac:dyDescent="0.2">
      <c r="B6" s="1359"/>
      <c r="C6" s="1359"/>
      <c r="D6" s="1360"/>
      <c r="E6" s="1360"/>
      <c r="F6" s="1360"/>
      <c r="G6" s="1361"/>
      <c r="H6" s="1360"/>
      <c r="I6" s="1361"/>
      <c r="J6" s="1360"/>
      <c r="K6" s="1360"/>
      <c r="L6" s="1362"/>
    </row>
    <row r="7" spans="1:13" ht="12.75" customHeight="1" x14ac:dyDescent="0.2">
      <c r="A7" s="1263"/>
      <c r="B7" s="2543" t="s">
        <v>1296</v>
      </c>
      <c r="C7" s="2543"/>
      <c r="D7" s="2544"/>
      <c r="E7" s="2544"/>
      <c r="F7" s="2544"/>
      <c r="G7" s="2544"/>
      <c r="H7" s="2544"/>
      <c r="I7" s="2544"/>
      <c r="J7" s="2544"/>
      <c r="K7" s="2544"/>
      <c r="L7" s="1363"/>
    </row>
    <row r="8" spans="1:13" ht="7.5" customHeight="1" x14ac:dyDescent="0.2">
      <c r="B8" s="322"/>
      <c r="C8" s="322"/>
      <c r="D8" s="322"/>
      <c r="E8" s="322"/>
      <c r="F8" s="322"/>
      <c r="G8" s="1364"/>
      <c r="H8" s="322"/>
      <c r="I8" s="1364"/>
      <c r="J8" s="322"/>
      <c r="K8" s="322"/>
      <c r="L8" s="1362"/>
    </row>
    <row r="9" spans="1:13" ht="9.6" customHeight="1" x14ac:dyDescent="0.2">
      <c r="B9" s="1360"/>
      <c r="C9" s="1360"/>
      <c r="D9" s="1360"/>
      <c r="E9" s="1360"/>
      <c r="F9" s="1360"/>
      <c r="G9" s="1361"/>
      <c r="H9" s="1360"/>
      <c r="I9" s="1361"/>
      <c r="J9" s="1360"/>
      <c r="K9" s="1360"/>
      <c r="L9" s="1362"/>
    </row>
    <row r="10" spans="1:13" ht="16.5" customHeight="1" x14ac:dyDescent="0.2">
      <c r="B10" s="1365" t="s">
        <v>1742</v>
      </c>
      <c r="C10" s="1366" t="s">
        <v>1990</v>
      </c>
      <c r="D10" s="1367">
        <v>12</v>
      </c>
      <c r="E10" s="322"/>
      <c r="F10" s="1368" t="s">
        <v>1295</v>
      </c>
      <c r="G10" s="1369" t="s">
        <v>2064</v>
      </c>
      <c r="H10" s="1370" t="s">
        <v>1294</v>
      </c>
      <c r="I10" s="1369"/>
      <c r="J10" s="1371" t="s">
        <v>1293</v>
      </c>
      <c r="K10" s="322"/>
      <c r="L10" s="1362"/>
    </row>
    <row r="11" spans="1:13" ht="13.5" customHeight="1" x14ac:dyDescent="0.2">
      <c r="B11" s="322"/>
      <c r="C11" s="322"/>
      <c r="D11" s="322"/>
      <c r="E11" s="322"/>
      <c r="F11" s="322"/>
      <c r="G11" s="1364"/>
      <c r="H11" s="322"/>
      <c r="I11" s="1372" t="s">
        <v>1292</v>
      </c>
      <c r="J11" s="322"/>
      <c r="K11" s="1373"/>
      <c r="L11" s="1362"/>
    </row>
    <row r="12" spans="1:13" ht="13.5" customHeight="1" x14ac:dyDescent="0.2">
      <c r="B12" s="1275"/>
      <c r="C12" s="1275"/>
      <c r="D12" s="322"/>
      <c r="E12" s="322"/>
      <c r="F12" s="322"/>
      <c r="G12" s="1364"/>
      <c r="H12" s="322"/>
      <c r="I12" s="1364"/>
      <c r="J12" s="322"/>
      <c r="L12" s="1362"/>
    </row>
    <row r="13" spans="1:13" s="1263" customFormat="1" ht="13.5" customHeight="1" x14ac:dyDescent="0.2">
      <c r="B13" s="1374" t="s">
        <v>1291</v>
      </c>
      <c r="C13" s="1374"/>
      <c r="D13" s="1375"/>
      <c r="E13" s="1375"/>
      <c r="F13" s="1375"/>
      <c r="G13" s="1376"/>
      <c r="H13" s="1375"/>
      <c r="I13" s="1376"/>
      <c r="J13" s="1375"/>
      <c r="K13" s="1375"/>
      <c r="L13" s="1377"/>
    </row>
    <row r="14" spans="1:13" ht="45.75" customHeight="1" x14ac:dyDescent="0.2">
      <c r="B14" s="2541" t="s">
        <v>3110</v>
      </c>
      <c r="C14" s="2541"/>
      <c r="D14" s="2541"/>
      <c r="E14" s="2541"/>
      <c r="F14" s="2541"/>
      <c r="G14" s="2541"/>
      <c r="H14" s="2541"/>
      <c r="I14" s="2541"/>
      <c r="J14" s="2541"/>
      <c r="K14" s="2541"/>
      <c r="L14" s="1378"/>
    </row>
    <row r="15" spans="1:13" ht="4.5" customHeight="1" x14ac:dyDescent="0.2">
      <c r="B15" s="1379"/>
      <c r="C15" s="1379"/>
      <c r="D15" s="1380"/>
      <c r="E15" s="1380"/>
      <c r="F15" s="1380"/>
      <c r="H15" s="1380"/>
      <c r="J15" s="1380"/>
      <c r="K15" s="1380"/>
      <c r="L15" s="1378"/>
    </row>
    <row r="16" spans="1:13" s="1263" customFormat="1" ht="13.5" customHeight="1" x14ac:dyDescent="0.2">
      <c r="B16" s="1374" t="s">
        <v>1290</v>
      </c>
      <c r="C16" s="1374"/>
      <c r="D16" s="1375"/>
      <c r="E16" s="1375"/>
      <c r="F16" s="1375"/>
      <c r="G16" s="1376"/>
      <c r="H16" s="1375"/>
      <c r="I16" s="1376"/>
      <c r="J16" s="1375"/>
      <c r="K16" s="1375"/>
      <c r="L16" s="1377"/>
    </row>
    <row r="17" spans="1:12" ht="45.75" customHeight="1" x14ac:dyDescent="0.2">
      <c r="B17" s="2541" t="s">
        <v>3111</v>
      </c>
      <c r="C17" s="2541"/>
      <c r="D17" s="2541"/>
      <c r="E17" s="2541"/>
      <c r="F17" s="2541"/>
      <c r="G17" s="2541"/>
      <c r="H17" s="2541"/>
      <c r="I17" s="2541"/>
      <c r="J17" s="2541"/>
      <c r="K17" s="2541"/>
      <c r="L17" s="1362"/>
    </row>
    <row r="18" spans="1:12" ht="4.5" customHeight="1" x14ac:dyDescent="0.2">
      <c r="B18" s="1379"/>
      <c r="C18" s="1379"/>
      <c r="L18" s="1362"/>
    </row>
    <row r="19" spans="1:12" ht="13.5" customHeight="1" x14ac:dyDescent="0.2">
      <c r="B19" s="1374" t="s">
        <v>1289</v>
      </c>
      <c r="C19" s="1374"/>
      <c r="D19" s="1360"/>
      <c r="E19" s="1360"/>
      <c r="F19" s="1360"/>
      <c r="G19" s="1361"/>
      <c r="H19" s="1360"/>
      <c r="I19" s="1361"/>
      <c r="J19" s="1360"/>
      <c r="K19" s="1360"/>
      <c r="L19" s="1362"/>
    </row>
    <row r="20" spans="1:12" ht="45" customHeight="1" x14ac:dyDescent="0.2">
      <c r="B20" s="2541" t="s">
        <v>3112</v>
      </c>
      <c r="C20" s="2541"/>
      <c r="D20" s="2541"/>
      <c r="E20" s="2541"/>
      <c r="F20" s="2541"/>
      <c r="G20" s="2541"/>
      <c r="H20" s="2541"/>
      <c r="I20" s="2541"/>
      <c r="J20" s="2541"/>
      <c r="K20" s="2541"/>
      <c r="L20" s="1362"/>
    </row>
    <row r="21" spans="1:12" ht="4.5" customHeight="1" x14ac:dyDescent="0.2">
      <c r="B21" s="1379"/>
      <c r="C21" s="1379"/>
      <c r="L21" s="1362"/>
    </row>
    <row r="22" spans="1:12" ht="13.5" customHeight="1" x14ac:dyDescent="0.2">
      <c r="B22" s="1374" t="s">
        <v>1288</v>
      </c>
      <c r="C22" s="1374"/>
      <c r="D22" s="1360"/>
      <c r="E22" s="1360"/>
      <c r="F22" s="1360"/>
      <c r="G22" s="1361"/>
      <c r="H22" s="1360"/>
      <c r="I22" s="1361"/>
      <c r="J22" s="1360"/>
      <c r="K22" s="1360"/>
      <c r="L22" s="1362"/>
    </row>
    <row r="23" spans="1:12" ht="45.75" customHeight="1" x14ac:dyDescent="0.2">
      <c r="B23" s="2541" t="s">
        <v>3113</v>
      </c>
      <c r="C23" s="2541"/>
      <c r="D23" s="2541"/>
      <c r="E23" s="2541"/>
      <c r="F23" s="2541"/>
      <c r="G23" s="2541"/>
      <c r="H23" s="2541"/>
      <c r="I23" s="2541"/>
      <c r="J23" s="2541"/>
      <c r="K23" s="2541"/>
      <c r="L23" s="1362"/>
    </row>
    <row r="24" spans="1:12" ht="4.5" customHeight="1" x14ac:dyDescent="0.2">
      <c r="B24" s="1379"/>
      <c r="C24" s="1379"/>
      <c r="L24" s="1362"/>
    </row>
    <row r="25" spans="1:12" ht="13.5" customHeight="1" x14ac:dyDescent="0.2">
      <c r="B25" s="1381" t="s">
        <v>1287</v>
      </c>
      <c r="C25" s="1381"/>
      <c r="D25" s="1360"/>
      <c r="E25" s="1360"/>
      <c r="F25" s="1360"/>
      <c r="G25" s="1361"/>
      <c r="H25" s="1360"/>
      <c r="I25" s="1361"/>
      <c r="J25" s="1360"/>
      <c r="K25" s="1360"/>
      <c r="L25" s="1362"/>
    </row>
    <row r="26" spans="1:12" ht="45.75" customHeight="1" x14ac:dyDescent="0.2">
      <c r="B26" s="2545" t="s">
        <v>3124</v>
      </c>
      <c r="C26" s="2545"/>
      <c r="D26" s="2541"/>
      <c r="E26" s="2541"/>
      <c r="F26" s="2541"/>
      <c r="G26" s="2541"/>
      <c r="H26" s="2541"/>
      <c r="I26" s="2541"/>
      <c r="J26" s="2541"/>
      <c r="K26" s="2541"/>
      <c r="L26" s="1362"/>
    </row>
    <row r="27" spans="1:12" ht="4.5" customHeight="1" x14ac:dyDescent="0.2">
      <c r="B27" s="1382"/>
      <c r="C27" s="1382"/>
      <c r="D27" s="322"/>
      <c r="E27" s="322"/>
      <c r="F27" s="322"/>
      <c r="G27" s="1364"/>
      <c r="H27" s="322"/>
      <c r="I27" s="1364"/>
      <c r="J27" s="322"/>
      <c r="K27" s="322"/>
      <c r="L27" s="1362"/>
    </row>
    <row r="28" spans="1:12" s="322" customFormat="1" ht="13.5" customHeight="1" x14ac:dyDescent="0.2">
      <c r="B28" s="1383" t="s">
        <v>1743</v>
      </c>
      <c r="C28" s="1383"/>
      <c r="D28" s="1359"/>
      <c r="E28" s="1360"/>
      <c r="F28" s="1360"/>
      <c r="G28" s="1361"/>
      <c r="H28" s="1360"/>
      <c r="I28" s="1361"/>
      <c r="J28" s="1360"/>
      <c r="K28" s="1360"/>
      <c r="L28" s="1362"/>
    </row>
    <row r="29" spans="1:12" s="322" customFormat="1" ht="44.25" customHeight="1" x14ac:dyDescent="0.2">
      <c r="B29" s="2545" t="s">
        <v>3125</v>
      </c>
      <c r="C29" s="2545"/>
      <c r="D29" s="2541"/>
      <c r="E29" s="2541"/>
      <c r="F29" s="2541"/>
      <c r="G29" s="2541"/>
      <c r="H29" s="2541"/>
      <c r="I29" s="2541"/>
      <c r="J29" s="2541"/>
      <c r="K29" s="2541"/>
      <c r="L29" s="1362"/>
    </row>
    <row r="30" spans="1:12" s="322" customFormat="1" ht="4.5" customHeight="1" x14ac:dyDescent="0.2">
      <c r="B30" s="1382"/>
      <c r="C30" s="1382"/>
      <c r="G30" s="1364"/>
      <c r="I30" s="1364"/>
      <c r="L30" s="1362"/>
    </row>
    <row r="31" spans="1:12" s="322" customFormat="1" x14ac:dyDescent="0.2">
      <c r="A31" s="1278"/>
      <c r="B31" s="1384"/>
      <c r="C31" s="1384"/>
      <c r="D31" s="1384"/>
      <c r="E31" s="1384"/>
      <c r="F31" s="1384"/>
      <c r="G31" s="1385"/>
      <c r="H31" s="1384"/>
      <c r="I31" s="1385"/>
      <c r="J31" s="1384"/>
      <c r="K31" s="1384"/>
      <c r="L31" s="1362"/>
    </row>
    <row r="32" spans="1:12" ht="11.85" customHeight="1" x14ac:dyDescent="0.2">
      <c r="B32" s="1386" t="s">
        <v>1744</v>
      </c>
      <c r="C32" s="1386"/>
      <c r="D32" s="322"/>
      <c r="E32" s="322"/>
      <c r="F32" s="322"/>
      <c r="L32" s="1362"/>
    </row>
    <row r="33" spans="2:13" ht="9.6" customHeight="1" x14ac:dyDescent="0.2">
      <c r="B33" s="1281" t="s">
        <v>1841</v>
      </c>
      <c r="C33" s="1281"/>
      <c r="L33" s="1362"/>
    </row>
    <row r="34" spans="2:13" ht="9.6" customHeight="1" x14ac:dyDescent="0.2">
      <c r="B34" s="1281" t="s">
        <v>1842</v>
      </c>
      <c r="C34" s="1281"/>
    </row>
    <row r="35" spans="2:13" ht="11.85" customHeight="1" x14ac:dyDescent="0.2">
      <c r="B35" s="1387" t="s">
        <v>1745</v>
      </c>
      <c r="C35" s="1387"/>
    </row>
    <row r="36" spans="2:13" ht="9.6" customHeight="1" x14ac:dyDescent="0.2">
      <c r="B36" s="1281" t="s">
        <v>1286</v>
      </c>
      <c r="C36" s="1281"/>
      <c r="M36" s="1388"/>
    </row>
    <row r="37" spans="2:13" ht="12.6" customHeight="1" x14ac:dyDescent="0.2">
      <c r="B37" s="1387" t="s">
        <v>1746</v>
      </c>
      <c r="C37" s="1387"/>
      <c r="M37" s="1388"/>
    </row>
    <row r="38" spans="2:13" ht="9.6" customHeight="1" x14ac:dyDescent="0.2">
      <c r="B38" s="1281"/>
      <c r="C38" s="1281"/>
      <c r="M38" s="1388"/>
    </row>
  </sheetData>
  <mergeCells count="11">
    <mergeCell ref="B14:K14"/>
    <mergeCell ref="B1:K1"/>
    <mergeCell ref="B2:K2"/>
    <mergeCell ref="B3:K3"/>
    <mergeCell ref="B4:K4"/>
    <mergeCell ref="B7:K7"/>
    <mergeCell ref="B17:K17"/>
    <mergeCell ref="B20:K20"/>
    <mergeCell ref="B23:K23"/>
    <mergeCell ref="B26:K26"/>
    <mergeCell ref="B29:K29"/>
  </mergeCells>
  <pageMargins left="0.7" right="0.7" top="0.75" bottom="0.75" header="0.3" footer="0.3"/>
  <pageSetup scale="92" fitToHeight="0"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topLeftCell="A19" zoomScale="110" zoomScaleNormal="110" workbookViewId="0">
      <selection activeCell="N18" sqref="N18"/>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39" customWidth="1"/>
    <col min="8" max="8" width="10.5703125" style="317" customWidth="1"/>
    <col min="9" max="9" width="3.42578125" style="1239"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46" t="str">
        <f>'Single Audit Cover'!A7</f>
        <v>Saunemin CCSD 438</v>
      </c>
      <c r="C1" s="2546"/>
      <c r="D1" s="2546"/>
      <c r="E1" s="2546"/>
      <c r="F1" s="2546"/>
      <c r="G1" s="2546"/>
      <c r="H1" s="2546"/>
      <c r="I1" s="2546"/>
      <c r="J1" s="2546"/>
      <c r="K1" s="2546"/>
      <c r="L1" s="1432"/>
    </row>
    <row r="2" spans="1:12" ht="12.75" customHeight="1" x14ac:dyDescent="0.2">
      <c r="B2" s="2547">
        <f>'Single Audit Cover'!E7</f>
        <v>17053438004</v>
      </c>
      <c r="C2" s="2547"/>
      <c r="D2" s="2547"/>
      <c r="E2" s="2547"/>
      <c r="F2" s="2547"/>
      <c r="G2" s="2547"/>
      <c r="H2" s="2547"/>
      <c r="I2" s="2547"/>
      <c r="J2" s="2547"/>
      <c r="K2" s="2547"/>
      <c r="L2" s="1433"/>
    </row>
    <row r="3" spans="1:12" ht="12.75" customHeight="1" x14ac:dyDescent="0.2">
      <c r="B3" s="2542" t="s">
        <v>1285</v>
      </c>
      <c r="C3" s="2542"/>
      <c r="D3" s="2542"/>
      <c r="E3" s="2542"/>
      <c r="F3" s="2542"/>
      <c r="G3" s="2542"/>
      <c r="H3" s="2542"/>
      <c r="I3" s="2542"/>
      <c r="J3" s="2542"/>
      <c r="K3" s="2542"/>
      <c r="L3" s="1358"/>
    </row>
    <row r="4" spans="1:12" ht="12.75" customHeight="1" x14ac:dyDescent="0.2">
      <c r="B4" s="2542" t="str">
        <f>'Single Audit Cover'!A4</f>
        <v>Year Ending June 30, 2019</v>
      </c>
      <c r="C4" s="2542"/>
      <c r="D4" s="2542"/>
      <c r="E4" s="2542"/>
      <c r="F4" s="2542"/>
      <c r="G4" s="2542"/>
      <c r="H4" s="2542"/>
      <c r="I4" s="2542"/>
      <c r="J4" s="2542"/>
      <c r="K4" s="2542"/>
      <c r="L4" s="1358"/>
    </row>
    <row r="5" spans="1:12" ht="5.25" customHeight="1" x14ac:dyDescent="0.2">
      <c r="B5" s="1241" t="s">
        <v>1169</v>
      </c>
      <c r="C5" s="1241"/>
      <c r="L5" s="322"/>
    </row>
    <row r="6" spans="1:12" ht="30.75" customHeight="1" x14ac:dyDescent="0.2">
      <c r="A6" s="322"/>
      <c r="B6" s="2548" t="s">
        <v>1308</v>
      </c>
      <c r="C6" s="2548"/>
      <c r="D6" s="2548"/>
      <c r="E6" s="2548"/>
      <c r="F6" s="2548"/>
      <c r="G6" s="2548"/>
      <c r="H6" s="2548"/>
      <c r="I6" s="2548"/>
      <c r="J6" s="2548"/>
      <c r="K6" s="2548"/>
      <c r="L6" s="322"/>
    </row>
    <row r="7" spans="1:12" ht="4.5" customHeight="1" x14ac:dyDescent="0.2">
      <c r="B7" s="1360"/>
      <c r="C7" s="1360"/>
      <c r="D7" s="1360"/>
      <c r="E7" s="1360"/>
      <c r="F7" s="1360"/>
      <c r="G7" s="1361"/>
      <c r="H7" s="1360"/>
      <c r="I7" s="1361"/>
      <c r="J7" s="1360"/>
      <c r="K7" s="1360"/>
      <c r="L7" s="322"/>
    </row>
    <row r="8" spans="1:12" ht="13.5" customHeight="1" x14ac:dyDescent="0.2">
      <c r="B8" s="1368" t="s">
        <v>1755</v>
      </c>
      <c r="C8" s="1434" t="s">
        <v>1990</v>
      </c>
      <c r="D8" s="1435"/>
      <c r="E8" s="322"/>
      <c r="F8" s="1365" t="s">
        <v>1295</v>
      </c>
      <c r="G8" s="1436"/>
      <c r="H8" s="1437" t="s">
        <v>1307</v>
      </c>
      <c r="I8" s="1436"/>
      <c r="J8" s="1438" t="s">
        <v>1306</v>
      </c>
      <c r="L8" s="322"/>
    </row>
    <row r="9" spans="1:12" ht="13.5" customHeight="1" x14ac:dyDescent="0.2">
      <c r="D9" s="322"/>
      <c r="E9" s="322"/>
      <c r="F9" s="322"/>
      <c r="G9" s="1364"/>
      <c r="H9" s="322"/>
      <c r="I9" s="1439" t="s">
        <v>1292</v>
      </c>
      <c r="J9" s="322"/>
      <c r="K9" s="1440"/>
      <c r="L9" s="322"/>
    </row>
    <row r="10" spans="1:12" ht="4.5" customHeight="1" x14ac:dyDescent="0.2">
      <c r="B10" s="1441"/>
      <c r="C10" s="1441"/>
      <c r="D10" s="1394"/>
      <c r="E10" s="1394"/>
      <c r="F10" s="1394"/>
      <c r="G10" s="1395"/>
      <c r="H10" s="1394"/>
      <c r="I10" s="1395"/>
      <c r="J10" s="1394"/>
      <c r="K10" s="1394"/>
      <c r="L10" s="322"/>
    </row>
    <row r="11" spans="1:12" ht="5.25" customHeight="1" x14ac:dyDescent="0.2">
      <c r="B11" s="322"/>
      <c r="C11" s="322"/>
      <c r="D11" s="304"/>
      <c r="E11" s="322"/>
      <c r="F11" s="322"/>
      <c r="G11" s="1364"/>
      <c r="H11" s="322"/>
      <c r="I11" s="1364"/>
      <c r="J11" s="322"/>
      <c r="K11" s="1399"/>
      <c r="L11" s="322"/>
    </row>
    <row r="12" spans="1:12" ht="13.5" customHeight="1" x14ac:dyDescent="0.2">
      <c r="B12" s="1365" t="s">
        <v>1305</v>
      </c>
      <c r="C12" s="1365"/>
      <c r="D12" s="304"/>
      <c r="E12" s="322"/>
      <c r="F12" s="2527"/>
      <c r="G12" s="2527"/>
      <c r="H12" s="2527"/>
      <c r="I12" s="2527"/>
      <c r="J12" s="2527"/>
      <c r="K12" s="2527"/>
      <c r="L12" s="322"/>
    </row>
    <row r="13" spans="1:12" ht="9.6" customHeight="1" x14ac:dyDescent="0.2">
      <c r="B13" s="1238"/>
      <c r="C13" s="1238"/>
      <c r="D13" s="304"/>
      <c r="E13" s="322"/>
      <c r="F13" s="322"/>
      <c r="G13" s="1364"/>
      <c r="H13" s="322"/>
      <c r="I13" s="1364"/>
      <c r="J13" s="322"/>
      <c r="K13" s="1399"/>
      <c r="L13" s="322"/>
    </row>
    <row r="14" spans="1:12" ht="13.5" customHeight="1" x14ac:dyDescent="0.2">
      <c r="B14" s="1368" t="s">
        <v>1304</v>
      </c>
      <c r="C14" s="1368"/>
      <c r="D14" s="2549"/>
      <c r="E14" s="2549"/>
      <c r="F14" s="2549"/>
      <c r="H14" s="1442" t="s">
        <v>1303</v>
      </c>
      <c r="I14" s="2550"/>
      <c r="J14" s="2550"/>
      <c r="K14" s="2550"/>
      <c r="L14" s="322"/>
    </row>
    <row r="15" spans="1:12" ht="9.4" customHeight="1" x14ac:dyDescent="0.2">
      <c r="B15" s="1368"/>
      <c r="C15" s="1368"/>
      <c r="D15" s="1354"/>
      <c r="E15" s="1241"/>
      <c r="F15" s="1241"/>
      <c r="G15" s="1267"/>
      <c r="H15" s="1241"/>
      <c r="I15" s="1443"/>
      <c r="J15" s="1275"/>
      <c r="K15" s="1272"/>
      <c r="L15" s="322"/>
    </row>
    <row r="16" spans="1:12" ht="13.5" customHeight="1" x14ac:dyDescent="0.2">
      <c r="B16" s="1368" t="s">
        <v>1302</v>
      </c>
      <c r="C16" s="1368"/>
      <c r="D16" s="2550"/>
      <c r="E16" s="2550"/>
      <c r="F16" s="2550"/>
      <c r="G16" s="2550"/>
      <c r="H16" s="2550"/>
      <c r="I16" s="2550"/>
      <c r="J16" s="2550"/>
      <c r="K16" s="2550"/>
      <c r="L16" s="322"/>
    </row>
    <row r="17" spans="2:12" ht="13.5" customHeight="1" x14ac:dyDescent="0.2">
      <c r="B17" s="1368" t="s">
        <v>1301</v>
      </c>
      <c r="C17" s="1368"/>
      <c r="D17" s="2551"/>
      <c r="E17" s="2551"/>
      <c r="F17" s="2551"/>
      <c r="G17" s="2551"/>
      <c r="H17" s="2551"/>
      <c r="I17" s="2551"/>
      <c r="J17" s="2551"/>
      <c r="K17" s="2551"/>
      <c r="L17" s="322"/>
    </row>
    <row r="18" spans="2:12" ht="9.4" customHeight="1" x14ac:dyDescent="0.2">
      <c r="B18" s="1394"/>
      <c r="C18" s="1394"/>
      <c r="D18" s="1394"/>
      <c r="E18" s="1394"/>
      <c r="F18" s="1394"/>
      <c r="G18" s="1395"/>
      <c r="H18" s="1394"/>
      <c r="I18" s="1395"/>
      <c r="J18" s="1394"/>
      <c r="K18" s="1394"/>
      <c r="L18" s="322"/>
    </row>
    <row r="19" spans="2:12" ht="13.5" customHeight="1" x14ac:dyDescent="0.2">
      <c r="B19" s="1444" t="s">
        <v>1300</v>
      </c>
      <c r="C19" s="1444"/>
      <c r="D19" s="328"/>
      <c r="E19" s="328"/>
      <c r="F19" s="328"/>
      <c r="G19" s="1445"/>
      <c r="H19" s="328"/>
      <c r="I19" s="1445"/>
      <c r="J19" s="322"/>
      <c r="K19" s="322"/>
      <c r="L19" s="322"/>
    </row>
    <row r="20" spans="2:12" ht="35.25" customHeight="1" x14ac:dyDescent="0.2">
      <c r="B20" s="2541"/>
      <c r="C20" s="2541"/>
      <c r="D20" s="2541"/>
      <c r="E20" s="2541"/>
      <c r="F20" s="2541"/>
      <c r="G20" s="2541"/>
      <c r="H20" s="2541"/>
      <c r="I20" s="2541"/>
      <c r="J20" s="2541"/>
      <c r="K20" s="2541"/>
      <c r="L20" s="1399"/>
    </row>
    <row r="21" spans="2:12" ht="4.5" customHeight="1" x14ac:dyDescent="0.2">
      <c r="B21" s="1446"/>
      <c r="C21" s="1446"/>
      <c r="D21" s="1447"/>
      <c r="E21" s="1447"/>
      <c r="F21" s="1447"/>
      <c r="G21" s="1395"/>
      <c r="H21" s="1447"/>
      <c r="I21" s="1395"/>
      <c r="J21" s="1447"/>
      <c r="K21" s="1447"/>
      <c r="L21" s="1399"/>
    </row>
    <row r="22" spans="2:12" ht="13.35" customHeight="1" x14ac:dyDescent="0.2">
      <c r="B22" s="1444" t="s">
        <v>1756</v>
      </c>
      <c r="C22" s="1444"/>
      <c r="D22" s="322"/>
      <c r="E22" s="322"/>
      <c r="F22" s="322"/>
      <c r="G22" s="1364"/>
      <c r="H22" s="322"/>
      <c r="I22" s="1364"/>
      <c r="J22" s="322"/>
      <c r="K22" s="322"/>
      <c r="L22" s="322"/>
    </row>
    <row r="23" spans="2:12" ht="37.5" customHeight="1" x14ac:dyDescent="0.2">
      <c r="B23" s="2541"/>
      <c r="C23" s="2541"/>
      <c r="D23" s="2541"/>
      <c r="E23" s="2541"/>
      <c r="F23" s="2541"/>
      <c r="G23" s="2541"/>
      <c r="H23" s="2541"/>
      <c r="I23" s="2541"/>
      <c r="J23" s="2541"/>
      <c r="K23" s="2541"/>
      <c r="L23" s="322"/>
    </row>
    <row r="24" spans="2:12" ht="4.5" customHeight="1" x14ac:dyDescent="0.2">
      <c r="B24" s="1446"/>
      <c r="C24" s="1446"/>
      <c r="D24" s="1394"/>
      <c r="E24" s="1394"/>
      <c r="F24" s="1394"/>
      <c r="G24" s="1395"/>
      <c r="H24" s="1394"/>
      <c r="I24" s="1395"/>
      <c r="J24" s="1394"/>
      <c r="K24" s="1394"/>
      <c r="L24" s="322"/>
    </row>
    <row r="25" spans="2:12" ht="13.5" customHeight="1" x14ac:dyDescent="0.2">
      <c r="B25" s="1444" t="s">
        <v>1757</v>
      </c>
      <c r="C25" s="1444"/>
      <c r="D25" s="322"/>
      <c r="E25" s="322"/>
      <c r="F25" s="322"/>
      <c r="G25" s="1364"/>
      <c r="H25" s="322"/>
      <c r="I25" s="1364"/>
      <c r="J25" s="322"/>
      <c r="K25" s="322"/>
      <c r="L25" s="322"/>
    </row>
    <row r="26" spans="2:12" ht="37.5" customHeight="1" x14ac:dyDescent="0.2">
      <c r="B26" s="2541"/>
      <c r="C26" s="2541"/>
      <c r="D26" s="2541"/>
      <c r="E26" s="2541"/>
      <c r="F26" s="2541"/>
      <c r="G26" s="2541"/>
      <c r="H26" s="2541"/>
      <c r="I26" s="2541"/>
      <c r="J26" s="2541"/>
      <c r="K26" s="2541"/>
      <c r="L26" s="322"/>
    </row>
    <row r="27" spans="2:12" ht="4.5" customHeight="1" x14ac:dyDescent="0.2">
      <c r="B27" s="1448"/>
      <c r="C27" s="1448"/>
      <c r="D27" s="1448"/>
      <c r="E27" s="1394"/>
      <c r="F27" s="1394"/>
      <c r="G27" s="1395"/>
      <c r="H27" s="1394"/>
      <c r="I27" s="1395"/>
      <c r="J27" s="1394"/>
      <c r="K27" s="1394"/>
      <c r="L27" s="322"/>
    </row>
    <row r="28" spans="2:12" ht="13.5" customHeight="1" x14ac:dyDescent="0.2">
      <c r="B28" s="1444" t="s">
        <v>1758</v>
      </c>
      <c r="C28" s="1444"/>
      <c r="D28" s="322"/>
      <c r="E28" s="322"/>
      <c r="F28" s="322"/>
      <c r="G28" s="1364"/>
      <c r="H28" s="322"/>
      <c r="I28" s="1364"/>
      <c r="J28" s="322"/>
      <c r="K28" s="322"/>
      <c r="L28" s="322"/>
    </row>
    <row r="29" spans="2:12" ht="37.5" customHeight="1" x14ac:dyDescent="0.2">
      <c r="B29" s="2541"/>
      <c r="C29" s="2541"/>
      <c r="D29" s="2541"/>
      <c r="E29" s="2541"/>
      <c r="F29" s="2541"/>
      <c r="G29" s="2541"/>
      <c r="H29" s="2541"/>
      <c r="I29" s="2541"/>
      <c r="J29" s="2541"/>
      <c r="K29" s="2541"/>
      <c r="L29" s="322"/>
    </row>
    <row r="30" spans="2:12" ht="4.5" customHeight="1" x14ac:dyDescent="0.2">
      <c r="B30" s="1446"/>
      <c r="C30" s="1446"/>
      <c r="D30" s="1394"/>
      <c r="E30" s="1394"/>
      <c r="F30" s="1394"/>
      <c r="G30" s="1395"/>
      <c r="H30" s="1394"/>
      <c r="I30" s="1395"/>
      <c r="J30" s="1394"/>
      <c r="K30" s="1394"/>
      <c r="L30" s="322"/>
    </row>
    <row r="31" spans="2:12" ht="13.5" customHeight="1" x14ac:dyDescent="0.2">
      <c r="B31" s="1444" t="s">
        <v>1299</v>
      </c>
      <c r="C31" s="1444"/>
      <c r="D31" s="322"/>
      <c r="E31" s="322"/>
      <c r="F31" s="322"/>
      <c r="G31" s="1364"/>
      <c r="H31" s="322"/>
      <c r="I31" s="1364"/>
      <c r="J31" s="322"/>
      <c r="K31" s="322"/>
      <c r="L31" s="322"/>
    </row>
    <row r="32" spans="2:12" ht="37.5" customHeight="1" x14ac:dyDescent="0.2">
      <c r="B32" s="2541"/>
      <c r="C32" s="2541"/>
      <c r="D32" s="2541"/>
      <c r="E32" s="2541"/>
      <c r="F32" s="2541"/>
      <c r="G32" s="2541"/>
      <c r="H32" s="2541"/>
      <c r="I32" s="2541"/>
      <c r="J32" s="2541"/>
      <c r="K32" s="2541"/>
      <c r="L32" s="322"/>
    </row>
    <row r="33" spans="2:12" ht="4.5" customHeight="1" x14ac:dyDescent="0.2">
      <c r="B33" s="1446"/>
      <c r="C33" s="1446"/>
      <c r="D33" s="1394"/>
      <c r="E33" s="1394"/>
      <c r="F33" s="1394"/>
      <c r="G33" s="1395"/>
      <c r="H33" s="1394"/>
      <c r="I33" s="1395"/>
      <c r="J33" s="1394"/>
      <c r="K33" s="1394"/>
      <c r="L33" s="322"/>
    </row>
    <row r="34" spans="2:12" ht="13.5" customHeight="1" x14ac:dyDescent="0.2">
      <c r="B34" s="1365" t="s">
        <v>1298</v>
      </c>
      <c r="C34" s="1365"/>
      <c r="D34" s="322"/>
      <c r="E34" s="322"/>
      <c r="F34" s="322"/>
      <c r="G34" s="1364"/>
      <c r="H34" s="322"/>
      <c r="I34" s="1364"/>
      <c r="J34" s="322"/>
      <c r="K34" s="322"/>
      <c r="L34" s="322"/>
    </row>
    <row r="35" spans="2:12" ht="37.5" customHeight="1" x14ac:dyDescent="0.2">
      <c r="B35" s="2541"/>
      <c r="C35" s="2541"/>
      <c r="D35" s="2541"/>
      <c r="E35" s="2541"/>
      <c r="F35" s="2541"/>
      <c r="G35" s="2541"/>
      <c r="H35" s="2541"/>
      <c r="I35" s="2541"/>
      <c r="J35" s="2541"/>
      <c r="K35" s="2541"/>
      <c r="L35" s="322"/>
    </row>
    <row r="36" spans="2:12" ht="4.5" customHeight="1" x14ac:dyDescent="0.2">
      <c r="B36" s="1446"/>
      <c r="C36" s="1446"/>
      <c r="D36" s="1394"/>
      <c r="E36" s="1394"/>
      <c r="F36" s="1394"/>
      <c r="G36" s="1395"/>
      <c r="H36" s="1394"/>
      <c r="I36" s="1395"/>
      <c r="J36" s="1394"/>
      <c r="K36" s="1394"/>
      <c r="L36" s="322"/>
    </row>
    <row r="37" spans="2:12" ht="13.5" customHeight="1" x14ac:dyDescent="0.2">
      <c r="B37" s="1365" t="s">
        <v>1297</v>
      </c>
      <c r="C37" s="1365"/>
      <c r="D37" s="322"/>
      <c r="E37" s="322"/>
      <c r="F37" s="322"/>
      <c r="G37" s="1364"/>
      <c r="H37" s="322"/>
      <c r="I37" s="1364"/>
      <c r="J37" s="322"/>
      <c r="K37" s="322"/>
      <c r="L37" s="322"/>
    </row>
    <row r="38" spans="2:12" ht="35.25" customHeight="1" x14ac:dyDescent="0.2">
      <c r="B38" s="2541"/>
      <c r="C38" s="2541"/>
      <c r="D38" s="2541"/>
      <c r="E38" s="2541"/>
      <c r="F38" s="2541"/>
      <c r="G38" s="2541"/>
      <c r="H38" s="2541"/>
      <c r="I38" s="2541"/>
      <c r="J38" s="2541"/>
      <c r="K38" s="2541"/>
      <c r="L38" s="322"/>
    </row>
    <row r="39" spans="2:12" ht="4.5" customHeight="1" x14ac:dyDescent="0.2">
      <c r="B39" s="1382"/>
      <c r="C39" s="1382"/>
      <c r="D39" s="322"/>
      <c r="E39" s="322"/>
      <c r="F39" s="322"/>
      <c r="G39" s="1364"/>
      <c r="H39" s="322"/>
      <c r="I39" s="1364"/>
      <c r="J39" s="322"/>
      <c r="K39" s="322"/>
      <c r="L39" s="322"/>
    </row>
    <row r="40" spans="2:12" s="322" customFormat="1" ht="13.5" customHeight="1" x14ac:dyDescent="0.2">
      <c r="B40" s="1383" t="s">
        <v>1759</v>
      </c>
      <c r="C40" s="1383"/>
      <c r="D40" s="1359"/>
      <c r="E40" s="1360"/>
      <c r="F40" s="1360"/>
      <c r="G40" s="1361"/>
      <c r="H40" s="1360"/>
      <c r="I40" s="1361"/>
      <c r="J40" s="1360"/>
      <c r="K40" s="1360"/>
    </row>
    <row r="41" spans="2:12" s="322" customFormat="1" ht="33.75" customHeight="1" x14ac:dyDescent="0.2">
      <c r="B41" s="2541"/>
      <c r="C41" s="2541"/>
      <c r="D41" s="2541"/>
      <c r="E41" s="2541"/>
      <c r="F41" s="2541"/>
      <c r="G41" s="2541"/>
      <c r="H41" s="2541"/>
      <c r="I41" s="2541"/>
      <c r="J41" s="2541"/>
      <c r="K41" s="2541"/>
    </row>
    <row r="42" spans="2:12" s="322" customFormat="1" ht="4.5" customHeight="1" x14ac:dyDescent="0.2">
      <c r="B42" s="1382"/>
      <c r="C42" s="1382"/>
      <c r="G42" s="1364"/>
      <c r="I42" s="1364"/>
    </row>
    <row r="43" spans="2:12" ht="7.5" customHeight="1" x14ac:dyDescent="0.25">
      <c r="B43" s="1449"/>
      <c r="C43" s="1449"/>
      <c r="D43" s="1450"/>
      <c r="E43" s="1450"/>
      <c r="F43" s="1450"/>
      <c r="G43" s="1451"/>
      <c r="H43" s="1450"/>
      <c r="I43" s="1451"/>
      <c r="J43" s="1450"/>
      <c r="K43" s="1450"/>
    </row>
    <row r="44" spans="2:12" ht="13.5" customHeight="1" x14ac:dyDescent="0.2">
      <c r="B44" s="1386" t="s">
        <v>1760</v>
      </c>
      <c r="C44" s="1386"/>
      <c r="D44" s="322"/>
      <c r="E44" s="322"/>
      <c r="F44" s="322"/>
    </row>
    <row r="45" spans="2:12" ht="10.5" customHeight="1" x14ac:dyDescent="0.2">
      <c r="B45" s="1387" t="s">
        <v>1761</v>
      </c>
      <c r="C45" s="1387"/>
      <c r="G45" s="317"/>
      <c r="I45" s="317"/>
    </row>
    <row r="46" spans="2:12" ht="11.1" customHeight="1" x14ac:dyDescent="0.2">
      <c r="B46" s="1387" t="s">
        <v>1762</v>
      </c>
      <c r="C46" s="1387"/>
      <c r="G46" s="317"/>
      <c r="I46" s="317"/>
    </row>
    <row r="47" spans="2:12" ht="11.1" customHeight="1" x14ac:dyDescent="0.2">
      <c r="B47" s="1387" t="s">
        <v>1763</v>
      </c>
      <c r="C47" s="1387"/>
      <c r="G47" s="317"/>
      <c r="I47" s="317"/>
    </row>
    <row r="48" spans="2:12" ht="11.1" customHeight="1" x14ac:dyDescent="0.2">
      <c r="B48" s="1387" t="s">
        <v>1764</v>
      </c>
      <c r="C48" s="1387"/>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63" customFormat="1" ht="12.75" customHeight="1" x14ac:dyDescent="0.2">
      <c r="B1" s="2520" t="str">
        <f>'Single Audit Cover'!A7</f>
        <v>Saunemin CCSD 438</v>
      </c>
      <c r="C1" s="2520"/>
      <c r="D1" s="2520"/>
      <c r="E1" s="1452"/>
    </row>
    <row r="2" spans="2:5" s="1263" customFormat="1" ht="12.75" customHeight="1" x14ac:dyDescent="0.2">
      <c r="B2" s="2522">
        <f>'Single Audit Cover'!E7</f>
        <v>17053438004</v>
      </c>
      <c r="C2" s="2522"/>
      <c r="D2" s="2522"/>
      <c r="E2" s="1453"/>
    </row>
    <row r="3" spans="2:5" ht="12.75" customHeight="1" x14ac:dyDescent="0.2">
      <c r="B3" s="2542" t="s">
        <v>1765</v>
      </c>
      <c r="C3" s="2542"/>
      <c r="D3" s="2542"/>
      <c r="E3" s="1255"/>
    </row>
    <row r="4" spans="2:5" s="1263" customFormat="1" ht="12.75" customHeight="1" x14ac:dyDescent="0.2">
      <c r="B4" s="2552" t="str">
        <f>'Single Audit Cover'!A4</f>
        <v>Year Ending June 30, 2019</v>
      </c>
      <c r="C4" s="2552"/>
      <c r="D4" s="2552"/>
      <c r="E4" s="1454"/>
    </row>
    <row r="5" spans="2:5" s="1263" customFormat="1" ht="40.15" customHeight="1" x14ac:dyDescent="0.2">
      <c r="B5" s="1455" t="s">
        <v>1766</v>
      </c>
      <c r="C5" s="328"/>
      <c r="D5" s="328"/>
      <c r="E5" s="328"/>
    </row>
    <row r="6" spans="2:5" s="1263" customFormat="1" ht="13.5" customHeight="1" x14ac:dyDescent="0.2">
      <c r="B6" s="1456" t="s">
        <v>1315</v>
      </c>
      <c r="C6" s="1456" t="s">
        <v>1314</v>
      </c>
      <c r="D6" s="1456" t="s">
        <v>1767</v>
      </c>
    </row>
    <row r="7" spans="2:5" ht="13.5" customHeight="1" x14ac:dyDescent="0.2">
      <c r="B7" s="1457"/>
      <c r="C7" s="324"/>
      <c r="D7" s="324"/>
      <c r="E7" s="324"/>
    </row>
    <row r="8" spans="2:5" ht="13.5" customHeight="1" x14ac:dyDescent="0.2">
      <c r="B8" s="1457"/>
      <c r="C8" s="324"/>
      <c r="D8" s="324"/>
      <c r="E8" s="324"/>
    </row>
    <row r="9" spans="2:5" ht="13.5" customHeight="1" x14ac:dyDescent="0.2">
      <c r="B9" s="1458"/>
      <c r="C9" s="323"/>
      <c r="D9" s="323"/>
      <c r="E9" s="323"/>
    </row>
    <row r="10" spans="2:5" ht="13.5" customHeight="1" x14ac:dyDescent="0.2">
      <c r="B10" s="1457"/>
      <c r="C10" s="323"/>
      <c r="D10" s="323"/>
      <c r="E10" s="323"/>
    </row>
    <row r="11" spans="2:5" ht="13.5" customHeight="1" x14ac:dyDescent="0.2">
      <c r="B11" s="1457"/>
      <c r="C11" s="323"/>
      <c r="D11" s="323"/>
      <c r="E11" s="323"/>
    </row>
    <row r="12" spans="2:5" ht="13.5" customHeight="1" x14ac:dyDescent="0.2">
      <c r="B12" s="1457"/>
      <c r="C12" s="323"/>
      <c r="D12" s="323"/>
      <c r="E12" s="323"/>
    </row>
    <row r="13" spans="2:5" ht="13.5" customHeight="1" x14ac:dyDescent="0.2">
      <c r="B13" s="1457"/>
      <c r="C13" s="323"/>
      <c r="D13" s="323"/>
      <c r="E13" s="323"/>
    </row>
    <row r="14" spans="2:5" ht="13.5" customHeight="1" x14ac:dyDescent="0.2">
      <c r="B14" s="1457"/>
      <c r="C14" s="323"/>
      <c r="D14" s="323"/>
      <c r="E14" s="323"/>
    </row>
    <row r="15" spans="2:5" ht="13.5" customHeight="1" x14ac:dyDescent="0.2">
      <c r="B15" s="1457"/>
      <c r="C15" s="323"/>
      <c r="D15" s="323"/>
      <c r="E15" s="323"/>
    </row>
    <row r="16" spans="2:5" ht="13.5" customHeight="1" x14ac:dyDescent="0.2">
      <c r="B16" s="1457"/>
      <c r="C16" s="323"/>
      <c r="D16" s="323"/>
      <c r="E16" s="323"/>
    </row>
    <row r="17" spans="2:5" ht="13.5" customHeight="1" x14ac:dyDescent="0.2">
      <c r="B17" s="1457"/>
      <c r="C17" s="323"/>
      <c r="D17" s="323"/>
      <c r="E17" s="323"/>
    </row>
    <row r="18" spans="2:5" ht="13.5" customHeight="1" x14ac:dyDescent="0.2">
      <c r="B18" s="1457"/>
      <c r="C18" s="323"/>
      <c r="D18" s="323"/>
      <c r="E18" s="323"/>
    </row>
    <row r="19" spans="2:5" ht="13.5" customHeight="1" x14ac:dyDescent="0.2">
      <c r="B19" s="1457"/>
      <c r="C19" s="323"/>
      <c r="D19" s="323"/>
      <c r="E19" s="323"/>
    </row>
    <row r="20" spans="2:5" ht="13.5" customHeight="1" x14ac:dyDescent="0.2">
      <c r="B20" s="1457"/>
      <c r="C20" s="323"/>
      <c r="D20" s="323"/>
      <c r="E20" s="323"/>
    </row>
    <row r="21" spans="2:5" ht="13.5" customHeight="1" x14ac:dyDescent="0.2">
      <c r="B21" s="1457"/>
      <c r="C21" s="323"/>
      <c r="D21" s="323"/>
      <c r="E21" s="323"/>
    </row>
    <row r="22" spans="2:5" ht="13.5" customHeight="1" x14ac:dyDescent="0.2">
      <c r="B22" s="1457"/>
      <c r="C22" s="323"/>
      <c r="D22" s="323"/>
      <c r="E22" s="323"/>
    </row>
    <row r="23" spans="2:5" ht="13.5" customHeight="1" x14ac:dyDescent="0.2">
      <c r="B23" s="1457"/>
      <c r="C23" s="323"/>
      <c r="D23" s="323"/>
      <c r="E23" s="323"/>
    </row>
    <row r="24" spans="2:5" ht="13.5" customHeight="1" x14ac:dyDescent="0.2">
      <c r="B24" s="1457"/>
      <c r="C24" s="323"/>
      <c r="D24" s="323"/>
      <c r="E24" s="323"/>
    </row>
    <row r="25" spans="2:5" ht="13.5" customHeight="1" x14ac:dyDescent="0.2">
      <c r="B25" s="1457"/>
      <c r="C25" s="323"/>
      <c r="D25" s="323"/>
      <c r="E25" s="323"/>
    </row>
    <row r="26" spans="2:5" ht="13.5" customHeight="1" x14ac:dyDescent="0.2">
      <c r="B26" s="1457"/>
      <c r="C26" s="323"/>
      <c r="D26" s="323"/>
      <c r="E26" s="323"/>
    </row>
    <row r="27" spans="2:5" ht="13.5" customHeight="1" x14ac:dyDescent="0.2">
      <c r="B27" s="1457"/>
      <c r="C27" s="323"/>
      <c r="D27" s="323"/>
      <c r="E27" s="323"/>
    </row>
    <row r="28" spans="2:5" ht="13.5" customHeight="1" x14ac:dyDescent="0.2">
      <c r="B28" s="1457"/>
      <c r="C28" s="323"/>
      <c r="D28" s="323"/>
      <c r="E28" s="323"/>
    </row>
    <row r="29" spans="2:5" ht="13.5" customHeight="1" x14ac:dyDescent="0.2">
      <c r="B29" s="1457"/>
      <c r="C29" s="323"/>
      <c r="D29" s="323"/>
      <c r="E29" s="323"/>
    </row>
    <row r="30" spans="2:5" ht="13.5" customHeight="1" x14ac:dyDescent="0.2">
      <c r="B30" s="1457"/>
      <c r="C30" s="323"/>
      <c r="D30" s="323"/>
      <c r="E30" s="323"/>
    </row>
    <row r="31" spans="2:5" ht="13.5" customHeight="1" x14ac:dyDescent="0.2">
      <c r="B31" s="1457"/>
      <c r="C31" s="323"/>
      <c r="D31" s="323"/>
      <c r="E31" s="323"/>
    </row>
    <row r="32" spans="2:5" ht="13.5" customHeight="1" x14ac:dyDescent="0.2">
      <c r="B32" s="1459"/>
      <c r="C32" s="323"/>
      <c r="D32" s="323"/>
      <c r="E32" s="323"/>
    </row>
    <row r="33" spans="2:5" ht="13.5" customHeight="1" x14ac:dyDescent="0.2">
      <c r="B33" s="1460"/>
      <c r="C33" s="323"/>
      <c r="D33" s="323"/>
      <c r="E33" s="323"/>
    </row>
    <row r="34" spans="2:5" ht="13.5" customHeight="1" x14ac:dyDescent="0.2">
      <c r="B34" s="1461"/>
      <c r="C34" s="323"/>
      <c r="D34" s="323"/>
      <c r="E34" s="323"/>
    </row>
    <row r="35" spans="2:5" ht="13.5" customHeight="1" x14ac:dyDescent="0.2">
      <c r="B35" s="1460"/>
      <c r="C35" s="323"/>
      <c r="D35" s="323"/>
      <c r="E35" s="323"/>
    </row>
    <row r="36" spans="2:5" ht="13.5" customHeight="1" x14ac:dyDescent="0.2">
      <c r="B36" s="1461"/>
      <c r="C36" s="323"/>
      <c r="D36" s="323"/>
      <c r="E36" s="323"/>
    </row>
    <row r="37" spans="2:5" ht="13.5" customHeight="1" x14ac:dyDescent="0.2">
      <c r="B37" s="1461"/>
      <c r="C37" s="323"/>
      <c r="D37" s="323"/>
      <c r="E37" s="323"/>
    </row>
    <row r="38" spans="2:5" ht="13.5" customHeight="1" x14ac:dyDescent="0.2">
      <c r="B38" s="1460"/>
      <c r="C38" s="323"/>
      <c r="D38" s="323"/>
      <c r="E38" s="323"/>
    </row>
    <row r="39" spans="2:5" ht="13.5" customHeight="1" x14ac:dyDescent="0.2">
      <c r="B39" s="1461"/>
      <c r="C39" s="323"/>
      <c r="D39" s="323"/>
      <c r="E39" s="323"/>
    </row>
    <row r="40" spans="2:5" ht="13.5" customHeight="1" x14ac:dyDescent="0.2">
      <c r="B40" s="1460"/>
      <c r="C40" s="323"/>
      <c r="D40" s="323"/>
      <c r="E40" s="323"/>
    </row>
    <row r="41" spans="2:5" ht="13.5" customHeight="1" x14ac:dyDescent="0.2">
      <c r="B41" s="1462"/>
      <c r="C41" s="323"/>
      <c r="D41" s="323"/>
      <c r="E41" s="323"/>
    </row>
    <row r="42" spans="2:5" ht="13.5" customHeight="1" x14ac:dyDescent="0.2">
      <c r="B42" s="1463"/>
      <c r="C42" s="323"/>
      <c r="D42" s="323"/>
      <c r="E42" s="323"/>
    </row>
    <row r="43" spans="2:5" ht="12.75" customHeight="1" x14ac:dyDescent="0.2">
      <c r="B43" s="1464"/>
      <c r="C43" s="1465"/>
      <c r="D43" s="1465"/>
      <c r="E43" s="323"/>
    </row>
    <row r="44" spans="2:5" ht="12.2" customHeight="1" x14ac:dyDescent="0.2">
      <c r="B44" s="1238" t="s">
        <v>1313</v>
      </c>
      <c r="C44" s="322"/>
    </row>
    <row r="45" spans="2:5" ht="12.2" customHeight="1" x14ac:dyDescent="0.2">
      <c r="B45" s="1466" t="s">
        <v>1768</v>
      </c>
    </row>
    <row r="46" spans="2:5" ht="12.2" customHeight="1" x14ac:dyDescent="0.2">
      <c r="B46" s="1466" t="s">
        <v>1769</v>
      </c>
    </row>
    <row r="47" spans="2:5" ht="12.2" customHeight="1" x14ac:dyDescent="0.2">
      <c r="B47" s="1467" t="s">
        <v>1312</v>
      </c>
    </row>
    <row r="48" spans="2:5" ht="12.2" customHeight="1" x14ac:dyDescent="0.2">
      <c r="B48" s="1467" t="s">
        <v>1311</v>
      </c>
    </row>
    <row r="49" spans="2:5" ht="12.2" customHeight="1" x14ac:dyDescent="0.2">
      <c r="B49" s="1467" t="s">
        <v>1310</v>
      </c>
    </row>
    <row r="50" spans="2:5" ht="12.2" customHeight="1" x14ac:dyDescent="0.2">
      <c r="B50" s="1467" t="s">
        <v>1309</v>
      </c>
    </row>
    <row r="53" spans="2:5" ht="12.75" customHeight="1" x14ac:dyDescent="0.2"/>
    <row r="54" spans="2:5" ht="12.75" customHeight="1" x14ac:dyDescent="0.2">
      <c r="B54" s="1248"/>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86"/>
    </row>
    <row r="68" spans="2:2" x14ac:dyDescent="0.2">
      <c r="B68" s="1281"/>
    </row>
    <row r="69" spans="2:2" x14ac:dyDescent="0.2">
      <c r="B69" s="1281"/>
    </row>
    <row r="70" spans="2:2" x14ac:dyDescent="0.2">
      <c r="B70" s="1387"/>
    </row>
    <row r="71" spans="2:2" x14ac:dyDescent="0.2">
      <c r="B71" s="1387"/>
    </row>
    <row r="72" spans="2:2" x14ac:dyDescent="0.2">
      <c r="B72" s="1387"/>
    </row>
    <row r="73" spans="2:2" x14ac:dyDescent="0.2">
      <c r="B73" s="1281"/>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G937"/>
  <sheetViews>
    <sheetView workbookViewId="0">
      <pane ySplit="1" topLeftCell="A443" activePane="bottomLeft" state="frozen"/>
      <selection activeCell="A461" sqref="A461"/>
      <selection pane="bottomLeft" activeCell="A461" sqref="A461"/>
    </sheetView>
  </sheetViews>
  <sheetFormatPr defaultColWidth="9.140625" defaultRowHeight="15" x14ac:dyDescent="0.25"/>
  <cols>
    <col min="1" max="1" width="35.85546875" style="1921" bestFit="1" customWidth="1"/>
    <col min="2" max="2" width="55.85546875" style="1921" bestFit="1" customWidth="1"/>
    <col min="3" max="5" width="13.42578125" style="1921" bestFit="1" customWidth="1"/>
    <col min="6" max="6" width="14.140625" style="1938" bestFit="1" customWidth="1"/>
    <col min="7" max="7" width="11.7109375" style="1921" bestFit="1" customWidth="1"/>
    <col min="8" max="16384" width="9.140625" style="1921"/>
  </cols>
  <sheetData>
    <row r="1" spans="1:7" s="1928" customFormat="1" ht="79.5" customHeight="1" x14ac:dyDescent="0.25">
      <c r="A1" s="1946" t="s">
        <v>2082</v>
      </c>
      <c r="C1" s="1929"/>
      <c r="D1" s="1929"/>
      <c r="E1" s="1946" t="s">
        <v>2081</v>
      </c>
      <c r="F1" s="1946" t="s">
        <v>2080</v>
      </c>
    </row>
    <row r="2" spans="1:7" x14ac:dyDescent="0.25">
      <c r="A2" t="s">
        <v>2439</v>
      </c>
      <c r="B2" t="s">
        <v>2440</v>
      </c>
      <c r="C2" s="1969">
        <v>269</v>
      </c>
      <c r="D2" s="1969">
        <v>0</v>
      </c>
      <c r="E2" s="1969">
        <v>269</v>
      </c>
      <c r="F2" s="1939"/>
      <c r="G2" s="1927"/>
    </row>
    <row r="3" spans="1:7" x14ac:dyDescent="0.25">
      <c r="A3" t="s">
        <v>2438</v>
      </c>
      <c r="B3" t="s">
        <v>2441</v>
      </c>
      <c r="C3" s="1969">
        <v>10742.45</v>
      </c>
      <c r="D3" s="1969">
        <v>5000.7</v>
      </c>
      <c r="E3" s="1969">
        <v>5741.75</v>
      </c>
      <c r="F3" s="1939"/>
      <c r="G3" s="1927"/>
    </row>
    <row r="4" spans="1:7" x14ac:dyDescent="0.25">
      <c r="A4" t="s">
        <v>2437</v>
      </c>
      <c r="B4" t="s">
        <v>2442</v>
      </c>
      <c r="C4" s="1969">
        <v>0</v>
      </c>
      <c r="D4" s="1969">
        <v>0</v>
      </c>
      <c r="E4" s="1969">
        <v>0</v>
      </c>
      <c r="F4" s="1939"/>
      <c r="G4" s="1927"/>
    </row>
    <row r="5" spans="1:7" x14ac:dyDescent="0.25">
      <c r="A5" t="s">
        <v>2886</v>
      </c>
      <c r="B5" t="s">
        <v>2443</v>
      </c>
      <c r="C5" s="1969">
        <v>1000</v>
      </c>
      <c r="D5" s="1969">
        <v>0</v>
      </c>
      <c r="E5" s="1969">
        <v>1000</v>
      </c>
      <c r="F5" s="1939"/>
      <c r="G5" s="1927"/>
    </row>
    <row r="6" spans="1:7" x14ac:dyDescent="0.25">
      <c r="A6" t="s">
        <v>2886</v>
      </c>
      <c r="B6" t="s">
        <v>2444</v>
      </c>
      <c r="C6" s="1969">
        <v>0</v>
      </c>
      <c r="D6" s="1969">
        <v>0</v>
      </c>
      <c r="E6" s="1969">
        <v>0</v>
      </c>
      <c r="F6" s="1940"/>
      <c r="G6" s="1927"/>
    </row>
    <row r="7" spans="1:7" x14ac:dyDescent="0.25">
      <c r="A7" t="s">
        <v>2887</v>
      </c>
      <c r="B7" t="s">
        <v>2445</v>
      </c>
      <c r="C7" s="1969">
        <v>873084.72</v>
      </c>
      <c r="D7" s="1969">
        <v>327466.57</v>
      </c>
      <c r="E7" s="1969">
        <v>545618.15</v>
      </c>
      <c r="F7" s="1939"/>
      <c r="G7" s="1927"/>
    </row>
    <row r="8" spans="1:7" x14ac:dyDescent="0.25">
      <c r="A8" t="s">
        <v>2888</v>
      </c>
      <c r="B8" t="s">
        <v>2446</v>
      </c>
      <c r="C8" s="1969">
        <v>32006.799999999999</v>
      </c>
      <c r="D8" s="1969">
        <v>9199.17</v>
      </c>
      <c r="E8" s="1969">
        <v>22807.63</v>
      </c>
      <c r="F8" s="1939"/>
      <c r="G8" s="1927"/>
    </row>
    <row r="9" spans="1:7" x14ac:dyDescent="0.25">
      <c r="A9" t="s">
        <v>2889</v>
      </c>
      <c r="B9" t="s">
        <v>2447</v>
      </c>
      <c r="C9" s="1969">
        <v>149.28</v>
      </c>
      <c r="D9" s="1969">
        <v>0</v>
      </c>
      <c r="E9" s="1969">
        <v>149.28</v>
      </c>
      <c r="F9" s="1940"/>
      <c r="G9" s="1927"/>
    </row>
    <row r="10" spans="1:7" x14ac:dyDescent="0.25">
      <c r="A10" t="s">
        <v>2890</v>
      </c>
      <c r="B10" t="s">
        <v>2448</v>
      </c>
      <c r="C10" s="1969">
        <v>5.8</v>
      </c>
      <c r="D10" s="1969">
        <v>0</v>
      </c>
      <c r="E10" s="1969">
        <v>5.8</v>
      </c>
      <c r="F10" s="1939"/>
      <c r="G10" s="1927"/>
    </row>
    <row r="11" spans="1:7" x14ac:dyDescent="0.25">
      <c r="A11" t="s">
        <v>2890</v>
      </c>
      <c r="B11" t="s">
        <v>2449</v>
      </c>
      <c r="C11" s="1969">
        <v>5433.28</v>
      </c>
      <c r="D11" s="1969">
        <v>1925.14</v>
      </c>
      <c r="E11" s="1969">
        <v>3508.14</v>
      </c>
      <c r="F11" s="1939"/>
      <c r="G11" s="1927"/>
    </row>
    <row r="12" spans="1:7" x14ac:dyDescent="0.25">
      <c r="A12" t="s">
        <v>2890</v>
      </c>
      <c r="B12" t="s">
        <v>2450</v>
      </c>
      <c r="C12" s="1969">
        <v>0</v>
      </c>
      <c r="D12" s="1969">
        <v>0</v>
      </c>
      <c r="E12" s="1969">
        <v>0</v>
      </c>
      <c r="F12" s="1939"/>
      <c r="G12" s="1927"/>
    </row>
    <row r="13" spans="1:7" x14ac:dyDescent="0.25">
      <c r="A13" t="s">
        <v>2891</v>
      </c>
      <c r="B13" t="s">
        <v>2451</v>
      </c>
      <c r="C13" s="1969">
        <v>9.1999999999999993</v>
      </c>
      <c r="D13" s="1969">
        <v>0</v>
      </c>
      <c r="E13" s="1969">
        <v>9.1999999999999993</v>
      </c>
      <c r="F13" s="1940"/>
      <c r="G13" s="1927"/>
    </row>
    <row r="14" spans="1:7" x14ac:dyDescent="0.25">
      <c r="A14" t="s">
        <v>2891</v>
      </c>
      <c r="B14" t="s">
        <v>2452</v>
      </c>
      <c r="C14" s="1969">
        <v>7759.8</v>
      </c>
      <c r="D14" s="1969">
        <v>2796.1</v>
      </c>
      <c r="E14" s="1969">
        <v>4963.7</v>
      </c>
      <c r="F14" s="1940"/>
      <c r="G14" s="1927"/>
    </row>
    <row r="15" spans="1:7" x14ac:dyDescent="0.25">
      <c r="A15" t="s">
        <v>2892</v>
      </c>
      <c r="B15" t="s">
        <v>2453</v>
      </c>
      <c r="C15" s="1969">
        <v>508</v>
      </c>
      <c r="D15" s="1969">
        <v>190</v>
      </c>
      <c r="E15" s="1969">
        <v>318</v>
      </c>
      <c r="F15" s="1940"/>
      <c r="G15" s="1927"/>
    </row>
    <row r="16" spans="1:7" x14ac:dyDescent="0.25">
      <c r="A16" t="s">
        <v>2893</v>
      </c>
      <c r="B16" t="s">
        <v>2454</v>
      </c>
      <c r="C16" s="1969">
        <v>89738.42</v>
      </c>
      <c r="D16" s="1969">
        <v>33488.89</v>
      </c>
      <c r="E16" s="1969">
        <f>56249.53+10438.97</f>
        <v>66688.5</v>
      </c>
      <c r="F16" s="1940"/>
    </row>
    <row r="17" spans="1:6" x14ac:dyDescent="0.25">
      <c r="A17" t="s">
        <v>2893</v>
      </c>
      <c r="B17" t="s">
        <v>2455</v>
      </c>
      <c r="C17" s="1969">
        <v>0</v>
      </c>
      <c r="D17" s="1969">
        <v>0</v>
      </c>
      <c r="E17" s="1969">
        <v>0</v>
      </c>
      <c r="F17" s="1940"/>
    </row>
    <row r="18" spans="1:6" x14ac:dyDescent="0.25">
      <c r="A18" t="s">
        <v>2894</v>
      </c>
      <c r="B18" t="s">
        <v>2456</v>
      </c>
      <c r="C18" s="1969">
        <v>6968.48</v>
      </c>
      <c r="D18" s="1969">
        <v>1575</v>
      </c>
      <c r="E18" s="1969">
        <v>5393.48</v>
      </c>
      <c r="F18" s="1940"/>
    </row>
    <row r="19" spans="1:6" x14ac:dyDescent="0.25">
      <c r="A19" t="s">
        <v>2895</v>
      </c>
      <c r="B19" t="s">
        <v>2457</v>
      </c>
      <c r="C19" s="1969">
        <v>50067.6</v>
      </c>
      <c r="D19" s="1969">
        <v>25033.8</v>
      </c>
      <c r="E19" s="1969">
        <v>25033.8</v>
      </c>
      <c r="F19" s="1940"/>
    </row>
    <row r="20" spans="1:6" x14ac:dyDescent="0.25">
      <c r="A20" t="s">
        <v>2896</v>
      </c>
      <c r="B20" t="s">
        <v>2458</v>
      </c>
      <c r="C20" s="1969">
        <v>1904</v>
      </c>
      <c r="D20" s="1969">
        <v>182</v>
      </c>
      <c r="E20" s="1969">
        <v>1722</v>
      </c>
      <c r="F20" s="1940"/>
    </row>
    <row r="21" spans="1:6" x14ac:dyDescent="0.25">
      <c r="A21" t="s">
        <v>2439</v>
      </c>
      <c r="B21" t="s">
        <v>2459</v>
      </c>
      <c r="C21" s="1969">
        <v>300</v>
      </c>
      <c r="D21" s="1969">
        <v>150</v>
      </c>
      <c r="E21" s="1969">
        <v>150</v>
      </c>
      <c r="F21" s="1940"/>
    </row>
    <row r="22" spans="1:6" x14ac:dyDescent="0.25">
      <c r="A22" t="s">
        <v>2897</v>
      </c>
      <c r="B22" t="s">
        <v>2460</v>
      </c>
      <c r="C22" s="1969">
        <v>0</v>
      </c>
      <c r="D22" s="1969">
        <v>0</v>
      </c>
      <c r="E22" s="1969">
        <v>0</v>
      </c>
      <c r="F22" s="1940"/>
    </row>
    <row r="23" spans="1:6" x14ac:dyDescent="0.25">
      <c r="A23" t="s">
        <v>2898</v>
      </c>
      <c r="B23" t="s">
        <v>2461</v>
      </c>
      <c r="C23" s="1969">
        <v>9731.3799999999992</v>
      </c>
      <c r="D23" s="1969">
        <v>4865.6899999999996</v>
      </c>
      <c r="E23" s="1969">
        <v>4865.6899999999996</v>
      </c>
      <c r="F23" s="1940"/>
    </row>
    <row r="24" spans="1:6" x14ac:dyDescent="0.25">
      <c r="A24" t="s">
        <v>2899</v>
      </c>
      <c r="B24" t="s">
        <v>2462</v>
      </c>
      <c r="C24" s="1969">
        <v>440.56</v>
      </c>
      <c r="D24" s="1969">
        <v>99.9</v>
      </c>
      <c r="E24" s="1969">
        <v>340.66</v>
      </c>
      <c r="F24" s="1940"/>
    </row>
    <row r="25" spans="1:6" x14ac:dyDescent="0.25">
      <c r="A25" t="s">
        <v>2900</v>
      </c>
      <c r="B25" t="s">
        <v>2463</v>
      </c>
      <c r="C25" s="1969">
        <v>8323</v>
      </c>
      <c r="D25" s="1969">
        <v>1704.38</v>
      </c>
      <c r="E25" s="1969">
        <v>6618.62</v>
      </c>
      <c r="F25" s="1941"/>
    </row>
    <row r="26" spans="1:6" x14ac:dyDescent="0.25">
      <c r="A26" t="s">
        <v>2901</v>
      </c>
      <c r="B26" t="s">
        <v>2464</v>
      </c>
      <c r="C26" s="1969">
        <v>7349.77</v>
      </c>
      <c r="D26" s="1969">
        <v>2901.82</v>
      </c>
      <c r="E26" s="1969">
        <v>4447.95</v>
      </c>
      <c r="F26" s="1940"/>
    </row>
    <row r="27" spans="1:6" x14ac:dyDescent="0.25">
      <c r="A27" t="s">
        <v>2902</v>
      </c>
      <c r="B27" t="s">
        <v>2465</v>
      </c>
      <c r="C27" s="1969">
        <v>80093.570000000007</v>
      </c>
      <c r="D27" s="1969">
        <v>37820.199999999997</v>
      </c>
      <c r="E27" s="1969">
        <f>42273.37-954.34</f>
        <v>41319.030000000006</v>
      </c>
      <c r="F27" s="1940"/>
    </row>
    <row r="28" spans="1:6" x14ac:dyDescent="0.25">
      <c r="A28" t="s">
        <v>2903</v>
      </c>
      <c r="B28" t="s">
        <v>2466</v>
      </c>
      <c r="C28" s="1969">
        <v>0</v>
      </c>
      <c r="D28" s="1969">
        <v>0</v>
      </c>
      <c r="E28" s="1969">
        <v>0</v>
      </c>
      <c r="F28" s="1939"/>
    </row>
    <row r="29" spans="1:6" x14ac:dyDescent="0.25">
      <c r="A29" t="s">
        <v>2904</v>
      </c>
      <c r="B29" t="s">
        <v>2467</v>
      </c>
      <c r="C29" s="1969">
        <v>0</v>
      </c>
      <c r="D29" s="1969">
        <v>0</v>
      </c>
      <c r="E29" s="1969">
        <v>0</v>
      </c>
      <c r="F29" s="1940"/>
    </row>
    <row r="30" spans="1:6" x14ac:dyDescent="0.25">
      <c r="A30" t="s">
        <v>2905</v>
      </c>
      <c r="B30" t="s">
        <v>2468</v>
      </c>
      <c r="C30" s="1969">
        <v>0</v>
      </c>
      <c r="D30" s="1969">
        <v>0</v>
      </c>
      <c r="E30" s="1969">
        <v>0</v>
      </c>
      <c r="F30" s="1940"/>
    </row>
    <row r="31" spans="1:6" x14ac:dyDescent="0.25">
      <c r="A31" t="s">
        <v>2906</v>
      </c>
      <c r="B31" t="s">
        <v>2469</v>
      </c>
      <c r="C31" s="1969">
        <v>0</v>
      </c>
      <c r="D31" s="1969">
        <v>0</v>
      </c>
      <c r="E31" s="1969">
        <v>0</v>
      </c>
      <c r="F31" s="1942"/>
    </row>
    <row r="32" spans="1:6" x14ac:dyDescent="0.25">
      <c r="A32" t="s">
        <v>2907</v>
      </c>
      <c r="B32" t="s">
        <v>2470</v>
      </c>
      <c r="C32" s="1969">
        <v>0</v>
      </c>
      <c r="D32" s="1969">
        <v>0</v>
      </c>
      <c r="E32" s="1969">
        <v>0</v>
      </c>
      <c r="F32" s="1943"/>
    </row>
    <row r="33" spans="1:6" x14ac:dyDescent="0.25">
      <c r="A33" t="s">
        <v>2908</v>
      </c>
      <c r="B33" t="s">
        <v>2471</v>
      </c>
      <c r="C33" s="1969">
        <v>0</v>
      </c>
      <c r="D33" s="1969">
        <v>0</v>
      </c>
      <c r="E33" s="1969">
        <v>0</v>
      </c>
      <c r="F33" s="1940"/>
    </row>
    <row r="34" spans="1:6" x14ac:dyDescent="0.25">
      <c r="A34" t="s">
        <v>2909</v>
      </c>
      <c r="B34" t="s">
        <v>2472</v>
      </c>
      <c r="C34" s="1969">
        <v>0</v>
      </c>
      <c r="D34" s="1969">
        <v>0</v>
      </c>
      <c r="E34" s="1969">
        <v>0</v>
      </c>
      <c r="F34" s="1943"/>
    </row>
    <row r="35" spans="1:6" x14ac:dyDescent="0.25">
      <c r="A35" t="s">
        <v>2910</v>
      </c>
      <c r="B35" t="s">
        <v>2473</v>
      </c>
      <c r="C35" s="1969">
        <v>0</v>
      </c>
      <c r="D35" s="1969">
        <v>0</v>
      </c>
      <c r="E35" s="1969">
        <v>0</v>
      </c>
      <c r="F35" s="1943"/>
    </row>
    <row r="36" spans="1:6" x14ac:dyDescent="0.25">
      <c r="A36" t="s">
        <v>2911</v>
      </c>
      <c r="B36" t="s">
        <v>2474</v>
      </c>
      <c r="C36" s="1969">
        <v>0</v>
      </c>
      <c r="D36" s="1969">
        <v>0</v>
      </c>
      <c r="E36" s="1969">
        <v>0</v>
      </c>
      <c r="F36" s="1943"/>
    </row>
    <row r="37" spans="1:6" x14ac:dyDescent="0.25">
      <c r="A37" t="s">
        <v>2912</v>
      </c>
      <c r="B37" t="s">
        <v>2475</v>
      </c>
      <c r="C37" s="1969">
        <v>0</v>
      </c>
      <c r="D37" s="1969">
        <v>0</v>
      </c>
      <c r="E37" s="1969">
        <v>0</v>
      </c>
      <c r="F37" s="1943"/>
    </row>
    <row r="38" spans="1:6" x14ac:dyDescent="0.25">
      <c r="A38" t="s">
        <v>2913</v>
      </c>
      <c r="B38" t="s">
        <v>2476</v>
      </c>
      <c r="C38" s="1969">
        <v>0</v>
      </c>
      <c r="D38" s="1969">
        <v>0</v>
      </c>
      <c r="E38" s="1969">
        <v>0</v>
      </c>
      <c r="F38" s="1943"/>
    </row>
    <row r="39" spans="1:6" x14ac:dyDescent="0.25">
      <c r="A39" t="s">
        <v>2914</v>
      </c>
      <c r="B39" t="s">
        <v>2477</v>
      </c>
      <c r="C39" s="1969">
        <v>0</v>
      </c>
      <c r="D39" s="1969">
        <v>0</v>
      </c>
      <c r="E39" s="1969">
        <v>0</v>
      </c>
      <c r="F39" s="1943"/>
    </row>
    <row r="40" spans="1:6" x14ac:dyDescent="0.25">
      <c r="A40" t="s">
        <v>2915</v>
      </c>
      <c r="B40" t="s">
        <v>2478</v>
      </c>
      <c r="C40" s="1969">
        <v>51990.239999999998</v>
      </c>
      <c r="D40" s="1969">
        <v>0</v>
      </c>
      <c r="E40" s="1969">
        <v>0</v>
      </c>
      <c r="F40" s="1943"/>
    </row>
    <row r="41" spans="1:6" x14ac:dyDescent="0.25">
      <c r="A41" t="s">
        <v>2916</v>
      </c>
      <c r="B41" t="s">
        <v>2479</v>
      </c>
      <c r="C41" s="1969">
        <v>128556.94</v>
      </c>
      <c r="D41" s="1969">
        <v>63537.47</v>
      </c>
      <c r="E41" s="1969">
        <v>65019.47</v>
      </c>
      <c r="F41" s="1943"/>
    </row>
    <row r="42" spans="1:6" x14ac:dyDescent="0.25">
      <c r="A42" t="s">
        <v>2917</v>
      </c>
      <c r="B42" t="s">
        <v>2480</v>
      </c>
      <c r="C42" s="1969">
        <v>1332.72</v>
      </c>
      <c r="D42" s="1969">
        <v>0</v>
      </c>
      <c r="E42" s="1969">
        <v>1332.72</v>
      </c>
      <c r="F42" s="1943"/>
    </row>
    <row r="43" spans="1:6" x14ac:dyDescent="0.25">
      <c r="A43" t="s">
        <v>2918</v>
      </c>
      <c r="B43" t="s">
        <v>2481</v>
      </c>
      <c r="C43" s="1969">
        <v>1072.44</v>
      </c>
      <c r="D43" s="1969">
        <v>536.22</v>
      </c>
      <c r="E43" s="1969">
        <v>536.22</v>
      </c>
      <c r="F43" s="1943"/>
    </row>
    <row r="44" spans="1:6" x14ac:dyDescent="0.25">
      <c r="A44" t="s">
        <v>2919</v>
      </c>
      <c r="B44" t="s">
        <v>2482</v>
      </c>
      <c r="C44" s="1969">
        <v>23710.68</v>
      </c>
      <c r="D44" s="1969">
        <v>11855.34</v>
      </c>
      <c r="E44" s="1969">
        <v>11855.34</v>
      </c>
      <c r="F44" s="1943"/>
    </row>
    <row r="45" spans="1:6" x14ac:dyDescent="0.25">
      <c r="A45" t="s">
        <v>2920</v>
      </c>
      <c r="B45" t="s">
        <v>2483</v>
      </c>
      <c r="C45" s="1969">
        <v>9685.1</v>
      </c>
      <c r="D45" s="1969">
        <v>4842.55</v>
      </c>
      <c r="E45" s="1969">
        <v>4842.55</v>
      </c>
      <c r="F45" s="1943"/>
    </row>
    <row r="46" spans="1:6" x14ac:dyDescent="0.25">
      <c r="A46" t="s">
        <v>2436</v>
      </c>
      <c r="B46" t="s">
        <v>2484</v>
      </c>
      <c r="C46" s="1969">
        <v>8887.8799999999992</v>
      </c>
      <c r="D46" s="1969">
        <v>4443.9399999999996</v>
      </c>
      <c r="E46" s="1969">
        <v>4443.9399999999996</v>
      </c>
      <c r="F46" s="1943"/>
    </row>
    <row r="47" spans="1:6" x14ac:dyDescent="0.25">
      <c r="A47" t="s">
        <v>2435</v>
      </c>
      <c r="B47" t="s">
        <v>2485</v>
      </c>
      <c r="C47" s="1969">
        <v>74457.89</v>
      </c>
      <c r="D47" s="1969">
        <v>21981.22</v>
      </c>
      <c r="E47" s="1969">
        <v>52476.67</v>
      </c>
      <c r="F47" s="1943"/>
    </row>
    <row r="48" spans="1:6" x14ac:dyDescent="0.25">
      <c r="A48" t="s">
        <v>2434</v>
      </c>
      <c r="B48" t="s">
        <v>2486</v>
      </c>
      <c r="C48" s="1969">
        <v>15</v>
      </c>
      <c r="D48" s="1969">
        <v>0</v>
      </c>
      <c r="E48" s="1969">
        <v>15</v>
      </c>
      <c r="F48" s="1943"/>
    </row>
    <row r="49" spans="1:6" x14ac:dyDescent="0.25">
      <c r="A49" t="s">
        <v>2433</v>
      </c>
      <c r="B49" t="s">
        <v>2487</v>
      </c>
      <c r="C49" s="1969">
        <v>428.8</v>
      </c>
      <c r="D49" s="1969">
        <v>120</v>
      </c>
      <c r="E49" s="1969">
        <v>308.8</v>
      </c>
      <c r="F49" s="1943"/>
    </row>
    <row r="50" spans="1:6" x14ac:dyDescent="0.25">
      <c r="A50" t="s">
        <v>2432</v>
      </c>
      <c r="B50" t="s">
        <v>2488</v>
      </c>
      <c r="C50" s="1969">
        <v>642.6</v>
      </c>
      <c r="D50" s="1969">
        <v>190.4</v>
      </c>
      <c r="E50" s="1969">
        <v>452.2</v>
      </c>
      <c r="F50" s="1943"/>
    </row>
    <row r="51" spans="1:6" x14ac:dyDescent="0.25">
      <c r="A51" t="s">
        <v>2431</v>
      </c>
      <c r="B51" t="s">
        <v>2489</v>
      </c>
      <c r="C51" s="1969">
        <v>50.5</v>
      </c>
      <c r="D51" s="1969">
        <v>17</v>
      </c>
      <c r="E51" s="1969">
        <v>33.5</v>
      </c>
      <c r="F51" s="1943"/>
    </row>
    <row r="52" spans="1:6" x14ac:dyDescent="0.25">
      <c r="A52" t="s">
        <v>2431</v>
      </c>
      <c r="B52" t="s">
        <v>2490</v>
      </c>
      <c r="C52" s="1969">
        <v>0</v>
      </c>
      <c r="D52" s="1969">
        <v>0</v>
      </c>
      <c r="E52" s="1969">
        <v>0</v>
      </c>
      <c r="F52" s="1943"/>
    </row>
    <row r="53" spans="1:6" x14ac:dyDescent="0.25">
      <c r="A53" t="s">
        <v>2430</v>
      </c>
      <c r="B53" t="s">
        <v>2491</v>
      </c>
      <c r="C53" s="1969">
        <v>9115.58</v>
      </c>
      <c r="D53" s="1969">
        <v>2853.91</v>
      </c>
      <c r="E53" s="1969">
        <v>6261.67</v>
      </c>
      <c r="F53" s="1943"/>
    </row>
    <row r="54" spans="1:6" x14ac:dyDescent="0.25">
      <c r="A54" t="s">
        <v>2430</v>
      </c>
      <c r="B54" t="s">
        <v>2492</v>
      </c>
      <c r="C54" s="1969">
        <v>0</v>
      </c>
      <c r="D54" s="1969">
        <v>0</v>
      </c>
      <c r="E54" s="1969">
        <v>0</v>
      </c>
      <c r="F54" s="1943"/>
    </row>
    <row r="55" spans="1:6" x14ac:dyDescent="0.25">
      <c r="A55" t="s">
        <v>2429</v>
      </c>
      <c r="B55" t="s">
        <v>2493</v>
      </c>
      <c r="C55" s="1969">
        <v>6586.54</v>
      </c>
      <c r="D55" s="1969">
        <v>3293.27</v>
      </c>
      <c r="E55" s="1969">
        <v>3293.27</v>
      </c>
      <c r="F55" s="1943"/>
    </row>
    <row r="56" spans="1:6" x14ac:dyDescent="0.25">
      <c r="A56" t="s">
        <v>2428</v>
      </c>
      <c r="B56" t="s">
        <v>2494</v>
      </c>
      <c r="C56" s="1969">
        <v>1725.38</v>
      </c>
      <c r="D56" s="1969">
        <v>575.46</v>
      </c>
      <c r="E56" s="1969">
        <f>1149.92+219.97</f>
        <v>1369.89</v>
      </c>
      <c r="F56" s="1943"/>
    </row>
    <row r="57" spans="1:6" x14ac:dyDescent="0.25">
      <c r="A57" t="s">
        <v>2427</v>
      </c>
      <c r="B57" t="s">
        <v>2495</v>
      </c>
      <c r="C57" s="1969">
        <v>2275.5500000000002</v>
      </c>
      <c r="D57" s="1969">
        <v>0</v>
      </c>
      <c r="E57" s="1969">
        <v>2275.5500000000002</v>
      </c>
      <c r="F57" s="1943"/>
    </row>
    <row r="58" spans="1:6" x14ac:dyDescent="0.25">
      <c r="A58" t="s">
        <v>2426</v>
      </c>
      <c r="B58" t="s">
        <v>2496</v>
      </c>
      <c r="C58" s="1969">
        <v>540</v>
      </c>
      <c r="D58" s="1969">
        <v>0</v>
      </c>
      <c r="E58" s="1969">
        <v>540</v>
      </c>
      <c r="F58" s="1943"/>
    </row>
    <row r="59" spans="1:6" x14ac:dyDescent="0.25">
      <c r="A59" t="s">
        <v>2425</v>
      </c>
      <c r="B59" t="s">
        <v>2497</v>
      </c>
      <c r="C59" s="1969">
        <v>10477.92</v>
      </c>
      <c r="D59" s="1969">
        <v>0</v>
      </c>
      <c r="E59" s="1969">
        <v>10477.92</v>
      </c>
      <c r="F59" s="1943"/>
    </row>
    <row r="60" spans="1:6" x14ac:dyDescent="0.25">
      <c r="A60" t="s">
        <v>2425</v>
      </c>
      <c r="B60" t="s">
        <v>2498</v>
      </c>
      <c r="C60" s="1969">
        <v>10006.34</v>
      </c>
      <c r="D60" s="1969">
        <v>0</v>
      </c>
      <c r="E60" s="1969">
        <v>10006.34</v>
      </c>
      <c r="F60" s="1943"/>
    </row>
    <row r="61" spans="1:6" x14ac:dyDescent="0.25">
      <c r="A61" t="s">
        <v>2424</v>
      </c>
      <c r="B61" t="s">
        <v>2499</v>
      </c>
      <c r="C61" s="1969">
        <v>0</v>
      </c>
      <c r="D61" s="1969">
        <v>0</v>
      </c>
      <c r="E61" s="1969">
        <v>0</v>
      </c>
      <c r="F61" s="1943"/>
    </row>
    <row r="62" spans="1:6" x14ac:dyDescent="0.25">
      <c r="A62" t="s">
        <v>2423</v>
      </c>
      <c r="B62" t="s">
        <v>2500</v>
      </c>
      <c r="C62" s="1969">
        <v>29508.26</v>
      </c>
      <c r="D62" s="1969">
        <v>14754.13</v>
      </c>
      <c r="E62" s="1969">
        <v>14754.13</v>
      </c>
      <c r="F62" s="1943"/>
    </row>
    <row r="63" spans="1:6" x14ac:dyDescent="0.25">
      <c r="A63" t="s">
        <v>2422</v>
      </c>
      <c r="B63" t="s">
        <v>2501</v>
      </c>
      <c r="C63" s="1969">
        <v>86480.21</v>
      </c>
      <c r="D63" s="1969">
        <v>26736.28</v>
      </c>
      <c r="E63" s="1969">
        <v>59743.93</v>
      </c>
      <c r="F63" s="1943"/>
    </row>
    <row r="64" spans="1:6" x14ac:dyDescent="0.25">
      <c r="A64" t="s">
        <v>2421</v>
      </c>
      <c r="B64" t="s">
        <v>2502</v>
      </c>
      <c r="C64" s="1969">
        <v>10.17</v>
      </c>
      <c r="D64" s="1969">
        <v>0</v>
      </c>
      <c r="E64" s="1969">
        <v>10.17</v>
      </c>
      <c r="F64" s="1943"/>
    </row>
    <row r="65" spans="1:6" x14ac:dyDescent="0.25">
      <c r="A65" t="s">
        <v>2420</v>
      </c>
      <c r="B65" t="s">
        <v>2503</v>
      </c>
      <c r="C65" s="1969">
        <v>148.35</v>
      </c>
      <c r="D65" s="1969">
        <v>20.34</v>
      </c>
      <c r="E65" s="1969">
        <v>128.01</v>
      </c>
      <c r="F65" s="1943"/>
    </row>
    <row r="66" spans="1:6" x14ac:dyDescent="0.25">
      <c r="A66" t="s">
        <v>2420</v>
      </c>
      <c r="B66" t="s">
        <v>2504</v>
      </c>
      <c r="C66" s="1969">
        <v>0</v>
      </c>
      <c r="D66" s="1969">
        <v>0</v>
      </c>
      <c r="E66" s="1969">
        <v>0</v>
      </c>
      <c r="F66" s="1943"/>
    </row>
    <row r="67" spans="1:6" x14ac:dyDescent="0.25">
      <c r="A67" t="s">
        <v>2419</v>
      </c>
      <c r="B67" t="s">
        <v>2505</v>
      </c>
      <c r="C67" s="1969">
        <v>209.82</v>
      </c>
      <c r="D67" s="1969">
        <v>32.28</v>
      </c>
      <c r="E67" s="1969">
        <v>177.54</v>
      </c>
      <c r="F67" s="1943"/>
    </row>
    <row r="68" spans="1:6" x14ac:dyDescent="0.25">
      <c r="A68" t="s">
        <v>2418</v>
      </c>
      <c r="B68" t="s">
        <v>2506</v>
      </c>
      <c r="C68" s="1969">
        <v>92</v>
      </c>
      <c r="D68" s="1969">
        <v>37</v>
      </c>
      <c r="E68" s="1969">
        <v>55</v>
      </c>
      <c r="F68" s="1943"/>
    </row>
    <row r="69" spans="1:6" x14ac:dyDescent="0.25">
      <c r="A69" t="s">
        <v>2417</v>
      </c>
      <c r="B69" t="s">
        <v>2507</v>
      </c>
      <c r="C69" s="1969">
        <v>24187.14</v>
      </c>
      <c r="D69" s="1969">
        <v>7549.89</v>
      </c>
      <c r="E69" s="1969">
        <v>16637.25</v>
      </c>
      <c r="F69" s="1943"/>
    </row>
    <row r="70" spans="1:6" x14ac:dyDescent="0.25">
      <c r="A70" t="s">
        <v>2417</v>
      </c>
      <c r="B70" t="s">
        <v>2508</v>
      </c>
      <c r="C70" s="1969">
        <v>0</v>
      </c>
      <c r="D70" s="1969">
        <v>0</v>
      </c>
      <c r="E70" s="1969">
        <v>0</v>
      </c>
      <c r="F70" s="1943"/>
    </row>
    <row r="71" spans="1:6" x14ac:dyDescent="0.25">
      <c r="A71" t="s">
        <v>2416</v>
      </c>
      <c r="B71" t="s">
        <v>2509</v>
      </c>
      <c r="C71" s="1969">
        <v>11545</v>
      </c>
      <c r="D71" s="1969">
        <v>5595</v>
      </c>
      <c r="E71" s="1969">
        <v>5950</v>
      </c>
      <c r="F71" s="1943"/>
    </row>
    <row r="72" spans="1:6" x14ac:dyDescent="0.25">
      <c r="A72" t="s">
        <v>2415</v>
      </c>
      <c r="B72" t="s">
        <v>2510</v>
      </c>
      <c r="C72" s="1969">
        <v>78427.44</v>
      </c>
      <c r="D72" s="1969">
        <v>26053.47</v>
      </c>
      <c r="E72" s="1969">
        <v>52373.97</v>
      </c>
      <c r="F72" s="1943"/>
    </row>
    <row r="73" spans="1:6" x14ac:dyDescent="0.25">
      <c r="A73" t="s">
        <v>2414</v>
      </c>
      <c r="B73" t="s">
        <v>2511</v>
      </c>
      <c r="C73" s="1969">
        <v>11825.1</v>
      </c>
      <c r="D73" s="1969">
        <v>1309.5</v>
      </c>
      <c r="E73" s="1969">
        <v>10515.6</v>
      </c>
      <c r="F73" s="1943"/>
    </row>
    <row r="74" spans="1:6" x14ac:dyDescent="0.25">
      <c r="A74" t="s">
        <v>2413</v>
      </c>
      <c r="B74" t="s">
        <v>2512</v>
      </c>
      <c r="C74" s="1969">
        <v>0</v>
      </c>
      <c r="D74" s="1969">
        <v>0</v>
      </c>
      <c r="E74" s="1969">
        <v>0</v>
      </c>
      <c r="F74" s="1943"/>
    </row>
    <row r="75" spans="1:6" x14ac:dyDescent="0.25">
      <c r="A75" t="s">
        <v>2412</v>
      </c>
      <c r="B75" t="s">
        <v>2513</v>
      </c>
      <c r="C75" s="1969">
        <v>0</v>
      </c>
      <c r="D75" s="1969">
        <v>0</v>
      </c>
      <c r="E75" s="1969">
        <v>0</v>
      </c>
      <c r="F75" s="1943"/>
    </row>
    <row r="76" spans="1:6" x14ac:dyDescent="0.25">
      <c r="A76" t="s">
        <v>2411</v>
      </c>
      <c r="B76" t="s">
        <v>2514</v>
      </c>
      <c r="C76" s="1969">
        <v>13</v>
      </c>
      <c r="D76" s="1969">
        <v>2</v>
      </c>
      <c r="E76" s="1969">
        <v>11</v>
      </c>
      <c r="F76" s="1943"/>
    </row>
    <row r="77" spans="1:6" x14ac:dyDescent="0.25">
      <c r="A77" t="s">
        <v>2410</v>
      </c>
      <c r="B77" t="s">
        <v>2515</v>
      </c>
      <c r="C77" s="1969">
        <v>3691.74</v>
      </c>
      <c r="D77" s="1969">
        <v>567.96</v>
      </c>
      <c r="E77" s="1969">
        <v>3123.78</v>
      </c>
      <c r="F77" s="1943"/>
    </row>
    <row r="78" spans="1:6" x14ac:dyDescent="0.25">
      <c r="A78" t="s">
        <v>2409</v>
      </c>
      <c r="B78" t="s">
        <v>2516</v>
      </c>
      <c r="C78" s="1969">
        <v>3612.62</v>
      </c>
      <c r="D78" s="1969">
        <v>0</v>
      </c>
      <c r="E78" s="1969">
        <v>3612.62</v>
      </c>
      <c r="F78" s="1943"/>
    </row>
    <row r="79" spans="1:6" x14ac:dyDescent="0.25">
      <c r="A79" t="s">
        <v>2408</v>
      </c>
      <c r="B79" t="s">
        <v>2517</v>
      </c>
      <c r="C79" s="1969">
        <v>33952.400000000001</v>
      </c>
      <c r="D79" s="1969">
        <v>9366.67</v>
      </c>
      <c r="E79" s="1969">
        <v>24585.73</v>
      </c>
      <c r="F79" s="1943"/>
    </row>
    <row r="80" spans="1:6" x14ac:dyDescent="0.25">
      <c r="A80" t="s">
        <v>2407</v>
      </c>
      <c r="B80" t="s">
        <v>2518</v>
      </c>
      <c r="C80" s="1969">
        <v>33.5</v>
      </c>
      <c r="D80" s="1969">
        <v>9</v>
      </c>
      <c r="E80" s="1969">
        <v>24.5</v>
      </c>
      <c r="F80" s="1943"/>
    </row>
    <row r="81" spans="1:6" x14ac:dyDescent="0.25">
      <c r="A81" t="s">
        <v>2406</v>
      </c>
      <c r="B81" t="s">
        <v>2519</v>
      </c>
      <c r="C81" s="1969">
        <v>1100</v>
      </c>
      <c r="D81" s="1969">
        <v>550</v>
      </c>
      <c r="E81" s="1969">
        <v>550</v>
      </c>
      <c r="F81" s="1943"/>
    </row>
    <row r="82" spans="1:6" x14ac:dyDescent="0.25">
      <c r="A82" t="s">
        <v>2405</v>
      </c>
      <c r="B82" t="s">
        <v>2520</v>
      </c>
      <c r="C82" s="1969">
        <v>2150.86</v>
      </c>
      <c r="D82" s="1969">
        <v>840.71</v>
      </c>
      <c r="E82" s="1969">
        <v>1310.1500000000001</v>
      </c>
      <c r="F82" s="1943"/>
    </row>
    <row r="83" spans="1:6" x14ac:dyDescent="0.25">
      <c r="A83" t="s">
        <v>2405</v>
      </c>
      <c r="B83" t="s">
        <v>2521</v>
      </c>
      <c r="C83" s="1969">
        <v>12389.95</v>
      </c>
      <c r="D83" s="1969">
        <v>5500</v>
      </c>
      <c r="E83" s="1969">
        <v>6889.95</v>
      </c>
      <c r="F83" s="1943"/>
    </row>
    <row r="84" spans="1:6" x14ac:dyDescent="0.25">
      <c r="A84" t="s">
        <v>2404</v>
      </c>
      <c r="B84" t="s">
        <v>2522</v>
      </c>
      <c r="C84" s="1969">
        <v>588</v>
      </c>
      <c r="D84" s="1969">
        <v>294</v>
      </c>
      <c r="E84" s="1969">
        <v>294</v>
      </c>
      <c r="F84" s="1943"/>
    </row>
    <row r="85" spans="1:6" x14ac:dyDescent="0.25">
      <c r="A85" t="s">
        <v>2403</v>
      </c>
      <c r="B85" t="s">
        <v>2523</v>
      </c>
      <c r="C85" s="1969">
        <v>4410.93</v>
      </c>
      <c r="D85" s="1969">
        <v>0</v>
      </c>
      <c r="E85" s="1969">
        <v>4410.93</v>
      </c>
      <c r="F85" s="1943"/>
    </row>
    <row r="86" spans="1:6" x14ac:dyDescent="0.25">
      <c r="A86" t="s">
        <v>2402</v>
      </c>
      <c r="B86" t="s">
        <v>2524</v>
      </c>
      <c r="C86" s="1969">
        <v>1200</v>
      </c>
      <c r="D86" s="1969">
        <v>0</v>
      </c>
      <c r="E86" s="1969">
        <v>1200</v>
      </c>
      <c r="F86" s="1943"/>
    </row>
    <row r="87" spans="1:6" x14ac:dyDescent="0.25">
      <c r="A87" t="s">
        <v>2401</v>
      </c>
      <c r="B87" t="s">
        <v>2525</v>
      </c>
      <c r="C87" s="1969">
        <v>3600</v>
      </c>
      <c r="D87" s="1969">
        <v>1800</v>
      </c>
      <c r="E87" s="1969">
        <v>1800</v>
      </c>
      <c r="F87" s="1943"/>
    </row>
    <row r="88" spans="1:6" x14ac:dyDescent="0.25">
      <c r="A88" t="s">
        <v>2400</v>
      </c>
      <c r="B88" t="s">
        <v>2526</v>
      </c>
      <c r="C88" s="1969">
        <v>0</v>
      </c>
      <c r="D88" s="1969">
        <v>0</v>
      </c>
      <c r="E88" s="1969">
        <v>0</v>
      </c>
      <c r="F88" s="1943"/>
    </row>
    <row r="89" spans="1:6" x14ac:dyDescent="0.25">
      <c r="A89" t="s">
        <v>2400</v>
      </c>
      <c r="B89" t="s">
        <v>2527</v>
      </c>
      <c r="C89" s="1969">
        <v>13293.68</v>
      </c>
      <c r="D89" s="1969">
        <v>1209.3399999999999</v>
      </c>
      <c r="E89" s="1969">
        <v>12084.34</v>
      </c>
      <c r="F89" s="1943"/>
    </row>
    <row r="90" spans="1:6" x14ac:dyDescent="0.25">
      <c r="A90" t="s">
        <v>2400</v>
      </c>
      <c r="B90" t="s">
        <v>2528</v>
      </c>
      <c r="C90" s="1969">
        <v>18312</v>
      </c>
      <c r="D90" s="1969">
        <v>5411</v>
      </c>
      <c r="E90" s="1969">
        <v>12901</v>
      </c>
      <c r="F90" s="1943"/>
    </row>
    <row r="91" spans="1:6" x14ac:dyDescent="0.25">
      <c r="A91" t="s">
        <v>2399</v>
      </c>
      <c r="B91" t="s">
        <v>2529</v>
      </c>
      <c r="C91" s="1969">
        <v>17.170000000000002</v>
      </c>
      <c r="D91" s="1969">
        <v>8.41</v>
      </c>
      <c r="E91" s="1969">
        <v>8.76</v>
      </c>
      <c r="F91" s="1943"/>
    </row>
    <row r="92" spans="1:6" x14ac:dyDescent="0.25">
      <c r="A92" t="s">
        <v>2399</v>
      </c>
      <c r="B92" t="s">
        <v>2530</v>
      </c>
      <c r="C92" s="1969">
        <v>95.62</v>
      </c>
      <c r="D92" s="1969">
        <v>0</v>
      </c>
      <c r="E92" s="1969">
        <v>95.62</v>
      </c>
      <c r="F92" s="1943"/>
    </row>
    <row r="93" spans="1:6" x14ac:dyDescent="0.25">
      <c r="A93" t="s">
        <v>2399</v>
      </c>
      <c r="B93" t="s">
        <v>2531</v>
      </c>
      <c r="C93" s="1969">
        <v>8.1199999999999992</v>
      </c>
      <c r="D93" s="1969">
        <v>0</v>
      </c>
      <c r="E93" s="1969">
        <v>8.1199999999999992</v>
      </c>
      <c r="F93" s="1943"/>
    </row>
    <row r="94" spans="1:6" x14ac:dyDescent="0.25">
      <c r="A94" t="s">
        <v>2398</v>
      </c>
      <c r="B94" t="s">
        <v>2532</v>
      </c>
      <c r="C94" s="1969">
        <v>27.21</v>
      </c>
      <c r="D94" s="1969">
        <v>13.33</v>
      </c>
      <c r="E94" s="1969">
        <v>13.88</v>
      </c>
      <c r="F94" s="1943"/>
    </row>
    <row r="95" spans="1:6" x14ac:dyDescent="0.25">
      <c r="A95" t="s">
        <v>2398</v>
      </c>
      <c r="B95" t="s">
        <v>2533</v>
      </c>
      <c r="C95" s="1969">
        <v>100.05</v>
      </c>
      <c r="D95" s="1969">
        <v>0</v>
      </c>
      <c r="E95" s="1969">
        <v>100.05</v>
      </c>
      <c r="F95" s="1943"/>
    </row>
    <row r="96" spans="1:6" x14ac:dyDescent="0.25">
      <c r="A96" t="s">
        <v>2398</v>
      </c>
      <c r="B96" t="s">
        <v>2534</v>
      </c>
      <c r="C96" s="1969">
        <v>0</v>
      </c>
      <c r="D96" s="1969">
        <v>0</v>
      </c>
      <c r="E96" s="1969">
        <v>0</v>
      </c>
      <c r="F96" s="1943"/>
    </row>
    <row r="97" spans="1:6" x14ac:dyDescent="0.25">
      <c r="A97" t="s">
        <v>2398</v>
      </c>
      <c r="B97" t="s">
        <v>2535</v>
      </c>
      <c r="C97" s="1969">
        <v>12.88</v>
      </c>
      <c r="D97" s="1969">
        <v>0</v>
      </c>
      <c r="E97" s="1969">
        <v>12.88</v>
      </c>
      <c r="F97" s="1943"/>
    </row>
    <row r="98" spans="1:6" x14ac:dyDescent="0.25">
      <c r="A98" t="s">
        <v>2397</v>
      </c>
      <c r="B98" t="s">
        <v>2536</v>
      </c>
      <c r="C98" s="1969">
        <v>0</v>
      </c>
      <c r="D98" s="1969">
        <v>0</v>
      </c>
      <c r="E98" s="1969">
        <v>0</v>
      </c>
      <c r="F98" s="1943"/>
    </row>
    <row r="99" spans="1:6" x14ac:dyDescent="0.25">
      <c r="A99" t="s">
        <v>2397</v>
      </c>
      <c r="B99" t="s">
        <v>2537</v>
      </c>
      <c r="C99" s="1969">
        <v>0</v>
      </c>
      <c r="D99" s="1969">
        <v>0</v>
      </c>
      <c r="E99" s="1969">
        <v>0</v>
      </c>
      <c r="F99" s="1943"/>
    </row>
    <row r="100" spans="1:6" x14ac:dyDescent="0.25">
      <c r="A100" t="s">
        <v>2397</v>
      </c>
      <c r="B100" t="s">
        <v>2538</v>
      </c>
      <c r="C100" s="1969">
        <v>0</v>
      </c>
      <c r="D100" s="1969">
        <v>0</v>
      </c>
      <c r="E100" s="1969">
        <v>0</v>
      </c>
      <c r="F100" s="1943"/>
    </row>
    <row r="101" spans="1:6" x14ac:dyDescent="0.25">
      <c r="A101" t="s">
        <v>2396</v>
      </c>
      <c r="B101" t="s">
        <v>2539</v>
      </c>
      <c r="C101" s="1969">
        <v>0</v>
      </c>
      <c r="D101" s="1969">
        <v>0</v>
      </c>
      <c r="E101" s="1969">
        <v>0</v>
      </c>
      <c r="F101" s="1943"/>
    </row>
    <row r="102" spans="1:6" x14ac:dyDescent="0.25">
      <c r="A102" t="s">
        <v>2396</v>
      </c>
      <c r="B102" t="s">
        <v>2540</v>
      </c>
      <c r="C102" s="1969">
        <v>0</v>
      </c>
      <c r="D102" s="1969">
        <v>0</v>
      </c>
      <c r="E102" s="1969">
        <v>0</v>
      </c>
      <c r="F102" s="1943"/>
    </row>
    <row r="103" spans="1:6" x14ac:dyDescent="0.25">
      <c r="A103" t="s">
        <v>2396</v>
      </c>
      <c r="B103" t="s">
        <v>2541</v>
      </c>
      <c r="C103" s="1969">
        <v>0</v>
      </c>
      <c r="D103" s="1969">
        <v>0</v>
      </c>
      <c r="E103" s="1969">
        <v>0</v>
      </c>
      <c r="F103" s="1943"/>
    </row>
    <row r="104" spans="1:6" x14ac:dyDescent="0.25">
      <c r="A104" t="s">
        <v>2395</v>
      </c>
      <c r="B104" t="s">
        <v>2542</v>
      </c>
      <c r="C104" s="1969">
        <v>444.08</v>
      </c>
      <c r="D104" s="1969">
        <v>0</v>
      </c>
      <c r="E104" s="1969">
        <v>444.08</v>
      </c>
      <c r="F104" s="1943"/>
    </row>
    <row r="105" spans="1:6" x14ac:dyDescent="0.25">
      <c r="A105" t="s">
        <v>2394</v>
      </c>
      <c r="B105" t="s">
        <v>2543</v>
      </c>
      <c r="C105" s="1969">
        <v>29.4</v>
      </c>
      <c r="D105" s="1969">
        <v>14.7</v>
      </c>
      <c r="E105" s="1969">
        <v>14.7</v>
      </c>
      <c r="F105" s="1943"/>
    </row>
    <row r="106" spans="1:6" x14ac:dyDescent="0.25">
      <c r="A106" t="s">
        <v>2393</v>
      </c>
      <c r="B106" t="s">
        <v>2544</v>
      </c>
      <c r="C106" s="1969">
        <v>15582.5</v>
      </c>
      <c r="D106" s="1969">
        <v>6495</v>
      </c>
      <c r="E106" s="1969">
        <v>9087.5</v>
      </c>
      <c r="F106" s="1943"/>
    </row>
    <row r="107" spans="1:6" x14ac:dyDescent="0.25">
      <c r="A107" t="s">
        <v>2392</v>
      </c>
      <c r="B107" t="s">
        <v>2545</v>
      </c>
      <c r="C107" s="1969">
        <v>15537.21</v>
      </c>
      <c r="D107" s="1969">
        <v>6135.12</v>
      </c>
      <c r="E107" s="1969">
        <v>9402.09</v>
      </c>
      <c r="F107" s="1943"/>
    </row>
    <row r="108" spans="1:6" x14ac:dyDescent="0.25">
      <c r="A108" t="s">
        <v>2391</v>
      </c>
      <c r="B108" t="s">
        <v>2546</v>
      </c>
      <c r="C108" s="1969">
        <v>0</v>
      </c>
      <c r="D108" s="1969">
        <v>0</v>
      </c>
      <c r="E108" s="1969">
        <v>0</v>
      </c>
      <c r="F108" s="1943"/>
    </row>
    <row r="109" spans="1:6" x14ac:dyDescent="0.25">
      <c r="A109" t="s">
        <v>2390</v>
      </c>
      <c r="B109" t="s">
        <v>2547</v>
      </c>
      <c r="C109" s="1969">
        <v>2182.16</v>
      </c>
      <c r="D109" s="1969">
        <v>303.83</v>
      </c>
      <c r="E109" s="1969">
        <v>1878.33</v>
      </c>
      <c r="F109" s="1943"/>
    </row>
    <row r="110" spans="1:6" x14ac:dyDescent="0.25">
      <c r="A110" t="s">
        <v>2389</v>
      </c>
      <c r="B110" t="s">
        <v>2547</v>
      </c>
      <c r="C110" s="1969">
        <v>0</v>
      </c>
      <c r="D110" s="1969">
        <v>0</v>
      </c>
      <c r="E110" s="1969">
        <v>0</v>
      </c>
      <c r="F110" s="1943"/>
    </row>
    <row r="111" spans="1:6" x14ac:dyDescent="0.25">
      <c r="A111" t="s">
        <v>2388</v>
      </c>
      <c r="B111" t="s">
        <v>2548</v>
      </c>
      <c r="C111" s="1969">
        <v>44794.53</v>
      </c>
      <c r="D111" s="1969">
        <v>0</v>
      </c>
      <c r="E111" s="1969">
        <v>44794.53</v>
      </c>
      <c r="F111" s="1943"/>
    </row>
    <row r="112" spans="1:6" x14ac:dyDescent="0.25">
      <c r="A112" t="s">
        <v>2387</v>
      </c>
      <c r="B112" t="s">
        <v>2549</v>
      </c>
      <c r="C112" s="1969">
        <v>0</v>
      </c>
      <c r="D112" s="1969">
        <v>0</v>
      </c>
      <c r="E112" s="1969">
        <v>0</v>
      </c>
      <c r="F112" s="1943"/>
    </row>
    <row r="113" spans="1:6" x14ac:dyDescent="0.25">
      <c r="A113" t="s">
        <v>2386</v>
      </c>
      <c r="B113" t="s">
        <v>2550</v>
      </c>
      <c r="C113" s="1969">
        <v>6727</v>
      </c>
      <c r="D113" s="1969">
        <v>3363.5</v>
      </c>
      <c r="E113" s="1969">
        <v>3363.5</v>
      </c>
      <c r="F113" s="1943"/>
    </row>
    <row r="114" spans="1:6" x14ac:dyDescent="0.25">
      <c r="A114" t="s">
        <v>2385</v>
      </c>
      <c r="B114" t="s">
        <v>2551</v>
      </c>
      <c r="C114" s="1969">
        <v>6078.1</v>
      </c>
      <c r="D114" s="1969">
        <v>3039.05</v>
      </c>
      <c r="E114" s="1969">
        <v>3039.05</v>
      </c>
      <c r="F114" s="1943"/>
    </row>
    <row r="115" spans="1:6" x14ac:dyDescent="0.25">
      <c r="A115" t="s">
        <v>2384</v>
      </c>
      <c r="B115" t="s">
        <v>2552</v>
      </c>
      <c r="C115" s="1969">
        <v>0</v>
      </c>
      <c r="D115" s="1969">
        <v>0</v>
      </c>
      <c r="E115" s="1969">
        <v>0</v>
      </c>
      <c r="F115" s="1943"/>
    </row>
    <row r="116" spans="1:6" x14ac:dyDescent="0.25">
      <c r="A116" t="s">
        <v>2383</v>
      </c>
      <c r="B116" t="s">
        <v>2553</v>
      </c>
      <c r="C116" s="1969">
        <v>0</v>
      </c>
      <c r="D116" s="1969">
        <v>0</v>
      </c>
      <c r="E116" s="1969">
        <v>0</v>
      </c>
      <c r="F116" s="1943"/>
    </row>
    <row r="117" spans="1:6" x14ac:dyDescent="0.25">
      <c r="A117" t="s">
        <v>2382</v>
      </c>
      <c r="B117" t="s">
        <v>2554</v>
      </c>
      <c r="C117" s="1969">
        <v>367.68</v>
      </c>
      <c r="D117" s="1969">
        <v>245.12</v>
      </c>
      <c r="E117" s="1969">
        <v>122.56</v>
      </c>
      <c r="F117" s="1943"/>
    </row>
    <row r="118" spans="1:6" x14ac:dyDescent="0.25">
      <c r="A118" t="s">
        <v>2381</v>
      </c>
      <c r="B118" t="s">
        <v>2555</v>
      </c>
      <c r="C118" s="1969">
        <v>94999.28</v>
      </c>
      <c r="D118" s="1969">
        <v>47499.64</v>
      </c>
      <c r="E118" s="1969">
        <v>47499.64</v>
      </c>
      <c r="F118" s="1943"/>
    </row>
    <row r="119" spans="1:6" x14ac:dyDescent="0.25">
      <c r="A119" t="s">
        <v>2380</v>
      </c>
      <c r="B119" t="s">
        <v>2556</v>
      </c>
      <c r="C119" s="1969">
        <v>5080</v>
      </c>
      <c r="D119" s="1969">
        <v>0</v>
      </c>
      <c r="E119" s="1969">
        <v>5080</v>
      </c>
      <c r="F119" s="1943"/>
    </row>
    <row r="120" spans="1:6" x14ac:dyDescent="0.25">
      <c r="A120" t="s">
        <v>2379</v>
      </c>
      <c r="B120" t="s">
        <v>2557</v>
      </c>
      <c r="C120" s="1969">
        <v>0</v>
      </c>
      <c r="D120" s="1969">
        <v>0</v>
      </c>
      <c r="E120" s="1969">
        <v>0</v>
      </c>
      <c r="F120" s="1943"/>
    </row>
    <row r="121" spans="1:6" x14ac:dyDescent="0.25">
      <c r="A121" t="s">
        <v>2378</v>
      </c>
      <c r="B121" t="s">
        <v>2558</v>
      </c>
      <c r="C121" s="1969">
        <v>1685.43</v>
      </c>
      <c r="D121" s="1969">
        <v>0</v>
      </c>
      <c r="E121" s="1969">
        <v>1685.43</v>
      </c>
      <c r="F121" s="1943"/>
    </row>
    <row r="122" spans="1:6" x14ac:dyDescent="0.25">
      <c r="A122" t="s">
        <v>2377</v>
      </c>
      <c r="B122" t="s">
        <v>2559</v>
      </c>
      <c r="C122" s="1969">
        <v>11700</v>
      </c>
      <c r="D122" s="1969">
        <v>5850</v>
      </c>
      <c r="E122" s="1969">
        <v>5850</v>
      </c>
      <c r="F122" s="1943"/>
    </row>
    <row r="123" spans="1:6" x14ac:dyDescent="0.25">
      <c r="A123" t="s">
        <v>2376</v>
      </c>
      <c r="B123" t="s">
        <v>2560</v>
      </c>
      <c r="C123" s="1969">
        <v>397.35</v>
      </c>
      <c r="D123" s="1969">
        <v>18</v>
      </c>
      <c r="E123" s="1969">
        <v>379.35</v>
      </c>
      <c r="F123" s="1943"/>
    </row>
    <row r="124" spans="1:6" x14ac:dyDescent="0.25">
      <c r="A124" t="s">
        <v>2375</v>
      </c>
      <c r="B124" t="s">
        <v>2561</v>
      </c>
      <c r="C124" s="1969">
        <v>1942.24</v>
      </c>
      <c r="D124" s="1969">
        <v>971.12</v>
      </c>
      <c r="E124" s="1969">
        <v>971.12</v>
      </c>
      <c r="F124" s="1943"/>
    </row>
    <row r="125" spans="1:6" x14ac:dyDescent="0.25">
      <c r="A125" t="s">
        <v>2374</v>
      </c>
      <c r="B125" t="s">
        <v>2562</v>
      </c>
      <c r="C125" s="1969">
        <v>3011.28</v>
      </c>
      <c r="D125" s="1969">
        <v>891.54</v>
      </c>
      <c r="E125" s="1969">
        <v>2119.7399999999998</v>
      </c>
      <c r="F125" s="1943"/>
    </row>
    <row r="126" spans="1:6" x14ac:dyDescent="0.25">
      <c r="A126" t="s">
        <v>2373</v>
      </c>
      <c r="B126" t="s">
        <v>2563</v>
      </c>
      <c r="C126" s="1969">
        <v>27731.71</v>
      </c>
      <c r="D126" s="1969">
        <v>11173.5</v>
      </c>
      <c r="E126" s="1969">
        <v>16558.21</v>
      </c>
      <c r="F126" s="1943"/>
    </row>
    <row r="127" spans="1:6" x14ac:dyDescent="0.25">
      <c r="A127" t="s">
        <v>2372</v>
      </c>
      <c r="B127" t="s">
        <v>2564</v>
      </c>
      <c r="C127" s="1969">
        <v>35.99</v>
      </c>
      <c r="D127" s="1969">
        <v>13</v>
      </c>
      <c r="E127" s="1969">
        <v>22.99</v>
      </c>
      <c r="F127" s="1943"/>
    </row>
    <row r="128" spans="1:6" x14ac:dyDescent="0.25">
      <c r="A128" t="s">
        <v>2371</v>
      </c>
      <c r="B128" t="s">
        <v>2565</v>
      </c>
      <c r="C128" s="1969">
        <v>1750.08</v>
      </c>
      <c r="D128" s="1969">
        <v>666.69</v>
      </c>
      <c r="E128" s="1969">
        <v>1083.3900000000001</v>
      </c>
      <c r="F128" s="1943"/>
    </row>
    <row r="129" spans="1:6" x14ac:dyDescent="0.25">
      <c r="A129" t="s">
        <v>2370</v>
      </c>
      <c r="B129" t="s">
        <v>2566</v>
      </c>
      <c r="C129" s="1969">
        <v>0.26</v>
      </c>
      <c r="D129" s="1969">
        <v>0.04</v>
      </c>
      <c r="E129" s="1969">
        <v>0.22</v>
      </c>
      <c r="F129" s="1943"/>
    </row>
    <row r="130" spans="1:6" x14ac:dyDescent="0.25">
      <c r="A130" t="s">
        <v>2369</v>
      </c>
      <c r="B130" t="s">
        <v>2567</v>
      </c>
      <c r="C130" s="1969">
        <v>86.71</v>
      </c>
      <c r="D130" s="1969">
        <v>13.34</v>
      </c>
      <c r="E130" s="1969">
        <v>73.37</v>
      </c>
      <c r="F130" s="1943"/>
    </row>
    <row r="131" spans="1:6" x14ac:dyDescent="0.25">
      <c r="A131" t="s">
        <v>2368</v>
      </c>
      <c r="B131" t="s">
        <v>2568</v>
      </c>
      <c r="C131" s="1969">
        <v>3200</v>
      </c>
      <c r="D131" s="1969">
        <v>1280</v>
      </c>
      <c r="E131" s="1969">
        <v>1920</v>
      </c>
      <c r="F131" s="1943"/>
    </row>
    <row r="132" spans="1:6" x14ac:dyDescent="0.25">
      <c r="A132" t="s">
        <v>2367</v>
      </c>
      <c r="B132" t="s">
        <v>2569</v>
      </c>
      <c r="C132" s="1969">
        <v>770</v>
      </c>
      <c r="D132" s="1969">
        <v>385</v>
      </c>
      <c r="E132" s="1969">
        <v>385</v>
      </c>
      <c r="F132" s="1943"/>
    </row>
    <row r="133" spans="1:6" x14ac:dyDescent="0.25">
      <c r="A133" t="s">
        <v>2366</v>
      </c>
      <c r="B133" t="s">
        <v>2570</v>
      </c>
      <c r="C133" s="1969">
        <v>170153.92</v>
      </c>
      <c r="D133" s="1969">
        <v>63116.41</v>
      </c>
      <c r="E133" s="1969">
        <v>107037.51</v>
      </c>
      <c r="F133" s="1943"/>
    </row>
    <row r="134" spans="1:6" x14ac:dyDescent="0.25">
      <c r="A134" t="s">
        <v>2365</v>
      </c>
      <c r="B134" t="s">
        <v>2571</v>
      </c>
      <c r="C134" s="1969">
        <v>0</v>
      </c>
      <c r="D134" s="1969">
        <v>0</v>
      </c>
      <c r="E134" s="1969">
        <v>0</v>
      </c>
      <c r="F134" s="1943"/>
    </row>
    <row r="135" spans="1:6" x14ac:dyDescent="0.25">
      <c r="A135" t="s">
        <v>2364</v>
      </c>
      <c r="B135" t="s">
        <v>2572</v>
      </c>
      <c r="C135" s="1969">
        <v>0</v>
      </c>
      <c r="D135" s="1969">
        <v>0</v>
      </c>
      <c r="E135" s="1969">
        <v>0</v>
      </c>
      <c r="F135" s="1943"/>
    </row>
    <row r="136" spans="1:6" x14ac:dyDescent="0.25">
      <c r="A136" t="s">
        <v>2363</v>
      </c>
      <c r="B136" t="s">
        <v>2573</v>
      </c>
      <c r="C136" s="1969">
        <v>29800</v>
      </c>
      <c r="D136" s="1969">
        <v>11433.3</v>
      </c>
      <c r="E136" s="1969">
        <v>18366.7</v>
      </c>
      <c r="F136" s="1943"/>
    </row>
    <row r="137" spans="1:6" x14ac:dyDescent="0.25">
      <c r="A137" t="s">
        <v>2362</v>
      </c>
      <c r="B137" t="s">
        <v>2574</v>
      </c>
      <c r="C137" s="1969">
        <v>1588.2</v>
      </c>
      <c r="D137" s="1969">
        <v>391.69</v>
      </c>
      <c r="E137" s="1969">
        <v>1196.51</v>
      </c>
      <c r="F137" s="1943"/>
    </row>
    <row r="138" spans="1:6" x14ac:dyDescent="0.25">
      <c r="A138" t="s">
        <v>2362</v>
      </c>
      <c r="B138" t="s">
        <v>2575</v>
      </c>
      <c r="C138" s="1969">
        <v>0</v>
      </c>
      <c r="D138" s="1969">
        <v>0</v>
      </c>
      <c r="E138" s="1969">
        <v>0</v>
      </c>
      <c r="F138" s="1943"/>
    </row>
    <row r="139" spans="1:6" x14ac:dyDescent="0.25">
      <c r="A139" t="s">
        <v>2361</v>
      </c>
      <c r="B139" t="s">
        <v>2576</v>
      </c>
      <c r="C139" s="1969">
        <v>3024.74</v>
      </c>
      <c r="D139" s="1969">
        <v>1381.58</v>
      </c>
      <c r="E139" s="1969">
        <v>1643.16</v>
      </c>
      <c r="F139" s="1943"/>
    </row>
    <row r="140" spans="1:6" x14ac:dyDescent="0.25">
      <c r="A140" t="s">
        <v>2360</v>
      </c>
      <c r="B140" t="s">
        <v>2577</v>
      </c>
      <c r="C140" s="1969">
        <v>43.27</v>
      </c>
      <c r="D140" s="1969">
        <v>15.78</v>
      </c>
      <c r="E140" s="1969">
        <v>27.49</v>
      </c>
      <c r="F140" s="1943"/>
    </row>
    <row r="141" spans="1:6" x14ac:dyDescent="0.25">
      <c r="A141" t="s">
        <v>2360</v>
      </c>
      <c r="B141" t="s">
        <v>2578</v>
      </c>
      <c r="C141" s="1969">
        <v>0</v>
      </c>
      <c r="D141" s="1969">
        <v>0</v>
      </c>
      <c r="E141" s="1969">
        <v>0</v>
      </c>
      <c r="F141" s="1943"/>
    </row>
    <row r="142" spans="1:6" x14ac:dyDescent="0.25">
      <c r="A142" t="s">
        <v>2359</v>
      </c>
      <c r="B142" t="s">
        <v>2579</v>
      </c>
      <c r="C142" s="1969">
        <v>12145.45</v>
      </c>
      <c r="D142" s="1969">
        <v>4408.84</v>
      </c>
      <c r="E142" s="1969">
        <v>7736.61</v>
      </c>
      <c r="F142" s="1943"/>
    </row>
    <row r="143" spans="1:6" x14ac:dyDescent="0.25">
      <c r="A143" t="s">
        <v>2359</v>
      </c>
      <c r="B143" t="s">
        <v>2580</v>
      </c>
      <c r="C143" s="1969">
        <v>0</v>
      </c>
      <c r="D143" s="1969">
        <v>0</v>
      </c>
      <c r="E143" s="1969">
        <v>0</v>
      </c>
      <c r="F143" s="1943"/>
    </row>
    <row r="144" spans="1:6" x14ac:dyDescent="0.25">
      <c r="A144" t="s">
        <v>2359</v>
      </c>
      <c r="B144" t="s">
        <v>2581</v>
      </c>
      <c r="C144" s="1969">
        <v>0</v>
      </c>
      <c r="D144" s="1969">
        <v>0</v>
      </c>
      <c r="E144" s="1969">
        <v>0</v>
      </c>
      <c r="F144" s="1943"/>
    </row>
    <row r="145" spans="1:6" x14ac:dyDescent="0.25">
      <c r="A145" t="s">
        <v>2358</v>
      </c>
      <c r="B145" t="s">
        <v>2582</v>
      </c>
      <c r="C145" s="1969">
        <v>210</v>
      </c>
      <c r="D145" s="1969">
        <v>30</v>
      </c>
      <c r="E145" s="1969">
        <v>180</v>
      </c>
      <c r="F145" s="1943"/>
    </row>
    <row r="146" spans="1:6" x14ac:dyDescent="0.25">
      <c r="A146" t="s">
        <v>2357</v>
      </c>
      <c r="B146" t="s">
        <v>2583</v>
      </c>
      <c r="C146" s="1969">
        <v>0</v>
      </c>
      <c r="D146" s="1969">
        <v>0</v>
      </c>
      <c r="E146" s="1969">
        <v>0</v>
      </c>
      <c r="F146" s="1943"/>
    </row>
    <row r="147" spans="1:6" x14ac:dyDescent="0.25">
      <c r="A147" t="s">
        <v>2356</v>
      </c>
      <c r="B147" t="s">
        <v>2584</v>
      </c>
      <c r="C147" s="1969">
        <v>1701.16</v>
      </c>
      <c r="D147" s="1969">
        <v>850.58</v>
      </c>
      <c r="E147" s="1969">
        <f>850.58+7726.77</f>
        <v>8577.35</v>
      </c>
      <c r="F147" s="1943"/>
    </row>
    <row r="148" spans="1:6" x14ac:dyDescent="0.25">
      <c r="A148" t="s">
        <v>2355</v>
      </c>
      <c r="B148" t="s">
        <v>2585</v>
      </c>
      <c r="C148" s="1969">
        <v>0</v>
      </c>
      <c r="D148" s="1969">
        <v>0</v>
      </c>
      <c r="E148" s="1969">
        <v>0</v>
      </c>
      <c r="F148" s="1943"/>
    </row>
    <row r="149" spans="1:6" x14ac:dyDescent="0.25">
      <c r="A149" t="s">
        <v>2354</v>
      </c>
      <c r="B149" t="s">
        <v>2586</v>
      </c>
      <c r="C149" s="1969">
        <v>344.31</v>
      </c>
      <c r="D149" s="1969">
        <v>7.65</v>
      </c>
      <c r="E149" s="1969">
        <v>336.66</v>
      </c>
      <c r="F149" s="1943"/>
    </row>
    <row r="150" spans="1:6" x14ac:dyDescent="0.25">
      <c r="A150" t="s">
        <v>2353</v>
      </c>
      <c r="B150" t="s">
        <v>2587</v>
      </c>
      <c r="C150" s="1969">
        <v>10913.86</v>
      </c>
      <c r="D150" s="1969">
        <v>5456.93</v>
      </c>
      <c r="E150" s="1969">
        <v>5456.93</v>
      </c>
      <c r="F150" s="1943"/>
    </row>
    <row r="151" spans="1:6" x14ac:dyDescent="0.25">
      <c r="A151" t="s">
        <v>2352</v>
      </c>
      <c r="B151" t="s">
        <v>2586</v>
      </c>
      <c r="C151" s="1969">
        <v>846.3</v>
      </c>
      <c r="D151" s="1969">
        <v>0</v>
      </c>
      <c r="E151" s="1969">
        <v>846.3</v>
      </c>
      <c r="F151" s="1943"/>
    </row>
    <row r="152" spans="1:6" x14ac:dyDescent="0.25">
      <c r="A152" t="s">
        <v>2351</v>
      </c>
      <c r="B152" t="s">
        <v>2588</v>
      </c>
      <c r="C152" s="1969">
        <v>9809.98</v>
      </c>
      <c r="D152" s="1969">
        <v>4904.99</v>
      </c>
      <c r="E152" s="1969">
        <v>4904.99</v>
      </c>
      <c r="F152" s="1943"/>
    </row>
    <row r="153" spans="1:6" x14ac:dyDescent="0.25">
      <c r="A153" t="s">
        <v>2350</v>
      </c>
      <c r="B153" t="s">
        <v>2589</v>
      </c>
      <c r="C153" s="1969">
        <v>1050</v>
      </c>
      <c r="D153" s="1969">
        <v>525</v>
      </c>
      <c r="E153" s="1969">
        <v>525</v>
      </c>
      <c r="F153" s="1943"/>
    </row>
    <row r="154" spans="1:6" x14ac:dyDescent="0.25">
      <c r="A154" t="s">
        <v>2349</v>
      </c>
      <c r="B154" t="s">
        <v>2590</v>
      </c>
      <c r="C154" s="1969">
        <v>4400</v>
      </c>
      <c r="D154" s="1969">
        <v>2200</v>
      </c>
      <c r="E154" s="1969">
        <v>2200</v>
      </c>
      <c r="F154" s="1943"/>
    </row>
    <row r="155" spans="1:6" x14ac:dyDescent="0.25">
      <c r="A155" t="s">
        <v>2348</v>
      </c>
      <c r="B155" t="s">
        <v>2591</v>
      </c>
      <c r="C155" s="1969">
        <v>142554.26</v>
      </c>
      <c r="D155" s="1969">
        <v>52503.58</v>
      </c>
      <c r="E155" s="1969">
        <v>90050.68</v>
      </c>
      <c r="F155" s="1943"/>
    </row>
    <row r="156" spans="1:6" x14ac:dyDescent="0.25">
      <c r="A156" t="s">
        <v>2347</v>
      </c>
      <c r="B156" t="s">
        <v>2592</v>
      </c>
      <c r="C156" s="1969">
        <v>0</v>
      </c>
      <c r="D156" s="1969">
        <v>0</v>
      </c>
      <c r="E156" s="1969">
        <v>0</v>
      </c>
      <c r="F156" s="1943"/>
    </row>
    <row r="157" spans="1:6" x14ac:dyDescent="0.25">
      <c r="A157" t="s">
        <v>2346</v>
      </c>
      <c r="B157" t="s">
        <v>2593</v>
      </c>
      <c r="C157" s="1969">
        <v>1395.3</v>
      </c>
      <c r="D157" s="1969">
        <v>309.39</v>
      </c>
      <c r="E157" s="1969">
        <v>1085.9100000000001</v>
      </c>
      <c r="F157" s="1943"/>
    </row>
    <row r="158" spans="1:6" x14ac:dyDescent="0.25">
      <c r="A158" t="s">
        <v>2346</v>
      </c>
      <c r="B158" t="s">
        <v>2594</v>
      </c>
      <c r="C158" s="1969">
        <v>0</v>
      </c>
      <c r="D158" s="1969">
        <v>0</v>
      </c>
      <c r="E158" s="1969">
        <v>0</v>
      </c>
      <c r="F158" s="1943"/>
    </row>
    <row r="159" spans="1:6" x14ac:dyDescent="0.25">
      <c r="A159" t="s">
        <v>2346</v>
      </c>
      <c r="B159" t="s">
        <v>2595</v>
      </c>
      <c r="C159" s="1969">
        <v>0</v>
      </c>
      <c r="D159" s="1969">
        <v>0</v>
      </c>
      <c r="E159" s="1969">
        <v>0</v>
      </c>
      <c r="F159" s="1943"/>
    </row>
    <row r="160" spans="1:6" x14ac:dyDescent="0.25">
      <c r="A160" t="s">
        <v>2345</v>
      </c>
      <c r="B160" t="s">
        <v>2596</v>
      </c>
      <c r="C160" s="1969">
        <v>8567.4</v>
      </c>
      <c r="D160" s="1969">
        <v>4157.5600000000004</v>
      </c>
      <c r="E160" s="1969">
        <v>4409.84</v>
      </c>
      <c r="F160" s="1943"/>
    </row>
    <row r="161" spans="1:6" x14ac:dyDescent="0.25">
      <c r="A161" t="s">
        <v>2345</v>
      </c>
      <c r="B161" t="s">
        <v>2597</v>
      </c>
      <c r="C161" s="1969">
        <v>0</v>
      </c>
      <c r="D161" s="1969">
        <v>0</v>
      </c>
      <c r="E161" s="1969">
        <v>0</v>
      </c>
      <c r="F161" s="1943"/>
    </row>
    <row r="162" spans="1:6" x14ac:dyDescent="0.25">
      <c r="A162" t="s">
        <v>2344</v>
      </c>
      <c r="B162" t="s">
        <v>2598</v>
      </c>
      <c r="C162" s="1969">
        <v>34.5</v>
      </c>
      <c r="D162" s="1969">
        <v>11.5</v>
      </c>
      <c r="E162" s="1969">
        <v>23</v>
      </c>
      <c r="F162" s="1943"/>
    </row>
    <row r="163" spans="1:6" x14ac:dyDescent="0.25">
      <c r="A163" t="s">
        <v>2344</v>
      </c>
      <c r="B163" t="s">
        <v>2599</v>
      </c>
      <c r="C163" s="1969">
        <v>0</v>
      </c>
      <c r="D163" s="1969">
        <v>0</v>
      </c>
      <c r="E163" s="1969">
        <v>0</v>
      </c>
      <c r="F163" s="1943"/>
    </row>
    <row r="164" spans="1:6" x14ac:dyDescent="0.25">
      <c r="A164" t="s">
        <v>2343</v>
      </c>
      <c r="B164" t="s">
        <v>2600</v>
      </c>
      <c r="C164" s="1969">
        <v>0</v>
      </c>
      <c r="D164" s="1969">
        <v>0</v>
      </c>
      <c r="E164" s="1969">
        <v>0</v>
      </c>
      <c r="F164" s="1943"/>
    </row>
    <row r="165" spans="1:6" x14ac:dyDescent="0.25">
      <c r="A165" t="s">
        <v>2342</v>
      </c>
      <c r="B165" t="s">
        <v>2601</v>
      </c>
      <c r="C165" s="1969">
        <v>4680.8599999999997</v>
      </c>
      <c r="D165" s="1969">
        <v>995.91</v>
      </c>
      <c r="E165" s="1969">
        <v>3684.95</v>
      </c>
      <c r="F165" s="1943"/>
    </row>
    <row r="166" spans="1:6" x14ac:dyDescent="0.25">
      <c r="A166" t="s">
        <v>2342</v>
      </c>
      <c r="B166" t="s">
        <v>2602</v>
      </c>
      <c r="C166" s="1969">
        <v>0</v>
      </c>
      <c r="D166" s="1969">
        <v>0</v>
      </c>
      <c r="E166" s="1969">
        <v>0</v>
      </c>
      <c r="F166" s="1943"/>
    </row>
    <row r="167" spans="1:6" x14ac:dyDescent="0.25">
      <c r="A167" t="s">
        <v>2342</v>
      </c>
      <c r="B167" t="s">
        <v>2603</v>
      </c>
      <c r="C167" s="1969">
        <v>0</v>
      </c>
      <c r="D167" s="1969">
        <v>0</v>
      </c>
      <c r="E167" s="1969">
        <v>0</v>
      </c>
      <c r="F167" s="1943"/>
    </row>
    <row r="168" spans="1:6" x14ac:dyDescent="0.25">
      <c r="A168" t="s">
        <v>2341</v>
      </c>
      <c r="B168" t="s">
        <v>2604</v>
      </c>
      <c r="C168" s="1969">
        <v>0</v>
      </c>
      <c r="D168" s="1969">
        <v>0</v>
      </c>
      <c r="E168" s="1969">
        <v>0</v>
      </c>
      <c r="F168" s="1943"/>
    </row>
    <row r="169" spans="1:6" x14ac:dyDescent="0.25">
      <c r="A169" t="s">
        <v>2340</v>
      </c>
      <c r="B169" t="s">
        <v>2605</v>
      </c>
      <c r="C169" s="1969">
        <v>790</v>
      </c>
      <c r="D169" s="1969">
        <v>395</v>
      </c>
      <c r="E169" s="1969">
        <v>395</v>
      </c>
      <c r="F169" s="1943"/>
    </row>
    <row r="170" spans="1:6" x14ac:dyDescent="0.25">
      <c r="A170" t="s">
        <v>2339</v>
      </c>
      <c r="B170" t="s">
        <v>2606</v>
      </c>
      <c r="C170" s="1969">
        <v>53105.38</v>
      </c>
      <c r="D170" s="1969">
        <v>19886.439999999999</v>
      </c>
      <c r="E170" s="1969">
        <v>33218.94</v>
      </c>
      <c r="F170" s="1943"/>
    </row>
    <row r="171" spans="1:6" x14ac:dyDescent="0.25">
      <c r="A171" t="s">
        <v>2338</v>
      </c>
      <c r="B171" t="s">
        <v>2607</v>
      </c>
      <c r="C171" s="1969">
        <v>17.87</v>
      </c>
      <c r="D171" s="1969">
        <v>5.98</v>
      </c>
      <c r="E171" s="1969">
        <v>11.89</v>
      </c>
      <c r="F171" s="1943"/>
    </row>
    <row r="172" spans="1:6" x14ac:dyDescent="0.25">
      <c r="A172" t="s">
        <v>2337</v>
      </c>
      <c r="B172" t="s">
        <v>2608</v>
      </c>
      <c r="C172" s="1969">
        <v>6975.42</v>
      </c>
      <c r="D172" s="1969">
        <v>2653.76</v>
      </c>
      <c r="E172" s="1969">
        <v>4321.66</v>
      </c>
      <c r="F172" s="1943"/>
    </row>
    <row r="173" spans="1:6" x14ac:dyDescent="0.25">
      <c r="A173" t="s">
        <v>2336</v>
      </c>
      <c r="B173" t="s">
        <v>2609</v>
      </c>
      <c r="C173" s="1969">
        <v>6850</v>
      </c>
      <c r="D173" s="1969">
        <v>300</v>
      </c>
      <c r="E173" s="1969">
        <v>6550</v>
      </c>
      <c r="F173" s="1943"/>
    </row>
    <row r="174" spans="1:6" x14ac:dyDescent="0.25">
      <c r="A174" t="s">
        <v>2335</v>
      </c>
      <c r="B174" t="s">
        <v>2610</v>
      </c>
      <c r="C174" s="1969">
        <v>330</v>
      </c>
      <c r="D174" s="1969">
        <v>0</v>
      </c>
      <c r="E174" s="1969">
        <f>330+14000</f>
        <v>14330</v>
      </c>
      <c r="F174" s="1943"/>
    </row>
    <row r="175" spans="1:6" x14ac:dyDescent="0.25">
      <c r="A175" t="s">
        <v>2334</v>
      </c>
      <c r="B175" t="s">
        <v>2611</v>
      </c>
      <c r="C175" s="1969">
        <v>59059.5</v>
      </c>
      <c r="D175" s="1969">
        <v>22353</v>
      </c>
      <c r="E175" s="1969">
        <v>36706.5</v>
      </c>
      <c r="F175" s="1943"/>
    </row>
    <row r="176" spans="1:6" x14ac:dyDescent="0.25">
      <c r="A176" t="s">
        <v>2333</v>
      </c>
      <c r="B176" t="s">
        <v>2612</v>
      </c>
      <c r="C176" s="1969">
        <v>6484.04</v>
      </c>
      <c r="D176" s="1969">
        <v>3462.11</v>
      </c>
      <c r="E176" s="1969">
        <v>3021.93</v>
      </c>
      <c r="F176" s="1943"/>
    </row>
    <row r="177" spans="1:6" x14ac:dyDescent="0.25">
      <c r="A177" t="s">
        <v>2332</v>
      </c>
      <c r="B177" t="s">
        <v>2613</v>
      </c>
      <c r="C177" s="1969">
        <v>497.23</v>
      </c>
      <c r="D177" s="1969">
        <v>102.8</v>
      </c>
      <c r="E177" s="1969">
        <v>394.43</v>
      </c>
      <c r="F177" s="1943"/>
    </row>
    <row r="178" spans="1:6" x14ac:dyDescent="0.25">
      <c r="A178" t="s">
        <v>2331</v>
      </c>
      <c r="B178" t="s">
        <v>2614</v>
      </c>
      <c r="C178" s="1969">
        <v>27432.880000000001</v>
      </c>
      <c r="D178" s="1969">
        <v>13716.44</v>
      </c>
      <c r="E178" s="1969">
        <f>13716.44+15639.05</f>
        <v>29355.489999999998</v>
      </c>
      <c r="F178" s="1943"/>
    </row>
    <row r="179" spans="1:6" x14ac:dyDescent="0.25">
      <c r="A179" t="s">
        <v>2330</v>
      </c>
      <c r="B179" t="s">
        <v>2615</v>
      </c>
      <c r="C179" s="1969">
        <v>0</v>
      </c>
      <c r="D179" s="1969">
        <v>0</v>
      </c>
      <c r="E179" s="1969">
        <v>24</v>
      </c>
      <c r="F179" s="1943"/>
    </row>
    <row r="180" spans="1:6" x14ac:dyDescent="0.25">
      <c r="A180" t="s">
        <v>2330</v>
      </c>
      <c r="B180" t="s">
        <v>2616</v>
      </c>
      <c r="C180" s="1969">
        <v>32</v>
      </c>
      <c r="D180" s="1969">
        <v>16</v>
      </c>
      <c r="E180" s="1969">
        <v>16</v>
      </c>
      <c r="F180" s="1943"/>
    </row>
    <row r="181" spans="1:6" x14ac:dyDescent="0.25">
      <c r="A181" t="s">
        <v>2329</v>
      </c>
      <c r="B181" t="s">
        <v>2617</v>
      </c>
      <c r="C181" s="1969">
        <v>1375.36</v>
      </c>
      <c r="D181" s="1969">
        <v>687.68</v>
      </c>
      <c r="E181" s="1969">
        <f>687.68+15260.72+23.34</f>
        <v>15971.74</v>
      </c>
      <c r="F181" s="1943"/>
    </row>
    <row r="182" spans="1:6" x14ac:dyDescent="0.25">
      <c r="A182" t="s">
        <v>2328</v>
      </c>
      <c r="B182" t="s">
        <v>2618</v>
      </c>
      <c r="C182" s="1969">
        <v>27172.22</v>
      </c>
      <c r="D182" s="1969">
        <v>13586.11</v>
      </c>
      <c r="E182" s="1969">
        <f>13586.11+258.65</f>
        <v>13844.76</v>
      </c>
      <c r="F182" s="1943"/>
    </row>
    <row r="183" spans="1:6" x14ac:dyDescent="0.25">
      <c r="A183" s="1" t="s">
        <v>3048</v>
      </c>
      <c r="B183" t="s">
        <v>2619</v>
      </c>
      <c r="C183" s="1969">
        <v>0</v>
      </c>
      <c r="D183" s="1969">
        <v>0</v>
      </c>
      <c r="E183" s="1969">
        <v>147.41999999999999</v>
      </c>
      <c r="F183" s="1943"/>
    </row>
    <row r="184" spans="1:6" x14ac:dyDescent="0.25">
      <c r="A184" t="s">
        <v>2327</v>
      </c>
      <c r="B184" t="s">
        <v>2620</v>
      </c>
      <c r="C184" s="1969">
        <v>0</v>
      </c>
      <c r="D184" s="1969">
        <v>0</v>
      </c>
      <c r="E184" s="1969">
        <v>0</v>
      </c>
      <c r="F184" s="1943"/>
    </row>
    <row r="185" spans="1:6" x14ac:dyDescent="0.25">
      <c r="A185" t="s">
        <v>2326</v>
      </c>
      <c r="B185" t="s">
        <v>2621</v>
      </c>
      <c r="C185" s="1969">
        <v>202.5</v>
      </c>
      <c r="D185" s="1969">
        <v>0</v>
      </c>
      <c r="E185" s="1969">
        <v>202.5</v>
      </c>
      <c r="F185" s="1943"/>
    </row>
    <row r="186" spans="1:6" x14ac:dyDescent="0.25">
      <c r="A186" t="s">
        <v>2325</v>
      </c>
      <c r="B186" t="s">
        <v>2622</v>
      </c>
      <c r="C186" s="1969">
        <v>0</v>
      </c>
      <c r="D186" s="1969">
        <v>0</v>
      </c>
      <c r="E186" s="1969">
        <v>0</v>
      </c>
      <c r="F186" s="1943"/>
    </row>
    <row r="187" spans="1:6" x14ac:dyDescent="0.25">
      <c r="A187" t="s">
        <v>2324</v>
      </c>
      <c r="B187" t="s">
        <v>2623</v>
      </c>
      <c r="C187" s="1969">
        <v>68843.98</v>
      </c>
      <c r="D187" s="1969">
        <v>34421.99</v>
      </c>
      <c r="E187" s="1969">
        <v>34421.99</v>
      </c>
      <c r="F187" s="1943"/>
    </row>
    <row r="188" spans="1:6" x14ac:dyDescent="0.25">
      <c r="A188"/>
      <c r="B188" t="s">
        <v>2624</v>
      </c>
      <c r="C188" t="s">
        <v>2625</v>
      </c>
      <c r="D188" s="1969">
        <v>2775051.31</v>
      </c>
      <c r="E188" s="1969">
        <v>1028952.64</v>
      </c>
      <c r="F188" s="1943"/>
    </row>
    <row r="189" spans="1:6" x14ac:dyDescent="0.25">
      <c r="A189" t="s">
        <v>2323</v>
      </c>
      <c r="B189" t="s">
        <v>2626</v>
      </c>
      <c r="C189" s="1969">
        <v>0</v>
      </c>
      <c r="D189" s="1969">
        <v>180.27</v>
      </c>
      <c r="E189" s="1969">
        <v>180.27</v>
      </c>
      <c r="F189" s="1943"/>
    </row>
    <row r="190" spans="1:6" x14ac:dyDescent="0.25">
      <c r="A190" t="s">
        <v>2322</v>
      </c>
      <c r="B190" t="s">
        <v>2627</v>
      </c>
      <c r="C190" s="1969">
        <v>729249.19</v>
      </c>
      <c r="D190" s="1969">
        <v>1521477.65</v>
      </c>
      <c r="E190" s="1969">
        <v>792228.46</v>
      </c>
      <c r="F190" s="1943"/>
    </row>
    <row r="191" spans="1:6" x14ac:dyDescent="0.25">
      <c r="A191" t="s">
        <v>2321</v>
      </c>
      <c r="B191" t="s">
        <v>2628</v>
      </c>
      <c r="C191" s="1969">
        <v>27350.9</v>
      </c>
      <c r="D191" s="1969">
        <v>57070.55</v>
      </c>
      <c r="E191" s="1969">
        <v>29719.65</v>
      </c>
      <c r="F191" s="1943"/>
    </row>
    <row r="192" spans="1:6" x14ac:dyDescent="0.25">
      <c r="A192" t="s">
        <v>2320</v>
      </c>
      <c r="B192" t="s">
        <v>2629</v>
      </c>
      <c r="C192" s="1969">
        <v>0</v>
      </c>
      <c r="D192" s="1969">
        <v>0</v>
      </c>
      <c r="E192" s="1969">
        <v>0</v>
      </c>
      <c r="F192" s="1943"/>
    </row>
    <row r="193" spans="1:6" x14ac:dyDescent="0.25">
      <c r="A193" t="s">
        <v>2319</v>
      </c>
      <c r="B193" t="s">
        <v>2630</v>
      </c>
      <c r="C193" s="1969">
        <v>0</v>
      </c>
      <c r="D193" s="1969">
        <v>0</v>
      </c>
      <c r="E193" s="1969">
        <v>35373.96</v>
      </c>
      <c r="F193" s="1943"/>
    </row>
    <row r="194" spans="1:6" x14ac:dyDescent="0.25">
      <c r="A194" t="s">
        <v>2318</v>
      </c>
      <c r="B194" t="s">
        <v>2631</v>
      </c>
      <c r="C194" s="1969">
        <v>234770.69</v>
      </c>
      <c r="D194" s="1969">
        <v>469541.38</v>
      </c>
      <c r="E194" s="1969">
        <f>234770.69-17486.9</f>
        <v>217283.79</v>
      </c>
      <c r="F194" s="1943"/>
    </row>
    <row r="195" spans="1:6" x14ac:dyDescent="0.25">
      <c r="A195" t="s">
        <v>2317</v>
      </c>
      <c r="B195" t="s">
        <v>2632</v>
      </c>
      <c r="C195" s="1969">
        <v>2447.85</v>
      </c>
      <c r="D195" s="1969">
        <v>7666.08</v>
      </c>
      <c r="E195" s="1969">
        <v>5218.2299999999996</v>
      </c>
      <c r="F195" s="1943"/>
    </row>
    <row r="196" spans="1:6" x14ac:dyDescent="0.25">
      <c r="A196" t="s">
        <v>2317</v>
      </c>
      <c r="B196" t="s">
        <v>2633</v>
      </c>
      <c r="C196" s="1969">
        <v>0</v>
      </c>
      <c r="D196" s="1969">
        <v>453.02</v>
      </c>
      <c r="E196" s="1969">
        <v>453.02</v>
      </c>
      <c r="F196" s="1943"/>
    </row>
    <row r="197" spans="1:6" x14ac:dyDescent="0.25">
      <c r="A197" t="s">
        <v>2316</v>
      </c>
      <c r="B197" t="s">
        <v>2634</v>
      </c>
      <c r="C197" s="1969">
        <v>6456.39</v>
      </c>
      <c r="D197" s="1969">
        <v>18050.439999999999</v>
      </c>
      <c r="E197" s="1969">
        <v>11594.05</v>
      </c>
      <c r="F197" s="1943"/>
    </row>
    <row r="198" spans="1:6" x14ac:dyDescent="0.25">
      <c r="A198" t="s">
        <v>2315</v>
      </c>
      <c r="B198" t="s">
        <v>2635</v>
      </c>
      <c r="C198" s="1969">
        <v>1223.25</v>
      </c>
      <c r="D198" s="1969">
        <v>3216.9</v>
      </c>
      <c r="E198" s="1969">
        <v>1993.65</v>
      </c>
      <c r="F198" s="1943"/>
    </row>
    <row r="199" spans="1:6" x14ac:dyDescent="0.25">
      <c r="A199" t="s">
        <v>2314</v>
      </c>
      <c r="B199" t="s">
        <v>2636</v>
      </c>
      <c r="C199" s="1969">
        <v>2472.5</v>
      </c>
      <c r="D199" s="1969">
        <v>10541</v>
      </c>
      <c r="E199" s="1969">
        <v>8068.5</v>
      </c>
      <c r="F199" s="1943"/>
    </row>
    <row r="200" spans="1:6" x14ac:dyDescent="0.25">
      <c r="A200" t="s">
        <v>2313</v>
      </c>
      <c r="B200" t="s">
        <v>2637</v>
      </c>
      <c r="C200" s="1969">
        <v>651.76</v>
      </c>
      <c r="D200" s="1969">
        <v>4265.45</v>
      </c>
      <c r="E200" s="1969">
        <v>3613.69</v>
      </c>
      <c r="F200" s="1943"/>
    </row>
    <row r="201" spans="1:6" x14ac:dyDescent="0.25">
      <c r="A201" t="s">
        <v>2312</v>
      </c>
      <c r="B201" t="s">
        <v>2638</v>
      </c>
      <c r="C201" s="1969">
        <v>2642.85</v>
      </c>
      <c r="D201" s="1969">
        <v>5306.7</v>
      </c>
      <c r="E201" s="1969">
        <v>2663.85</v>
      </c>
      <c r="F201" s="1943"/>
    </row>
    <row r="202" spans="1:6" x14ac:dyDescent="0.25">
      <c r="A202" t="s">
        <v>2311</v>
      </c>
      <c r="B202" t="s">
        <v>2639</v>
      </c>
      <c r="C202" s="1969">
        <v>3377.51</v>
      </c>
      <c r="D202" s="1969">
        <v>6755.02</v>
      </c>
      <c r="E202" s="1969">
        <v>3377.51</v>
      </c>
      <c r="F202" s="1943"/>
    </row>
    <row r="203" spans="1:6" x14ac:dyDescent="0.25">
      <c r="A203" s="1" t="s">
        <v>2883</v>
      </c>
      <c r="B203" t="s">
        <v>2640</v>
      </c>
      <c r="C203" s="1969">
        <v>1000</v>
      </c>
      <c r="D203" s="1969">
        <v>44673.09</v>
      </c>
      <c r="E203" s="1969">
        <f>43673.09-41551.27</f>
        <v>2121.8199999999997</v>
      </c>
      <c r="F203" s="1943"/>
    </row>
    <row r="204" spans="1:6" x14ac:dyDescent="0.25">
      <c r="A204" t="s">
        <v>2310</v>
      </c>
      <c r="B204" t="s">
        <v>2641</v>
      </c>
      <c r="C204" s="1969">
        <v>87.1</v>
      </c>
      <c r="D204" s="1969">
        <v>174.2</v>
      </c>
      <c r="E204" s="1969">
        <v>87.1</v>
      </c>
      <c r="F204" s="1943"/>
    </row>
    <row r="205" spans="1:6" x14ac:dyDescent="0.25">
      <c r="A205" t="s">
        <v>2309</v>
      </c>
      <c r="B205" t="s">
        <v>2642</v>
      </c>
      <c r="C205" s="1969">
        <v>161997.29999999999</v>
      </c>
      <c r="D205" s="1969">
        <v>485992.02</v>
      </c>
      <c r="E205" s="1969">
        <f>323994.72-120936</f>
        <v>203058.71999999997</v>
      </c>
      <c r="F205" s="1943"/>
    </row>
    <row r="206" spans="1:6" x14ac:dyDescent="0.25">
      <c r="A206" s="1" t="s">
        <v>2309</v>
      </c>
      <c r="B206" t="s">
        <v>2643</v>
      </c>
      <c r="C206" s="1969">
        <v>125885.26</v>
      </c>
      <c r="D206" s="1969">
        <v>279866.34999999998</v>
      </c>
      <c r="E206" s="1969">
        <f>153981.09-17887.06</f>
        <v>136094.03</v>
      </c>
      <c r="F206" s="1943"/>
    </row>
    <row r="207" spans="1:6" x14ac:dyDescent="0.25">
      <c r="A207" t="s">
        <v>2308</v>
      </c>
      <c r="B207" t="s">
        <v>2644</v>
      </c>
      <c r="C207" s="1969">
        <v>396.61</v>
      </c>
      <c r="D207" s="1969">
        <v>1040.22</v>
      </c>
      <c r="E207" s="1969">
        <v>643.61</v>
      </c>
      <c r="F207" s="1943"/>
    </row>
    <row r="208" spans="1:6" x14ac:dyDescent="0.25">
      <c r="A208" t="s">
        <v>2307</v>
      </c>
      <c r="B208" t="s">
        <v>2645</v>
      </c>
      <c r="C208" s="1969">
        <v>18917</v>
      </c>
      <c r="D208" s="1969">
        <v>111725</v>
      </c>
      <c r="E208" s="1969">
        <v>92808</v>
      </c>
      <c r="F208" s="1943"/>
    </row>
    <row r="209" spans="1:6" x14ac:dyDescent="0.25">
      <c r="A209" t="s">
        <v>2306</v>
      </c>
      <c r="B209" t="s">
        <v>2646</v>
      </c>
      <c r="C209" s="1969">
        <v>23991.53</v>
      </c>
      <c r="D209" s="1969">
        <v>47983.06</v>
      </c>
      <c r="E209" s="1969">
        <v>23991.53</v>
      </c>
      <c r="F209" s="1943"/>
    </row>
    <row r="210" spans="1:6" x14ac:dyDescent="0.25">
      <c r="A210" t="s">
        <v>2305</v>
      </c>
      <c r="B210" t="s">
        <v>2647</v>
      </c>
      <c r="C210" s="1969">
        <v>0</v>
      </c>
      <c r="D210" s="1969">
        <v>0</v>
      </c>
      <c r="E210" s="1969">
        <v>0</v>
      </c>
      <c r="F210" s="1943"/>
    </row>
    <row r="211" spans="1:6" x14ac:dyDescent="0.25">
      <c r="A211" t="s">
        <v>2304</v>
      </c>
      <c r="B211" t="s">
        <v>2648</v>
      </c>
      <c r="C211" s="1969">
        <v>4080.3</v>
      </c>
      <c r="D211" s="1969">
        <v>23020.93</v>
      </c>
      <c r="E211" s="1969">
        <v>18940.63</v>
      </c>
      <c r="F211" s="1943"/>
    </row>
    <row r="212" spans="1:6" x14ac:dyDescent="0.25">
      <c r="A212" s="1" t="s">
        <v>2304</v>
      </c>
      <c r="B212" t="s">
        <v>2649</v>
      </c>
      <c r="C212" s="1969">
        <v>3290.44</v>
      </c>
      <c r="D212" s="1969">
        <v>6580.88</v>
      </c>
      <c r="E212" s="1969">
        <v>3290.44</v>
      </c>
      <c r="F212" s="1943"/>
    </row>
    <row r="213" spans="1:6" x14ac:dyDescent="0.25">
      <c r="A213" s="1" t="s">
        <v>2304</v>
      </c>
      <c r="B213" t="s">
        <v>2650</v>
      </c>
      <c r="C213" s="1969">
        <v>6038.91</v>
      </c>
      <c r="D213" s="1969">
        <v>12077.82</v>
      </c>
      <c r="E213" s="1969">
        <v>6038.91</v>
      </c>
      <c r="F213" s="1943"/>
    </row>
    <row r="214" spans="1:6" x14ac:dyDescent="0.25">
      <c r="A214" t="s">
        <v>2303</v>
      </c>
      <c r="B214" t="s">
        <v>2651</v>
      </c>
      <c r="C214" s="1969">
        <v>1520.46</v>
      </c>
      <c r="D214" s="1969">
        <v>6388.67</v>
      </c>
      <c r="E214" s="1969">
        <v>4868.21</v>
      </c>
      <c r="F214" s="1943"/>
    </row>
    <row r="215" spans="1:6" x14ac:dyDescent="0.25">
      <c r="A215" s="1" t="s">
        <v>2303</v>
      </c>
      <c r="B215" t="s">
        <v>2652</v>
      </c>
      <c r="C215" s="1969">
        <v>1261.23</v>
      </c>
      <c r="D215" s="1969">
        <v>2522.46</v>
      </c>
      <c r="E215" s="1969">
        <v>1261.31</v>
      </c>
      <c r="F215" s="1943"/>
    </row>
    <row r="216" spans="1:6" x14ac:dyDescent="0.25">
      <c r="A216" t="s">
        <v>2302</v>
      </c>
      <c r="B216" t="s">
        <v>2653</v>
      </c>
      <c r="C216" s="1969">
        <v>1047</v>
      </c>
      <c r="D216" s="1969">
        <v>38392</v>
      </c>
      <c r="E216" s="1969">
        <v>37345</v>
      </c>
      <c r="F216" s="1943"/>
    </row>
    <row r="217" spans="1:6" x14ac:dyDescent="0.25">
      <c r="A217" t="s">
        <v>2301</v>
      </c>
      <c r="B217" t="s">
        <v>2654</v>
      </c>
      <c r="C217" s="1969">
        <v>10000</v>
      </c>
      <c r="D217" s="1969">
        <v>20000</v>
      </c>
      <c r="E217" s="1969">
        <v>10000</v>
      </c>
      <c r="F217" s="1943"/>
    </row>
    <row r="218" spans="1:6" x14ac:dyDescent="0.25">
      <c r="A218" s="1" t="s">
        <v>2311</v>
      </c>
      <c r="B218" t="s">
        <v>2655</v>
      </c>
      <c r="C218" s="1969">
        <v>1758.95</v>
      </c>
      <c r="D218" s="1969">
        <v>3517.9</v>
      </c>
      <c r="E218" s="1969">
        <v>1759.4</v>
      </c>
      <c r="F218" s="1943"/>
    </row>
    <row r="219" spans="1:6" x14ac:dyDescent="0.25">
      <c r="A219" t="s">
        <v>2300</v>
      </c>
      <c r="B219" t="s">
        <v>2656</v>
      </c>
      <c r="C219" s="1969">
        <v>11788.44</v>
      </c>
      <c r="D219" s="1969">
        <v>23576.880000000001</v>
      </c>
      <c r="E219" s="1969">
        <v>11788.44</v>
      </c>
      <c r="F219" s="1943"/>
    </row>
    <row r="220" spans="1:6" x14ac:dyDescent="0.25">
      <c r="A220" t="s">
        <v>2299</v>
      </c>
      <c r="B220" t="s">
        <v>2657</v>
      </c>
      <c r="C220" s="1969">
        <v>21</v>
      </c>
      <c r="D220" s="1969">
        <v>3307</v>
      </c>
      <c r="E220" s="1969">
        <v>3286</v>
      </c>
      <c r="F220" s="1943"/>
    </row>
    <row r="221" spans="1:6" x14ac:dyDescent="0.25">
      <c r="A221"/>
      <c r="B221" t="s">
        <v>2624</v>
      </c>
      <c r="C221" t="s">
        <v>2658</v>
      </c>
      <c r="D221" s="1969">
        <v>1383724.42</v>
      </c>
      <c r="E221" s="1969">
        <v>3215362.94</v>
      </c>
      <c r="F221" s="1943"/>
    </row>
    <row r="222" spans="1:6" x14ac:dyDescent="0.25">
      <c r="A222" t="s">
        <v>2298</v>
      </c>
      <c r="B222" t="s">
        <v>2659</v>
      </c>
      <c r="C222" s="1969">
        <v>4158775.73</v>
      </c>
      <c r="D222" s="1969">
        <v>4244315.58</v>
      </c>
      <c r="E222" s="1969">
        <v>85539.85</v>
      </c>
      <c r="F222" s="1943"/>
    </row>
    <row r="223" spans="1:6" x14ac:dyDescent="0.25">
      <c r="A223" t="s">
        <v>2096</v>
      </c>
      <c r="B223" t="s">
        <v>2624</v>
      </c>
      <c r="C223" s="1969">
        <v>4158775.73</v>
      </c>
      <c r="D223" s="1969">
        <v>4244315.58</v>
      </c>
      <c r="E223" s="1969">
        <v>85539.85</v>
      </c>
      <c r="F223" s="1943"/>
    </row>
    <row r="224" spans="1:6" x14ac:dyDescent="0.25">
      <c r="A224" t="s">
        <v>2297</v>
      </c>
      <c r="B224" t="s">
        <v>2660</v>
      </c>
      <c r="C224" s="1969">
        <v>0</v>
      </c>
      <c r="D224" s="1969">
        <v>0</v>
      </c>
      <c r="E224" s="1969">
        <v>0</v>
      </c>
      <c r="F224" s="1943"/>
    </row>
    <row r="225" spans="1:6" x14ac:dyDescent="0.25">
      <c r="A225" t="s">
        <v>2296</v>
      </c>
      <c r="B225" t="s">
        <v>2661</v>
      </c>
      <c r="C225" s="1969">
        <v>0</v>
      </c>
      <c r="D225" s="1969">
        <v>0</v>
      </c>
      <c r="E225" s="1969">
        <v>0</v>
      </c>
      <c r="F225" s="1943"/>
    </row>
    <row r="226" spans="1:6" x14ac:dyDescent="0.25">
      <c r="A226" t="s">
        <v>2296</v>
      </c>
      <c r="B226" t="s">
        <v>2661</v>
      </c>
      <c r="C226" s="1969">
        <v>0</v>
      </c>
      <c r="D226" s="1969">
        <v>0</v>
      </c>
      <c r="E226" s="1969">
        <v>0</v>
      </c>
      <c r="F226" s="1943"/>
    </row>
    <row r="227" spans="1:6" x14ac:dyDescent="0.25">
      <c r="A227" t="s">
        <v>2295</v>
      </c>
      <c r="B227" t="s">
        <v>2661</v>
      </c>
      <c r="C227" s="1969">
        <v>0</v>
      </c>
      <c r="D227" s="1969">
        <v>0</v>
      </c>
      <c r="E227" s="1969">
        <v>0</v>
      </c>
      <c r="F227" s="1943"/>
    </row>
    <row r="228" spans="1:6" x14ac:dyDescent="0.25">
      <c r="A228" t="s">
        <v>2294</v>
      </c>
      <c r="B228" t="s">
        <v>2661</v>
      </c>
      <c r="C228" s="1969">
        <v>0</v>
      </c>
      <c r="D228" s="1969">
        <v>0</v>
      </c>
      <c r="E228" s="1969">
        <v>0</v>
      </c>
      <c r="F228" s="1943"/>
    </row>
    <row r="229" spans="1:6" x14ac:dyDescent="0.25">
      <c r="A229" t="s">
        <v>2293</v>
      </c>
      <c r="B229" t="s">
        <v>2660</v>
      </c>
      <c r="C229" s="1969">
        <v>0</v>
      </c>
      <c r="D229" s="1969">
        <v>0</v>
      </c>
      <c r="E229" s="1969">
        <v>0</v>
      </c>
      <c r="F229" s="1943"/>
    </row>
    <row r="230" spans="1:6" x14ac:dyDescent="0.25">
      <c r="A230" t="s">
        <v>2292</v>
      </c>
      <c r="B230" t="s">
        <v>2660</v>
      </c>
      <c r="C230" s="1969">
        <v>0</v>
      </c>
      <c r="D230" s="1969">
        <v>0</v>
      </c>
      <c r="E230" s="1969">
        <v>0</v>
      </c>
      <c r="F230" s="1943"/>
    </row>
    <row r="231" spans="1:6" x14ac:dyDescent="0.25">
      <c r="A231" t="s">
        <v>2291</v>
      </c>
      <c r="B231" t="s">
        <v>2660</v>
      </c>
      <c r="C231" s="1969">
        <v>0</v>
      </c>
      <c r="D231" s="1969">
        <v>0</v>
      </c>
      <c r="E231" s="1969">
        <v>0</v>
      </c>
      <c r="F231" s="1943"/>
    </row>
    <row r="232" spans="1:6" x14ac:dyDescent="0.25">
      <c r="A232" t="s">
        <v>2290</v>
      </c>
      <c r="B232" t="s">
        <v>2662</v>
      </c>
      <c r="C232" s="1969">
        <v>0</v>
      </c>
      <c r="D232" s="1969">
        <v>0</v>
      </c>
      <c r="E232" s="1969">
        <v>0</v>
      </c>
      <c r="F232" s="1943"/>
    </row>
    <row r="233" spans="1:6" x14ac:dyDescent="0.25">
      <c r="A233" t="s">
        <v>2289</v>
      </c>
      <c r="B233" t="s">
        <v>1068</v>
      </c>
      <c r="C233" s="1969">
        <v>0</v>
      </c>
      <c r="D233" s="1969">
        <v>0</v>
      </c>
      <c r="E233" s="1969">
        <v>0</v>
      </c>
      <c r="F233" s="1943"/>
    </row>
    <row r="234" spans="1:6" x14ac:dyDescent="0.25">
      <c r="A234" t="s">
        <v>2289</v>
      </c>
      <c r="B234" t="s">
        <v>1068</v>
      </c>
      <c r="C234" s="1969">
        <v>2965.75</v>
      </c>
      <c r="D234" s="1969">
        <v>0</v>
      </c>
      <c r="E234" s="1969">
        <v>2965.75</v>
      </c>
      <c r="F234" s="1943"/>
    </row>
    <row r="235" spans="1:6" x14ac:dyDescent="0.25">
      <c r="A235" t="s">
        <v>2288</v>
      </c>
      <c r="B235" t="s">
        <v>1068</v>
      </c>
      <c r="C235" s="1969">
        <v>0</v>
      </c>
      <c r="D235" s="1969">
        <v>0</v>
      </c>
      <c r="E235" s="1969">
        <v>0</v>
      </c>
      <c r="F235" s="1943"/>
    </row>
    <row r="236" spans="1:6" x14ac:dyDescent="0.25">
      <c r="A236" t="s">
        <v>2287</v>
      </c>
      <c r="B236" t="s">
        <v>1068</v>
      </c>
      <c r="C236" s="1969">
        <v>0</v>
      </c>
      <c r="D236" s="1969">
        <v>0</v>
      </c>
      <c r="E236" s="1969">
        <v>0</v>
      </c>
      <c r="F236" s="1943"/>
    </row>
    <row r="237" spans="1:6" x14ac:dyDescent="0.25">
      <c r="A237" t="s">
        <v>2286</v>
      </c>
      <c r="B237" t="s">
        <v>2663</v>
      </c>
      <c r="C237" s="1969">
        <v>0</v>
      </c>
      <c r="D237" s="1969">
        <v>0</v>
      </c>
      <c r="E237" s="1969">
        <v>0</v>
      </c>
      <c r="F237" s="1943"/>
    </row>
    <row r="238" spans="1:6" x14ac:dyDescent="0.25">
      <c r="A238" t="s">
        <v>2285</v>
      </c>
      <c r="B238" t="s">
        <v>2663</v>
      </c>
      <c r="C238" s="1969">
        <v>0</v>
      </c>
      <c r="D238" s="1969">
        <v>0</v>
      </c>
      <c r="E238" s="1969">
        <v>0</v>
      </c>
      <c r="F238" s="1943"/>
    </row>
    <row r="239" spans="1:6" x14ac:dyDescent="0.25">
      <c r="A239" t="s">
        <v>2284</v>
      </c>
      <c r="B239" t="s">
        <v>2663</v>
      </c>
      <c r="C239" s="1969">
        <v>0</v>
      </c>
      <c r="D239" s="1969">
        <v>0</v>
      </c>
      <c r="E239" s="1969">
        <v>0</v>
      </c>
      <c r="F239" s="1943"/>
    </row>
    <row r="240" spans="1:6" x14ac:dyDescent="0.25">
      <c r="A240" t="s">
        <v>2283</v>
      </c>
      <c r="B240" t="s">
        <v>608</v>
      </c>
      <c r="C240" s="1969">
        <v>0</v>
      </c>
      <c r="D240" s="1969">
        <v>0</v>
      </c>
      <c r="E240" s="1969">
        <v>0</v>
      </c>
      <c r="F240" s="1943"/>
    </row>
    <row r="241" spans="1:6" x14ac:dyDescent="0.25">
      <c r="A241" t="s">
        <v>2283</v>
      </c>
      <c r="B241" t="s">
        <v>608</v>
      </c>
      <c r="C241" s="1969">
        <v>453.6</v>
      </c>
      <c r="D241" s="1969">
        <v>0</v>
      </c>
      <c r="E241" s="1969">
        <v>453.6</v>
      </c>
      <c r="F241" s="1943"/>
    </row>
    <row r="242" spans="1:6" x14ac:dyDescent="0.25">
      <c r="A242" t="s">
        <v>2282</v>
      </c>
      <c r="B242" t="s">
        <v>2664</v>
      </c>
      <c r="C242" s="1969">
        <v>0</v>
      </c>
      <c r="D242" s="1969">
        <v>0</v>
      </c>
      <c r="E242" s="1969">
        <v>0</v>
      </c>
      <c r="F242" s="1943"/>
    </row>
    <row r="243" spans="1:6" x14ac:dyDescent="0.25">
      <c r="A243" t="s">
        <v>2281</v>
      </c>
      <c r="B243" t="s">
        <v>608</v>
      </c>
      <c r="C243" s="1969">
        <v>1113.47</v>
      </c>
      <c r="D243" s="1969">
        <v>0</v>
      </c>
      <c r="E243" s="1969">
        <v>1113.47</v>
      </c>
      <c r="F243" s="1943"/>
    </row>
    <row r="244" spans="1:6" x14ac:dyDescent="0.25">
      <c r="A244" t="s">
        <v>2280</v>
      </c>
      <c r="B244" t="s">
        <v>608</v>
      </c>
      <c r="C244" s="1969">
        <v>0</v>
      </c>
      <c r="D244" s="1969">
        <v>0</v>
      </c>
      <c r="E244" s="1969">
        <v>0</v>
      </c>
      <c r="F244" s="1943"/>
    </row>
    <row r="245" spans="1:6" x14ac:dyDescent="0.25">
      <c r="A245" t="s">
        <v>2279</v>
      </c>
      <c r="B245" t="s">
        <v>608</v>
      </c>
      <c r="C245" s="1969">
        <v>0</v>
      </c>
      <c r="D245" s="1969">
        <v>0</v>
      </c>
      <c r="E245" s="1969">
        <v>0</v>
      </c>
      <c r="F245" s="1943"/>
    </row>
    <row r="246" spans="1:6" x14ac:dyDescent="0.25">
      <c r="A246" t="s">
        <v>2278</v>
      </c>
      <c r="B246" t="s">
        <v>608</v>
      </c>
      <c r="C246" s="1969">
        <v>0</v>
      </c>
      <c r="D246" s="1969">
        <v>0</v>
      </c>
      <c r="E246" s="1969">
        <v>0</v>
      </c>
      <c r="F246" s="1943"/>
    </row>
    <row r="247" spans="1:6" x14ac:dyDescent="0.25">
      <c r="A247" t="s">
        <v>2277</v>
      </c>
      <c r="B247" t="s">
        <v>608</v>
      </c>
      <c r="C247" s="1969">
        <v>0</v>
      </c>
      <c r="D247" s="1969">
        <v>0</v>
      </c>
      <c r="E247" s="1969">
        <v>0</v>
      </c>
      <c r="F247" s="1943"/>
    </row>
    <row r="248" spans="1:6" x14ac:dyDescent="0.25">
      <c r="A248" t="s">
        <v>2276</v>
      </c>
      <c r="B248" t="s">
        <v>2665</v>
      </c>
      <c r="C248" s="1969">
        <v>0</v>
      </c>
      <c r="D248" s="1969">
        <v>0</v>
      </c>
      <c r="E248" s="1969">
        <v>0</v>
      </c>
      <c r="F248" s="1943"/>
    </row>
    <row r="249" spans="1:6" x14ac:dyDescent="0.25">
      <c r="A249" t="s">
        <v>2275</v>
      </c>
      <c r="B249" t="s">
        <v>2666</v>
      </c>
      <c r="C249" s="1969">
        <v>122947.16</v>
      </c>
      <c r="D249" s="1969">
        <v>52158.1</v>
      </c>
      <c r="E249" s="1969">
        <v>70789.06</v>
      </c>
      <c r="F249" s="1943"/>
    </row>
    <row r="250" spans="1:6" x14ac:dyDescent="0.25">
      <c r="A250" t="s">
        <v>2274</v>
      </c>
      <c r="B250" t="s">
        <v>2667</v>
      </c>
      <c r="C250" s="1969">
        <v>12104.08</v>
      </c>
      <c r="D250" s="1969">
        <v>0</v>
      </c>
      <c r="E250" s="1969">
        <v>12104.08</v>
      </c>
      <c r="F250" s="1943"/>
    </row>
    <row r="251" spans="1:6" x14ac:dyDescent="0.25">
      <c r="A251" t="s">
        <v>2273</v>
      </c>
      <c r="B251" t="s">
        <v>2668</v>
      </c>
      <c r="C251" s="1969">
        <v>0</v>
      </c>
      <c r="D251" s="1969">
        <v>0</v>
      </c>
      <c r="E251" s="1969">
        <v>0</v>
      </c>
      <c r="F251" s="1943"/>
    </row>
    <row r="252" spans="1:6" x14ac:dyDescent="0.25">
      <c r="A252" t="s">
        <v>2272</v>
      </c>
      <c r="B252" t="s">
        <v>2669</v>
      </c>
      <c r="C252" s="1969">
        <v>14.52</v>
      </c>
      <c r="D252" s="1969">
        <v>7.26</v>
      </c>
      <c r="E252" s="1969">
        <v>7.26</v>
      </c>
      <c r="F252" s="1943"/>
    </row>
    <row r="253" spans="1:6" x14ac:dyDescent="0.25">
      <c r="A253" t="s">
        <v>2271</v>
      </c>
      <c r="B253" t="s">
        <v>2670</v>
      </c>
      <c r="C253" s="1969">
        <v>51.48</v>
      </c>
      <c r="D253" s="1969">
        <v>25.74</v>
      </c>
      <c r="E253" s="1969">
        <v>25.74</v>
      </c>
      <c r="F253" s="1943"/>
    </row>
    <row r="254" spans="1:6" x14ac:dyDescent="0.25">
      <c r="A254" t="s">
        <v>2270</v>
      </c>
      <c r="B254" t="s">
        <v>2671</v>
      </c>
      <c r="C254" s="1969">
        <v>52</v>
      </c>
      <c r="D254" s="1969">
        <v>16</v>
      </c>
      <c r="E254" s="1969">
        <v>36</v>
      </c>
      <c r="F254" s="1943"/>
    </row>
    <row r="255" spans="1:6" x14ac:dyDescent="0.25">
      <c r="A255" t="s">
        <v>2269</v>
      </c>
      <c r="B255" t="s">
        <v>2672</v>
      </c>
      <c r="C255" s="1969">
        <v>10045.14</v>
      </c>
      <c r="D255" s="1969">
        <v>3581.55</v>
      </c>
      <c r="E255" s="1969">
        <v>6463.59</v>
      </c>
      <c r="F255" s="1943"/>
    </row>
    <row r="256" spans="1:6" x14ac:dyDescent="0.25">
      <c r="A256" t="s">
        <v>2268</v>
      </c>
      <c r="B256" t="s">
        <v>2673</v>
      </c>
      <c r="C256" s="1969">
        <v>0</v>
      </c>
      <c r="D256" s="1969">
        <v>0</v>
      </c>
      <c r="E256" s="1969">
        <v>0</v>
      </c>
      <c r="F256" s="1943"/>
    </row>
    <row r="257" spans="1:6" x14ac:dyDescent="0.25">
      <c r="A257" t="s">
        <v>2267</v>
      </c>
      <c r="B257" t="s">
        <v>2674</v>
      </c>
      <c r="C257" s="1969">
        <v>6325.78</v>
      </c>
      <c r="D257" s="1969">
        <v>1999.79</v>
      </c>
      <c r="E257" s="1969">
        <v>4325.99</v>
      </c>
      <c r="F257" s="1943"/>
    </row>
    <row r="258" spans="1:6" x14ac:dyDescent="0.25">
      <c r="A258" t="s">
        <v>2266</v>
      </c>
      <c r="B258" t="s">
        <v>2675</v>
      </c>
      <c r="C258" s="1969">
        <v>0</v>
      </c>
      <c r="D258" s="1969">
        <v>0</v>
      </c>
      <c r="E258" s="1969">
        <v>0</v>
      </c>
      <c r="F258" s="1943"/>
    </row>
    <row r="259" spans="1:6" x14ac:dyDescent="0.25">
      <c r="A259" t="s">
        <v>2265</v>
      </c>
      <c r="B259" t="s">
        <v>2676</v>
      </c>
      <c r="C259" s="1969">
        <v>0</v>
      </c>
      <c r="D259" s="1969">
        <v>0</v>
      </c>
      <c r="E259" s="1969">
        <v>0</v>
      </c>
      <c r="F259" s="1943"/>
    </row>
    <row r="260" spans="1:6" x14ac:dyDescent="0.25">
      <c r="A260" t="s">
        <v>2264</v>
      </c>
      <c r="B260" t="s">
        <v>2677</v>
      </c>
      <c r="C260" s="1969">
        <v>0</v>
      </c>
      <c r="D260" s="1969">
        <v>0</v>
      </c>
      <c r="E260" s="1969">
        <v>0</v>
      </c>
      <c r="F260" s="1943"/>
    </row>
    <row r="261" spans="1:6" x14ac:dyDescent="0.25">
      <c r="A261" t="s">
        <v>2263</v>
      </c>
      <c r="B261" t="s">
        <v>2678</v>
      </c>
      <c r="C261" s="1969">
        <v>3950</v>
      </c>
      <c r="D261" s="1969">
        <v>0</v>
      </c>
      <c r="E261" s="1969">
        <v>3950</v>
      </c>
      <c r="F261" s="1943"/>
    </row>
    <row r="262" spans="1:6" x14ac:dyDescent="0.25">
      <c r="A262" t="s">
        <v>2262</v>
      </c>
      <c r="B262" t="s">
        <v>2679</v>
      </c>
      <c r="C262" s="1969">
        <v>29416.38</v>
      </c>
      <c r="D262" s="1969">
        <v>12233.16</v>
      </c>
      <c r="E262" s="1969">
        <v>17183.22</v>
      </c>
      <c r="F262" s="1943"/>
    </row>
    <row r="263" spans="1:6" x14ac:dyDescent="0.25">
      <c r="A263" t="s">
        <v>2261</v>
      </c>
      <c r="B263" t="s">
        <v>2680</v>
      </c>
      <c r="C263" s="1969">
        <v>6477.45</v>
      </c>
      <c r="D263" s="1969">
        <v>2618.5</v>
      </c>
      <c r="E263" s="1969">
        <v>3858.95</v>
      </c>
      <c r="F263" s="1943"/>
    </row>
    <row r="264" spans="1:6" x14ac:dyDescent="0.25">
      <c r="A264" t="s">
        <v>2260</v>
      </c>
      <c r="B264" t="s">
        <v>2681</v>
      </c>
      <c r="C264" s="1969">
        <v>7726.77</v>
      </c>
      <c r="D264" s="1969">
        <v>0</v>
      </c>
      <c r="E264" s="1969">
        <v>0</v>
      </c>
      <c r="F264" s="1943"/>
    </row>
    <row r="265" spans="1:6" x14ac:dyDescent="0.25">
      <c r="A265" t="s">
        <v>2259</v>
      </c>
      <c r="B265" t="s">
        <v>2682</v>
      </c>
      <c r="C265" s="1969">
        <v>634.34</v>
      </c>
      <c r="D265" s="1969">
        <v>317.17</v>
      </c>
      <c r="E265" s="1969">
        <v>317.17</v>
      </c>
      <c r="F265" s="1943"/>
    </row>
    <row r="266" spans="1:6" x14ac:dyDescent="0.25">
      <c r="A266" t="s">
        <v>2258</v>
      </c>
      <c r="B266" t="s">
        <v>2683</v>
      </c>
      <c r="C266" s="1969">
        <v>1938.07</v>
      </c>
      <c r="D266" s="1969">
        <v>0</v>
      </c>
      <c r="E266" s="1969">
        <v>1938.07</v>
      </c>
      <c r="F266" s="1943"/>
    </row>
    <row r="267" spans="1:6" x14ac:dyDescent="0.25">
      <c r="A267" t="s">
        <v>2257</v>
      </c>
      <c r="B267" t="s">
        <v>2684</v>
      </c>
      <c r="C267" s="1969">
        <v>37295.040000000001</v>
      </c>
      <c r="D267" s="1969">
        <v>14747.52</v>
      </c>
      <c r="E267" s="1969">
        <v>22547.52</v>
      </c>
      <c r="F267" s="1943"/>
    </row>
    <row r="268" spans="1:6" x14ac:dyDescent="0.25">
      <c r="A268" t="s">
        <v>2256</v>
      </c>
      <c r="B268" t="s">
        <v>2685</v>
      </c>
      <c r="C268" s="1969">
        <v>4332.43</v>
      </c>
      <c r="D268" s="1969">
        <v>0</v>
      </c>
      <c r="E268" s="1969">
        <v>4332.43</v>
      </c>
      <c r="F268" s="1943"/>
    </row>
    <row r="269" spans="1:6" x14ac:dyDescent="0.25">
      <c r="A269" t="s">
        <v>2255</v>
      </c>
      <c r="B269" t="s">
        <v>2686</v>
      </c>
      <c r="C269" s="1969">
        <v>0</v>
      </c>
      <c r="D269" s="1969">
        <v>0</v>
      </c>
      <c r="E269" s="1969">
        <v>0</v>
      </c>
      <c r="F269" s="1943"/>
    </row>
    <row r="270" spans="1:6" x14ac:dyDescent="0.25">
      <c r="A270" t="s">
        <v>2254</v>
      </c>
      <c r="B270" t="s">
        <v>2687</v>
      </c>
      <c r="C270" s="1969">
        <v>13314.99</v>
      </c>
      <c r="D270" s="1969">
        <v>4808.3</v>
      </c>
      <c r="E270" s="1969">
        <v>8506.69</v>
      </c>
      <c r="F270" s="1943"/>
    </row>
    <row r="271" spans="1:6" x14ac:dyDescent="0.25">
      <c r="A271" t="s">
        <v>2253</v>
      </c>
      <c r="B271" t="s">
        <v>2688</v>
      </c>
      <c r="C271" s="1969">
        <v>0</v>
      </c>
      <c r="D271" s="1969">
        <v>0</v>
      </c>
      <c r="E271" s="1969">
        <v>0</v>
      </c>
      <c r="F271" s="1943"/>
    </row>
    <row r="272" spans="1:6" x14ac:dyDescent="0.25">
      <c r="A272" t="s">
        <v>2252</v>
      </c>
      <c r="B272" t="s">
        <v>2689</v>
      </c>
      <c r="C272" s="1969">
        <v>0</v>
      </c>
      <c r="D272" s="1969">
        <v>0</v>
      </c>
      <c r="E272" s="1969">
        <v>0</v>
      </c>
      <c r="F272" s="1943"/>
    </row>
    <row r="273" spans="1:6" x14ac:dyDescent="0.25">
      <c r="A273" t="s">
        <v>2251</v>
      </c>
      <c r="B273" t="s">
        <v>2690</v>
      </c>
      <c r="C273" s="1969">
        <v>41456.449999999997</v>
      </c>
      <c r="D273" s="1969">
        <v>17836.28</v>
      </c>
      <c r="E273" s="1969">
        <f>23620.17+475.72</f>
        <v>24095.89</v>
      </c>
      <c r="F273" s="1943"/>
    </row>
    <row r="274" spans="1:6" x14ac:dyDescent="0.25">
      <c r="A274" t="s">
        <v>2250</v>
      </c>
      <c r="B274" t="s">
        <v>2691</v>
      </c>
      <c r="C274" s="1969">
        <v>14178.54</v>
      </c>
      <c r="D274" s="1969">
        <v>1667.8</v>
      </c>
      <c r="E274" s="1969">
        <v>12510.74</v>
      </c>
      <c r="F274" s="1943"/>
    </row>
    <row r="275" spans="1:6" x14ac:dyDescent="0.25">
      <c r="A275" t="s">
        <v>2249</v>
      </c>
      <c r="B275" t="s">
        <v>2692</v>
      </c>
      <c r="C275" s="1969">
        <v>31818.75</v>
      </c>
      <c r="D275" s="1969">
        <v>11099.17</v>
      </c>
      <c r="E275" s="1969">
        <v>20719.580000000002</v>
      </c>
      <c r="F275" s="1943"/>
    </row>
    <row r="276" spans="1:6" x14ac:dyDescent="0.25">
      <c r="A276" t="s">
        <v>2248</v>
      </c>
      <c r="B276" t="s">
        <v>2693</v>
      </c>
      <c r="C276" s="1969">
        <v>14000</v>
      </c>
      <c r="D276" s="1969">
        <v>7000</v>
      </c>
      <c r="E276" s="1969">
        <v>0</v>
      </c>
      <c r="F276" s="1943"/>
    </row>
    <row r="277" spans="1:6" x14ac:dyDescent="0.25">
      <c r="A277" t="s">
        <v>2247</v>
      </c>
      <c r="B277" t="s">
        <v>2694</v>
      </c>
      <c r="C277" s="1969">
        <v>766</v>
      </c>
      <c r="D277" s="1969">
        <v>383</v>
      </c>
      <c r="E277" s="1969">
        <v>383</v>
      </c>
      <c r="F277" s="1943"/>
    </row>
    <row r="278" spans="1:6" x14ac:dyDescent="0.25">
      <c r="A278" t="s">
        <v>2246</v>
      </c>
      <c r="B278" t="s">
        <v>2673</v>
      </c>
      <c r="C278" s="1969">
        <v>2494.52</v>
      </c>
      <c r="D278" s="1969">
        <v>1247.26</v>
      </c>
      <c r="E278" s="1969">
        <v>1247.26</v>
      </c>
      <c r="F278" s="1943"/>
    </row>
    <row r="279" spans="1:6" x14ac:dyDescent="0.25">
      <c r="A279" t="s">
        <v>2245</v>
      </c>
      <c r="B279" t="s">
        <v>2695</v>
      </c>
      <c r="C279" s="1969">
        <v>3500</v>
      </c>
      <c r="D279" s="1969">
        <v>1750</v>
      </c>
      <c r="E279" s="1969">
        <v>1750</v>
      </c>
      <c r="F279" s="1943"/>
    </row>
    <row r="280" spans="1:6" x14ac:dyDescent="0.25">
      <c r="A280" t="s">
        <v>2244</v>
      </c>
      <c r="B280" t="s">
        <v>2696</v>
      </c>
      <c r="C280" s="1969">
        <v>0</v>
      </c>
      <c r="D280" s="1969">
        <v>0</v>
      </c>
      <c r="E280" s="1969">
        <v>0</v>
      </c>
      <c r="F280" s="1943"/>
    </row>
    <row r="281" spans="1:6" x14ac:dyDescent="0.25">
      <c r="A281" t="s">
        <v>2243</v>
      </c>
      <c r="B281" t="s">
        <v>2697</v>
      </c>
      <c r="C281" s="1969">
        <v>200</v>
      </c>
      <c r="D281" s="1969">
        <v>0</v>
      </c>
      <c r="E281" s="1969">
        <v>200</v>
      </c>
      <c r="F281" s="1943"/>
    </row>
    <row r="282" spans="1:6" x14ac:dyDescent="0.25">
      <c r="A282" t="s">
        <v>2242</v>
      </c>
      <c r="B282" t="s">
        <v>2673</v>
      </c>
      <c r="C282" s="1969">
        <v>0</v>
      </c>
      <c r="D282" s="1969">
        <v>0</v>
      </c>
      <c r="E282" s="1969">
        <v>0</v>
      </c>
      <c r="F282" s="1943"/>
    </row>
    <row r="283" spans="1:6" x14ac:dyDescent="0.25">
      <c r="A283" t="s">
        <v>2241</v>
      </c>
      <c r="B283" t="s">
        <v>2673</v>
      </c>
      <c r="C283" s="1969">
        <v>0</v>
      </c>
      <c r="D283" s="1969">
        <v>0</v>
      </c>
      <c r="E283" s="1969">
        <v>0</v>
      </c>
      <c r="F283" s="1943"/>
    </row>
    <row r="284" spans="1:6" x14ac:dyDescent="0.25">
      <c r="A284" t="s">
        <v>2240</v>
      </c>
      <c r="B284" t="s">
        <v>953</v>
      </c>
      <c r="C284" s="1969">
        <v>0</v>
      </c>
      <c r="D284" s="1969">
        <v>0</v>
      </c>
      <c r="E284" s="1969">
        <v>0</v>
      </c>
      <c r="F284" s="1943"/>
    </row>
    <row r="285" spans="1:6" x14ac:dyDescent="0.25">
      <c r="A285" t="s">
        <v>2239</v>
      </c>
      <c r="B285" t="s">
        <v>2698</v>
      </c>
      <c r="C285" s="1969">
        <v>32</v>
      </c>
      <c r="D285" s="1969">
        <v>0</v>
      </c>
      <c r="E285" s="1969">
        <v>32</v>
      </c>
      <c r="F285" s="1943"/>
    </row>
    <row r="286" spans="1:6" x14ac:dyDescent="0.25">
      <c r="A286" t="s">
        <v>2238</v>
      </c>
      <c r="B286" t="s">
        <v>2699</v>
      </c>
      <c r="C286" s="1969">
        <v>0</v>
      </c>
      <c r="D286" s="1969">
        <v>0</v>
      </c>
      <c r="E286" s="1969">
        <v>0</v>
      </c>
      <c r="F286" s="1943"/>
    </row>
    <row r="287" spans="1:6" x14ac:dyDescent="0.25">
      <c r="A287" t="s">
        <v>2237</v>
      </c>
      <c r="B287" t="s">
        <v>2699</v>
      </c>
      <c r="C287" s="1969">
        <v>0</v>
      </c>
      <c r="D287" s="1969">
        <v>0</v>
      </c>
      <c r="E287" s="1969">
        <v>0</v>
      </c>
      <c r="F287" s="1943"/>
    </row>
    <row r="288" spans="1:6" x14ac:dyDescent="0.25">
      <c r="A288" t="s">
        <v>2236</v>
      </c>
      <c r="B288" t="s">
        <v>2699</v>
      </c>
      <c r="C288" s="1969">
        <v>0</v>
      </c>
      <c r="D288" s="1969">
        <v>0</v>
      </c>
      <c r="E288" s="1969">
        <v>0</v>
      </c>
      <c r="F288" s="1943"/>
    </row>
    <row r="289" spans="1:6" x14ac:dyDescent="0.25">
      <c r="A289" t="s">
        <v>2235</v>
      </c>
      <c r="B289" t="s">
        <v>2699</v>
      </c>
      <c r="C289" s="1969">
        <v>0</v>
      </c>
      <c r="D289" s="1969">
        <v>0</v>
      </c>
      <c r="E289" s="1969">
        <v>0</v>
      </c>
      <c r="F289" s="1943"/>
    </row>
    <row r="290" spans="1:6" x14ac:dyDescent="0.25">
      <c r="A290" t="s">
        <v>2234</v>
      </c>
      <c r="B290" t="s">
        <v>2700</v>
      </c>
      <c r="C290" s="1969">
        <v>17108.490000000002</v>
      </c>
      <c r="D290" s="1969">
        <v>1469.26</v>
      </c>
      <c r="E290" s="1969">
        <v>0</v>
      </c>
      <c r="F290" s="1943"/>
    </row>
    <row r="291" spans="1:6" x14ac:dyDescent="0.25">
      <c r="A291" t="s">
        <v>2233</v>
      </c>
      <c r="B291" t="s">
        <v>2616</v>
      </c>
      <c r="C291" s="1969">
        <v>28</v>
      </c>
      <c r="D291" s="1969">
        <v>4</v>
      </c>
      <c r="E291" s="1969">
        <v>0</v>
      </c>
      <c r="F291" s="1943"/>
    </row>
    <row r="292" spans="1:6" x14ac:dyDescent="0.25">
      <c r="A292" t="s">
        <v>2232</v>
      </c>
      <c r="B292" t="s">
        <v>2701</v>
      </c>
      <c r="C292" s="1969">
        <v>0</v>
      </c>
      <c r="D292" s="1969">
        <v>0</v>
      </c>
      <c r="E292" s="1969">
        <v>0</v>
      </c>
      <c r="F292" s="1943"/>
    </row>
    <row r="293" spans="1:6" x14ac:dyDescent="0.25">
      <c r="A293" t="s">
        <v>2231</v>
      </c>
      <c r="B293" t="s">
        <v>2702</v>
      </c>
      <c r="C293" s="1969">
        <v>147.41999999999999</v>
      </c>
      <c r="D293" s="1969">
        <v>0</v>
      </c>
      <c r="E293" s="1969">
        <v>0</v>
      </c>
      <c r="F293" s="1943"/>
    </row>
    <row r="294" spans="1:6" x14ac:dyDescent="0.25">
      <c r="A294" t="s">
        <v>2230</v>
      </c>
      <c r="B294" t="s">
        <v>2703</v>
      </c>
      <c r="C294" s="1969">
        <v>15260.72</v>
      </c>
      <c r="D294" s="1969">
        <v>0</v>
      </c>
      <c r="E294" s="1969">
        <v>0</v>
      </c>
      <c r="F294" s="1943"/>
    </row>
    <row r="295" spans="1:6" x14ac:dyDescent="0.25">
      <c r="A295" t="s">
        <v>2229</v>
      </c>
      <c r="B295" t="s">
        <v>2704</v>
      </c>
      <c r="C295" s="1969">
        <v>23.34</v>
      </c>
      <c r="D295" s="1969">
        <v>0</v>
      </c>
      <c r="E295" s="1969">
        <v>0</v>
      </c>
      <c r="F295" s="1943"/>
    </row>
    <row r="296" spans="1:6" x14ac:dyDescent="0.25">
      <c r="A296" t="s">
        <v>2228</v>
      </c>
      <c r="B296" t="s">
        <v>2705</v>
      </c>
      <c r="C296" s="1969">
        <v>0</v>
      </c>
      <c r="D296" s="1969">
        <v>0</v>
      </c>
      <c r="E296" s="1969">
        <v>0</v>
      </c>
      <c r="F296" s="1943"/>
    </row>
    <row r="297" spans="1:6" x14ac:dyDescent="0.25">
      <c r="A297" t="s">
        <v>2227</v>
      </c>
      <c r="B297" t="s">
        <v>2706</v>
      </c>
      <c r="C297" s="1969">
        <v>0</v>
      </c>
      <c r="D297" s="1969">
        <v>0</v>
      </c>
      <c r="E297" s="1969">
        <v>0</v>
      </c>
      <c r="F297" s="1943"/>
    </row>
    <row r="298" spans="1:6" x14ac:dyDescent="0.25">
      <c r="A298" t="s">
        <v>2226</v>
      </c>
      <c r="B298" t="s">
        <v>2705</v>
      </c>
      <c r="C298" s="1969">
        <v>0</v>
      </c>
      <c r="D298" s="1969">
        <v>0</v>
      </c>
      <c r="E298" s="1969">
        <v>0</v>
      </c>
      <c r="F298" s="1943"/>
    </row>
    <row r="299" spans="1:6" x14ac:dyDescent="0.25">
      <c r="A299" t="s">
        <v>2225</v>
      </c>
      <c r="B299" t="s">
        <v>2705</v>
      </c>
      <c r="C299" s="1969">
        <v>0</v>
      </c>
      <c r="D299" s="1969">
        <v>0</v>
      </c>
      <c r="E299" s="1969">
        <v>0</v>
      </c>
      <c r="F299" s="1943"/>
    </row>
    <row r="300" spans="1:6" x14ac:dyDescent="0.25">
      <c r="A300" t="s">
        <v>2224</v>
      </c>
      <c r="B300" t="s">
        <v>2707</v>
      </c>
      <c r="C300" s="1969">
        <v>0</v>
      </c>
      <c r="D300" s="1969">
        <v>0</v>
      </c>
      <c r="E300" s="1969">
        <v>0</v>
      </c>
      <c r="F300" s="1943"/>
    </row>
    <row r="301" spans="1:6" x14ac:dyDescent="0.25">
      <c r="A301" t="s">
        <v>2223</v>
      </c>
      <c r="B301" t="s">
        <v>2707</v>
      </c>
      <c r="C301" s="1969">
        <v>0</v>
      </c>
      <c r="D301" s="1969">
        <v>0</v>
      </c>
      <c r="E301" s="1969">
        <v>0</v>
      </c>
      <c r="F301" s="1943"/>
    </row>
    <row r="302" spans="1:6" x14ac:dyDescent="0.25">
      <c r="A302" t="s">
        <v>2222</v>
      </c>
      <c r="B302" t="s">
        <v>2707</v>
      </c>
      <c r="C302" s="1969">
        <v>0</v>
      </c>
      <c r="D302" s="1969">
        <v>0</v>
      </c>
      <c r="E302" s="1969">
        <v>0</v>
      </c>
      <c r="F302" s="1943"/>
    </row>
    <row r="303" spans="1:6" x14ac:dyDescent="0.25">
      <c r="A303" t="s">
        <v>2221</v>
      </c>
      <c r="B303" t="s">
        <v>2707</v>
      </c>
      <c r="C303" s="1969">
        <v>0</v>
      </c>
      <c r="D303" s="1969">
        <v>0</v>
      </c>
      <c r="E303" s="1969">
        <v>0</v>
      </c>
      <c r="F303" s="1943"/>
    </row>
    <row r="304" spans="1:6" x14ac:dyDescent="0.25">
      <c r="A304" t="s">
        <v>2921</v>
      </c>
      <c r="B304" t="s">
        <v>2708</v>
      </c>
      <c r="C304" s="1969">
        <v>1039.5</v>
      </c>
      <c r="D304" s="1969">
        <v>0</v>
      </c>
      <c r="E304" s="1969">
        <v>1039.5</v>
      </c>
      <c r="F304" s="1943"/>
    </row>
    <row r="305" spans="1:6" x14ac:dyDescent="0.25">
      <c r="A305" t="s">
        <v>2921</v>
      </c>
      <c r="B305" t="s">
        <v>2709</v>
      </c>
      <c r="C305" s="1969">
        <v>29169.75</v>
      </c>
      <c r="D305" s="1969">
        <v>11011.59</v>
      </c>
      <c r="E305" s="1969">
        <v>18158.16</v>
      </c>
      <c r="F305" s="1943"/>
    </row>
    <row r="306" spans="1:6" x14ac:dyDescent="0.25">
      <c r="A306" s="1" t="s">
        <v>2922</v>
      </c>
      <c r="B306" t="s">
        <v>2710</v>
      </c>
      <c r="C306" s="1969">
        <v>0</v>
      </c>
      <c r="D306" s="1969">
        <v>0</v>
      </c>
      <c r="E306" s="1969">
        <v>0</v>
      </c>
      <c r="F306" s="1943"/>
    </row>
    <row r="307" spans="1:6" x14ac:dyDescent="0.25">
      <c r="A307" t="s">
        <v>2922</v>
      </c>
      <c r="B307" t="s">
        <v>2711</v>
      </c>
      <c r="C307" s="1969">
        <v>0</v>
      </c>
      <c r="D307" s="1969">
        <v>0</v>
      </c>
      <c r="E307" s="1969">
        <v>0</v>
      </c>
      <c r="F307" s="1943"/>
    </row>
    <row r="308" spans="1:6" x14ac:dyDescent="0.25">
      <c r="A308" t="s">
        <v>2923</v>
      </c>
      <c r="B308" t="s">
        <v>2712</v>
      </c>
      <c r="C308" s="1969">
        <v>0</v>
      </c>
      <c r="D308" s="1969">
        <v>0</v>
      </c>
      <c r="E308" s="1969">
        <v>0</v>
      </c>
      <c r="F308" s="1943"/>
    </row>
    <row r="309" spans="1:6" x14ac:dyDescent="0.25">
      <c r="A309" t="s">
        <v>2924</v>
      </c>
      <c r="B309" t="s">
        <v>2713</v>
      </c>
      <c r="C309" s="1969">
        <v>0</v>
      </c>
      <c r="D309" s="1969">
        <v>0</v>
      </c>
      <c r="E309" s="1969">
        <v>0</v>
      </c>
      <c r="F309" s="1943"/>
    </row>
    <row r="310" spans="1:6" x14ac:dyDescent="0.25">
      <c r="A310" t="s">
        <v>2924</v>
      </c>
      <c r="B310" t="s">
        <v>2714</v>
      </c>
      <c r="C310" s="1969">
        <v>0</v>
      </c>
      <c r="D310" s="1969">
        <v>0</v>
      </c>
      <c r="E310" s="1969">
        <v>0</v>
      </c>
      <c r="F310" s="1943"/>
    </row>
    <row r="311" spans="1:6" x14ac:dyDescent="0.25">
      <c r="A311" t="s">
        <v>2925</v>
      </c>
      <c r="B311" t="s">
        <v>2715</v>
      </c>
      <c r="C311" s="1969">
        <v>0</v>
      </c>
      <c r="D311" s="1969">
        <v>0</v>
      </c>
      <c r="E311" s="1969">
        <v>0</v>
      </c>
      <c r="F311" s="1943"/>
    </row>
    <row r="312" spans="1:6" x14ac:dyDescent="0.25">
      <c r="A312" t="s">
        <v>2220</v>
      </c>
      <c r="B312" t="s">
        <v>496</v>
      </c>
      <c r="C312" s="1969">
        <v>0</v>
      </c>
      <c r="D312" s="1969">
        <v>0</v>
      </c>
      <c r="E312" s="1969">
        <v>0</v>
      </c>
      <c r="F312" s="1943"/>
    </row>
    <row r="313" spans="1:6" x14ac:dyDescent="0.25">
      <c r="A313" t="s">
        <v>2219</v>
      </c>
      <c r="B313" t="s">
        <v>2716</v>
      </c>
      <c r="C313" s="1969">
        <v>0</v>
      </c>
      <c r="D313" s="1969">
        <v>0</v>
      </c>
      <c r="E313" s="1969">
        <v>0</v>
      </c>
      <c r="F313" s="1943"/>
    </row>
    <row r="314" spans="1:6" x14ac:dyDescent="0.25">
      <c r="A314" t="s">
        <v>2218</v>
      </c>
      <c r="B314" t="s">
        <v>304</v>
      </c>
      <c r="C314" s="1969">
        <v>0</v>
      </c>
      <c r="D314" s="1969">
        <v>0</v>
      </c>
      <c r="E314" s="1969">
        <v>0</v>
      </c>
      <c r="F314" s="1943"/>
    </row>
    <row r="315" spans="1:6" x14ac:dyDescent="0.25">
      <c r="A315" t="s">
        <v>2217</v>
      </c>
      <c r="B315" t="s">
        <v>2717</v>
      </c>
      <c r="C315" s="1969">
        <v>0</v>
      </c>
      <c r="D315" s="1969">
        <v>0</v>
      </c>
      <c r="E315" s="1969">
        <v>0</v>
      </c>
      <c r="F315" s="1943"/>
    </row>
    <row r="316" spans="1:6" x14ac:dyDescent="0.25">
      <c r="A316" t="s">
        <v>2216</v>
      </c>
      <c r="B316" t="s">
        <v>697</v>
      </c>
      <c r="C316" s="1969">
        <v>0</v>
      </c>
      <c r="D316" s="1969">
        <v>0</v>
      </c>
      <c r="E316" s="1969">
        <v>0</v>
      </c>
      <c r="F316" s="1943"/>
    </row>
    <row r="317" spans="1:6" x14ac:dyDescent="0.25">
      <c r="A317" t="s">
        <v>2215</v>
      </c>
      <c r="B317" t="s">
        <v>2718</v>
      </c>
      <c r="C317" s="1969">
        <v>0</v>
      </c>
      <c r="D317" s="1969">
        <v>0</v>
      </c>
      <c r="E317" s="1969">
        <v>0</v>
      </c>
      <c r="F317" s="1943"/>
    </row>
    <row r="318" spans="1:6" x14ac:dyDescent="0.25">
      <c r="A318" t="s">
        <v>2214</v>
      </c>
      <c r="B318" t="s">
        <v>2719</v>
      </c>
      <c r="C318" s="1969">
        <v>0</v>
      </c>
      <c r="D318" s="1969">
        <v>0</v>
      </c>
      <c r="E318" s="1969">
        <v>0</v>
      </c>
      <c r="F318" s="1943"/>
    </row>
    <row r="319" spans="1:6" x14ac:dyDescent="0.25">
      <c r="A319" t="s">
        <v>2213</v>
      </c>
      <c r="B319" t="s">
        <v>2720</v>
      </c>
      <c r="C319" s="1969">
        <v>0</v>
      </c>
      <c r="D319" s="1969">
        <v>0</v>
      </c>
      <c r="E319" s="1969">
        <v>0</v>
      </c>
      <c r="F319" s="1943"/>
    </row>
    <row r="320" spans="1:6" x14ac:dyDescent="0.25">
      <c r="A320" t="s">
        <v>2212</v>
      </c>
      <c r="B320" t="s">
        <v>2721</v>
      </c>
      <c r="C320" s="1969">
        <v>0</v>
      </c>
      <c r="D320" s="1969">
        <v>0</v>
      </c>
      <c r="E320" s="1969">
        <v>0</v>
      </c>
      <c r="F320" s="1943"/>
    </row>
    <row r="321" spans="1:6" x14ac:dyDescent="0.25">
      <c r="A321" t="s">
        <v>2211</v>
      </c>
      <c r="B321" t="s">
        <v>2722</v>
      </c>
      <c r="C321" s="1969">
        <v>0</v>
      </c>
      <c r="D321" s="1969">
        <v>0</v>
      </c>
      <c r="E321" s="1969">
        <v>0</v>
      </c>
      <c r="F321" s="1943"/>
    </row>
    <row r="322" spans="1:6" x14ac:dyDescent="0.25">
      <c r="A322" t="s">
        <v>2210</v>
      </c>
      <c r="B322" t="s">
        <v>88</v>
      </c>
      <c r="C322" s="1969">
        <v>0</v>
      </c>
      <c r="D322" s="1969">
        <v>0</v>
      </c>
      <c r="E322" s="1969">
        <v>0</v>
      </c>
      <c r="F322" s="1943"/>
    </row>
    <row r="323" spans="1:6" x14ac:dyDescent="0.25">
      <c r="A323" t="s">
        <v>2209</v>
      </c>
      <c r="B323" t="s">
        <v>2723</v>
      </c>
      <c r="C323" s="1969">
        <v>0</v>
      </c>
      <c r="D323" s="1969">
        <v>0</v>
      </c>
      <c r="E323" s="1969">
        <v>0</v>
      </c>
      <c r="F323" s="1943"/>
    </row>
    <row r="324" spans="1:6" x14ac:dyDescent="0.25">
      <c r="A324" t="s">
        <v>2208</v>
      </c>
      <c r="B324" t="s">
        <v>2724</v>
      </c>
      <c r="C324" s="1969">
        <v>0</v>
      </c>
      <c r="D324" s="1969">
        <v>0</v>
      </c>
      <c r="E324" s="1969">
        <v>0</v>
      </c>
      <c r="F324" s="1943"/>
    </row>
    <row r="325" spans="1:6" x14ac:dyDescent="0.25">
      <c r="A325" t="s">
        <v>2207</v>
      </c>
      <c r="B325" t="s">
        <v>2725</v>
      </c>
      <c r="C325" s="1969">
        <v>0</v>
      </c>
      <c r="D325" s="1969">
        <v>0</v>
      </c>
      <c r="E325" s="1969">
        <v>0</v>
      </c>
      <c r="F325" s="1943"/>
    </row>
    <row r="326" spans="1:6" x14ac:dyDescent="0.25">
      <c r="A326" t="s">
        <v>2206</v>
      </c>
      <c r="B326" t="s">
        <v>2726</v>
      </c>
      <c r="C326" s="1969">
        <v>0</v>
      </c>
      <c r="D326" s="1969">
        <v>0</v>
      </c>
      <c r="E326" s="1969">
        <v>0</v>
      </c>
      <c r="F326" s="1943"/>
    </row>
    <row r="327" spans="1:6" x14ac:dyDescent="0.25">
      <c r="A327"/>
      <c r="B327" t="s">
        <v>2727</v>
      </c>
      <c r="C327" t="s">
        <v>2625</v>
      </c>
      <c r="D327" s="1969">
        <v>432381.93</v>
      </c>
      <c r="E327" s="1969">
        <v>145981.45000000001</v>
      </c>
      <c r="F327" s="1943"/>
    </row>
    <row r="328" spans="1:6" x14ac:dyDescent="0.25">
      <c r="A328" t="s">
        <v>2205</v>
      </c>
      <c r="B328" t="s">
        <v>2728</v>
      </c>
      <c r="C328" s="1969">
        <v>0</v>
      </c>
      <c r="D328" s="1969">
        <v>0</v>
      </c>
      <c r="E328" s="1969">
        <v>0</v>
      </c>
      <c r="F328" s="1943"/>
    </row>
    <row r="329" spans="1:6" x14ac:dyDescent="0.25">
      <c r="A329" t="s">
        <v>2204</v>
      </c>
      <c r="B329" t="s">
        <v>2729</v>
      </c>
      <c r="C329" s="1969">
        <v>92981.29</v>
      </c>
      <c r="D329" s="1969">
        <v>194015.6</v>
      </c>
      <c r="E329" s="1969">
        <v>101034.31</v>
      </c>
      <c r="F329" s="1943"/>
    </row>
    <row r="330" spans="1:6" x14ac:dyDescent="0.25">
      <c r="A330" t="s">
        <v>2203</v>
      </c>
      <c r="B330" t="s">
        <v>2730</v>
      </c>
      <c r="C330" s="1969">
        <v>0</v>
      </c>
      <c r="D330" s="1969">
        <v>0</v>
      </c>
      <c r="E330" s="1969">
        <v>44527.48</v>
      </c>
      <c r="F330" s="1943"/>
    </row>
    <row r="331" spans="1:6" x14ac:dyDescent="0.25">
      <c r="A331" t="s">
        <v>2202</v>
      </c>
      <c r="B331" t="s">
        <v>2731</v>
      </c>
      <c r="C331" s="1969">
        <v>1968.75</v>
      </c>
      <c r="D331" s="1969">
        <v>6943.8</v>
      </c>
      <c r="E331" s="1969">
        <v>4975.05</v>
      </c>
      <c r="F331" s="1943"/>
    </row>
    <row r="332" spans="1:6" x14ac:dyDescent="0.25">
      <c r="A332" t="s">
        <v>2201</v>
      </c>
      <c r="B332" t="s">
        <v>2732</v>
      </c>
      <c r="C332" s="1969">
        <v>6000</v>
      </c>
      <c r="D332" s="1969">
        <v>21000</v>
      </c>
      <c r="E332" s="1969">
        <v>15000</v>
      </c>
      <c r="F332" s="1943"/>
    </row>
    <row r="333" spans="1:6" x14ac:dyDescent="0.25">
      <c r="A333" s="1" t="s">
        <v>3047</v>
      </c>
      <c r="B333" t="s">
        <v>2733</v>
      </c>
      <c r="C333" s="1969">
        <v>1004.48</v>
      </c>
      <c r="D333" s="1969">
        <v>2008.96</v>
      </c>
      <c r="E333" s="1969">
        <v>1004.5</v>
      </c>
      <c r="F333" s="1943"/>
    </row>
    <row r="334" spans="1:6" x14ac:dyDescent="0.25">
      <c r="A334" s="1" t="s">
        <v>3046</v>
      </c>
      <c r="B334" t="s">
        <v>2734</v>
      </c>
      <c r="C334" s="1969">
        <v>0</v>
      </c>
      <c r="D334" s="1969">
        <v>70430.48</v>
      </c>
      <c r="E334" s="1969">
        <v>81800.899999999994</v>
      </c>
      <c r="F334" s="1943"/>
    </row>
    <row r="335" spans="1:6" x14ac:dyDescent="0.25">
      <c r="A335"/>
      <c r="B335" t="s">
        <v>2727</v>
      </c>
      <c r="C335" t="s">
        <v>2658</v>
      </c>
      <c r="D335" s="1969">
        <v>101954.52</v>
      </c>
      <c r="E335" s="1969">
        <v>294398.84000000003</v>
      </c>
      <c r="F335" s="1943"/>
    </row>
    <row r="336" spans="1:6" x14ac:dyDescent="0.25">
      <c r="A336" t="s">
        <v>2200</v>
      </c>
      <c r="B336" t="s">
        <v>2659</v>
      </c>
      <c r="C336" s="1969">
        <v>534336.44999999995</v>
      </c>
      <c r="D336" s="1969">
        <v>440380.29</v>
      </c>
      <c r="E336" s="1969">
        <v>93956.160000000003</v>
      </c>
      <c r="F336" s="1943"/>
    </row>
    <row r="337" spans="1:6" x14ac:dyDescent="0.25">
      <c r="A337" s="1" t="s">
        <v>2096</v>
      </c>
      <c r="B337" t="s">
        <v>2727</v>
      </c>
      <c r="C337" s="1969">
        <v>534336.44999999995</v>
      </c>
      <c r="D337" s="1969">
        <v>440380.29</v>
      </c>
      <c r="E337" s="1969">
        <v>93956.160000000003</v>
      </c>
      <c r="F337" s="1943"/>
    </row>
    <row r="338" spans="1:6" x14ac:dyDescent="0.25">
      <c r="A338" s="1" t="s">
        <v>2926</v>
      </c>
      <c r="B338" t="s">
        <v>2562</v>
      </c>
      <c r="C338" s="1969">
        <v>175.92</v>
      </c>
      <c r="D338" s="1969">
        <v>0</v>
      </c>
      <c r="E338" s="1969">
        <v>175.92</v>
      </c>
      <c r="F338" s="1943"/>
    </row>
    <row r="339" spans="1:6" x14ac:dyDescent="0.25">
      <c r="A339" t="s">
        <v>2199</v>
      </c>
      <c r="B339" t="s">
        <v>2735</v>
      </c>
      <c r="C339" s="1969">
        <v>11727.06</v>
      </c>
      <c r="D339" s="1969">
        <v>4047.88</v>
      </c>
      <c r="E339" s="1969">
        <v>7679.18</v>
      </c>
      <c r="F339" s="1943"/>
    </row>
    <row r="340" spans="1:6" x14ac:dyDescent="0.25">
      <c r="A340" t="s">
        <v>2198</v>
      </c>
      <c r="B340" t="s">
        <v>2736</v>
      </c>
      <c r="C340" s="1969">
        <v>7234.5</v>
      </c>
      <c r="D340" s="1969">
        <v>2477.25</v>
      </c>
      <c r="E340" s="1969">
        <v>4757.25</v>
      </c>
      <c r="F340" s="1943"/>
    </row>
    <row r="341" spans="1:6" x14ac:dyDescent="0.25">
      <c r="A341" t="s">
        <v>2197</v>
      </c>
      <c r="B341" t="s">
        <v>2737</v>
      </c>
      <c r="C341" s="1969">
        <v>0</v>
      </c>
      <c r="D341" s="1969">
        <v>0</v>
      </c>
      <c r="E341" s="1969">
        <v>0</v>
      </c>
      <c r="F341" s="1943"/>
    </row>
    <row r="342" spans="1:6" x14ac:dyDescent="0.25">
      <c r="A342" t="s">
        <v>2196</v>
      </c>
      <c r="B342" t="s">
        <v>2738</v>
      </c>
      <c r="C342" s="1969">
        <v>1666.68</v>
      </c>
      <c r="D342" s="1969">
        <v>833.34</v>
      </c>
      <c r="E342" s="1969">
        <v>833.34</v>
      </c>
      <c r="F342" s="1943"/>
    </row>
    <row r="343" spans="1:6" x14ac:dyDescent="0.25">
      <c r="A343" t="s">
        <v>2195</v>
      </c>
      <c r="B343" t="s">
        <v>2739</v>
      </c>
      <c r="C343" s="1969">
        <v>136.52000000000001</v>
      </c>
      <c r="D343" s="1969">
        <v>30.71</v>
      </c>
      <c r="E343" s="1969">
        <v>105.85</v>
      </c>
      <c r="F343" s="1943"/>
    </row>
    <row r="344" spans="1:6" x14ac:dyDescent="0.25">
      <c r="A344" t="s">
        <v>2195</v>
      </c>
      <c r="B344" t="s">
        <v>2740</v>
      </c>
      <c r="C344" s="1969">
        <v>0</v>
      </c>
      <c r="D344" s="1969">
        <v>0</v>
      </c>
      <c r="E344" s="1969">
        <v>0</v>
      </c>
      <c r="F344" s="1943"/>
    </row>
    <row r="345" spans="1:6" x14ac:dyDescent="0.25">
      <c r="A345" t="s">
        <v>2194</v>
      </c>
      <c r="B345" t="s">
        <v>2576</v>
      </c>
      <c r="C345" s="1969">
        <v>240.58</v>
      </c>
      <c r="D345" s="1969">
        <v>108.09</v>
      </c>
      <c r="E345" s="1969">
        <v>132.49</v>
      </c>
      <c r="F345" s="1943"/>
    </row>
    <row r="346" spans="1:6" x14ac:dyDescent="0.25">
      <c r="A346" t="s">
        <v>2193</v>
      </c>
      <c r="B346" t="s">
        <v>2741</v>
      </c>
      <c r="C346" s="1969">
        <v>272</v>
      </c>
      <c r="D346" s="1969">
        <v>136</v>
      </c>
      <c r="E346" s="1969">
        <v>136</v>
      </c>
      <c r="F346" s="1943"/>
    </row>
    <row r="347" spans="1:6" x14ac:dyDescent="0.25">
      <c r="A347" t="s">
        <v>2192</v>
      </c>
      <c r="B347" t="s">
        <v>2577</v>
      </c>
      <c r="C347" s="1969">
        <v>6.1</v>
      </c>
      <c r="D347" s="1969">
        <v>2.7</v>
      </c>
      <c r="E347" s="1969">
        <v>3.4</v>
      </c>
      <c r="F347" s="1943"/>
    </row>
    <row r="348" spans="1:6" x14ac:dyDescent="0.25">
      <c r="A348" t="s">
        <v>2191</v>
      </c>
      <c r="B348" t="s">
        <v>2742</v>
      </c>
      <c r="C348" s="1969">
        <v>0</v>
      </c>
      <c r="D348" s="1969">
        <v>0</v>
      </c>
      <c r="E348" s="1969">
        <v>0</v>
      </c>
      <c r="F348" s="1943"/>
    </row>
    <row r="349" spans="1:6" x14ac:dyDescent="0.25">
      <c r="A349" t="s">
        <v>2190</v>
      </c>
      <c r="B349" t="s">
        <v>2579</v>
      </c>
      <c r="C349" s="1969">
        <v>1730.84</v>
      </c>
      <c r="D349" s="1969">
        <v>762.07</v>
      </c>
      <c r="E349" s="1969">
        <v>968.77</v>
      </c>
      <c r="F349" s="1943"/>
    </row>
    <row r="350" spans="1:6" x14ac:dyDescent="0.25">
      <c r="A350" t="s">
        <v>2190</v>
      </c>
      <c r="B350" t="s">
        <v>2743</v>
      </c>
      <c r="C350" s="1969">
        <v>0</v>
      </c>
      <c r="D350" s="1969">
        <v>0</v>
      </c>
      <c r="E350" s="1969">
        <v>0</v>
      </c>
      <c r="F350" s="1943"/>
    </row>
    <row r="351" spans="1:6" x14ac:dyDescent="0.25">
      <c r="A351" t="s">
        <v>2189</v>
      </c>
      <c r="B351" t="s">
        <v>2744</v>
      </c>
      <c r="C351" s="1969">
        <v>0</v>
      </c>
      <c r="D351" s="1969">
        <v>0</v>
      </c>
      <c r="E351" s="1969">
        <v>0</v>
      </c>
      <c r="F351" s="1943"/>
    </row>
    <row r="352" spans="1:6" x14ac:dyDescent="0.25">
      <c r="A352" t="s">
        <v>2188</v>
      </c>
      <c r="B352" t="s">
        <v>2582</v>
      </c>
      <c r="C352" s="1969">
        <v>0</v>
      </c>
      <c r="D352" s="1969">
        <v>0</v>
      </c>
      <c r="E352" s="1969">
        <v>0</v>
      </c>
      <c r="F352" s="1943"/>
    </row>
    <row r="353" spans="1:6" x14ac:dyDescent="0.25">
      <c r="A353" t="s">
        <v>2187</v>
      </c>
      <c r="B353" t="s">
        <v>2745</v>
      </c>
      <c r="C353" s="1969">
        <v>129138.58</v>
      </c>
      <c r="D353" s="1969">
        <v>64569.29</v>
      </c>
      <c r="E353" s="1969">
        <v>56879.29</v>
      </c>
      <c r="F353" s="1943"/>
    </row>
    <row r="354" spans="1:6" x14ac:dyDescent="0.25">
      <c r="A354" t="s">
        <v>2187</v>
      </c>
      <c r="B354" t="s">
        <v>2746</v>
      </c>
      <c r="C354" s="1969">
        <v>3250.84</v>
      </c>
      <c r="D354" s="1969">
        <v>1625.42</v>
      </c>
      <c r="E354" s="1969">
        <v>1625.42</v>
      </c>
      <c r="F354" s="1943"/>
    </row>
    <row r="355" spans="1:6" x14ac:dyDescent="0.25">
      <c r="A355" t="s">
        <v>2187</v>
      </c>
      <c r="B355" t="s">
        <v>2747</v>
      </c>
      <c r="C355" s="1969">
        <v>3886.36</v>
      </c>
      <c r="D355" s="1969">
        <v>1943.18</v>
      </c>
      <c r="E355" s="1969">
        <v>1943.18</v>
      </c>
      <c r="F355" s="1943"/>
    </row>
    <row r="356" spans="1:6" x14ac:dyDescent="0.25">
      <c r="A356" t="s">
        <v>2186</v>
      </c>
      <c r="B356" t="s">
        <v>2748</v>
      </c>
      <c r="C356" s="1969">
        <v>3145.15</v>
      </c>
      <c r="D356" s="1969">
        <v>1516.53</v>
      </c>
      <c r="E356" s="1969">
        <v>1628.62</v>
      </c>
      <c r="F356" s="1943"/>
    </row>
    <row r="357" spans="1:6" x14ac:dyDescent="0.25">
      <c r="A357" t="s">
        <v>2185</v>
      </c>
      <c r="B357" t="s">
        <v>2749</v>
      </c>
      <c r="C357" s="1969">
        <v>16176.21</v>
      </c>
      <c r="D357" s="1969">
        <v>3358.27</v>
      </c>
      <c r="E357" s="1969">
        <v>12817.94</v>
      </c>
      <c r="F357" s="1943"/>
    </row>
    <row r="358" spans="1:6" x14ac:dyDescent="0.25">
      <c r="A358" t="s">
        <v>2184</v>
      </c>
      <c r="B358" t="s">
        <v>2750</v>
      </c>
      <c r="C358" s="1969">
        <v>0</v>
      </c>
      <c r="D358" s="1969">
        <v>0</v>
      </c>
      <c r="E358" s="1969">
        <v>0</v>
      </c>
      <c r="F358" s="1943"/>
    </row>
    <row r="359" spans="1:6" x14ac:dyDescent="0.25">
      <c r="A359" t="s">
        <v>2183</v>
      </c>
      <c r="B359" t="s">
        <v>2751</v>
      </c>
      <c r="C359" s="1969">
        <v>0</v>
      </c>
      <c r="D359" s="1969">
        <v>0</v>
      </c>
      <c r="E359" s="1969">
        <v>0</v>
      </c>
      <c r="F359" s="1943"/>
    </row>
    <row r="360" spans="1:6" x14ac:dyDescent="0.25">
      <c r="A360" t="s">
        <v>2182</v>
      </c>
      <c r="B360" t="s">
        <v>953</v>
      </c>
      <c r="C360" s="1969">
        <v>21651</v>
      </c>
      <c r="D360" s="1969">
        <v>0</v>
      </c>
      <c r="E360" s="1969">
        <v>21651</v>
      </c>
      <c r="F360" s="1943"/>
    </row>
    <row r="361" spans="1:6" x14ac:dyDescent="0.25">
      <c r="A361" t="s">
        <v>2181</v>
      </c>
      <c r="B361" t="s">
        <v>2752</v>
      </c>
      <c r="C361" s="1969">
        <v>0</v>
      </c>
      <c r="D361" s="1969">
        <v>0</v>
      </c>
      <c r="E361" s="1969">
        <v>0</v>
      </c>
      <c r="F361" s="1943"/>
    </row>
    <row r="362" spans="1:6" x14ac:dyDescent="0.25">
      <c r="A362" t="s">
        <v>2180</v>
      </c>
      <c r="B362" t="s">
        <v>2753</v>
      </c>
      <c r="C362" s="1969">
        <v>2806.08</v>
      </c>
      <c r="D362" s="1969">
        <v>0</v>
      </c>
      <c r="E362" s="1969">
        <v>2806.08</v>
      </c>
      <c r="F362" s="1943"/>
    </row>
    <row r="363" spans="1:6" x14ac:dyDescent="0.25">
      <c r="A363" s="1" t="s">
        <v>3049</v>
      </c>
      <c r="B363" t="s">
        <v>2754</v>
      </c>
      <c r="C363" s="1969">
        <v>14000</v>
      </c>
      <c r="D363" s="1969">
        <v>7000</v>
      </c>
      <c r="E363" s="1969">
        <v>7690</v>
      </c>
      <c r="F363" s="1943"/>
    </row>
    <row r="364" spans="1:6" x14ac:dyDescent="0.25">
      <c r="A364"/>
      <c r="B364" t="s">
        <v>2755</v>
      </c>
      <c r="C364" t="s">
        <v>2625</v>
      </c>
      <c r="D364" s="1969">
        <v>217244.42</v>
      </c>
      <c r="E364" s="1969">
        <v>88410.73</v>
      </c>
      <c r="F364" s="1943"/>
    </row>
    <row r="365" spans="1:6" x14ac:dyDescent="0.25">
      <c r="A365" t="s">
        <v>2179</v>
      </c>
      <c r="B365" t="s">
        <v>2756</v>
      </c>
      <c r="C365" s="1969">
        <v>0</v>
      </c>
      <c r="D365" s="1969">
        <v>0</v>
      </c>
      <c r="E365" s="1969">
        <v>0</v>
      </c>
      <c r="F365" s="1943"/>
    </row>
    <row r="366" spans="1:6" x14ac:dyDescent="0.25">
      <c r="A366" t="s">
        <v>2178</v>
      </c>
      <c r="B366" t="s">
        <v>2757</v>
      </c>
      <c r="C366" s="1969">
        <v>13218.82</v>
      </c>
      <c r="D366" s="1969">
        <v>27582.51</v>
      </c>
      <c r="E366" s="1969">
        <v>14363.69</v>
      </c>
      <c r="F366" s="1943"/>
    </row>
    <row r="367" spans="1:6" x14ac:dyDescent="0.25">
      <c r="A367" t="s">
        <v>2177</v>
      </c>
      <c r="B367" t="s">
        <v>2758</v>
      </c>
      <c r="C367" s="1969">
        <v>0</v>
      </c>
      <c r="D367" s="1969">
        <v>0</v>
      </c>
      <c r="E367" s="1969">
        <v>15253.76</v>
      </c>
      <c r="F367" s="1943"/>
    </row>
    <row r="368" spans="1:6" x14ac:dyDescent="0.25">
      <c r="A368" t="s">
        <v>2176</v>
      </c>
      <c r="B368" t="s">
        <v>2759</v>
      </c>
      <c r="C368" s="1969">
        <v>0</v>
      </c>
      <c r="D368" s="1969">
        <v>6875</v>
      </c>
      <c r="E368" s="1969">
        <v>6875</v>
      </c>
      <c r="F368" s="1943"/>
    </row>
    <row r="369" spans="1:6" x14ac:dyDescent="0.25">
      <c r="A369" t="s">
        <v>2175</v>
      </c>
      <c r="B369" t="s">
        <v>2760</v>
      </c>
      <c r="C369" s="1969">
        <v>822.34</v>
      </c>
      <c r="D369" s="1969">
        <v>1799.52</v>
      </c>
      <c r="E369" s="1969">
        <v>977.18</v>
      </c>
      <c r="F369" s="1943"/>
    </row>
    <row r="370" spans="1:6" x14ac:dyDescent="0.25">
      <c r="A370" s="1" t="s">
        <v>2175</v>
      </c>
      <c r="B370" t="s">
        <v>2761</v>
      </c>
      <c r="C370" s="1969">
        <v>0</v>
      </c>
      <c r="D370" s="1969">
        <v>956.58</v>
      </c>
      <c r="E370" s="1969">
        <v>956.28</v>
      </c>
      <c r="F370" s="1943"/>
    </row>
    <row r="371" spans="1:6" x14ac:dyDescent="0.25">
      <c r="A371" s="1" t="s">
        <v>2884</v>
      </c>
      <c r="B371" t="s">
        <v>2762</v>
      </c>
      <c r="C371" s="1969">
        <v>0</v>
      </c>
      <c r="D371" s="1969">
        <v>50109.31</v>
      </c>
      <c r="E371" s="1969">
        <v>93942.55</v>
      </c>
      <c r="F371" s="1943"/>
    </row>
    <row r="372" spans="1:6" x14ac:dyDescent="0.25">
      <c r="A372" s="1" t="s">
        <v>2173</v>
      </c>
      <c r="B372" t="s">
        <v>2763</v>
      </c>
      <c r="C372" s="1969">
        <v>11559.9</v>
      </c>
      <c r="D372" s="1969">
        <v>23119.8</v>
      </c>
      <c r="E372" s="1969">
        <v>11559.9</v>
      </c>
      <c r="F372" s="1943"/>
    </row>
    <row r="373" spans="1:6" x14ac:dyDescent="0.25">
      <c r="A373" t="s">
        <v>2174</v>
      </c>
      <c r="B373" t="s">
        <v>2764</v>
      </c>
      <c r="C373" s="1969">
        <v>0</v>
      </c>
      <c r="D373" s="1969">
        <v>0</v>
      </c>
      <c r="E373" s="1969">
        <v>0</v>
      </c>
      <c r="F373" s="1943"/>
    </row>
    <row r="374" spans="1:6" x14ac:dyDescent="0.25">
      <c r="A374" t="s">
        <v>2173</v>
      </c>
      <c r="B374" t="s">
        <v>2765</v>
      </c>
      <c r="C374" s="1969">
        <v>0</v>
      </c>
      <c r="D374" s="1969">
        <v>29687.96</v>
      </c>
      <c r="E374" s="1969">
        <v>29687.96</v>
      </c>
      <c r="F374" s="1943"/>
    </row>
    <row r="375" spans="1:6" x14ac:dyDescent="0.25">
      <c r="A375" t="s">
        <v>2172</v>
      </c>
      <c r="B375" t="s">
        <v>2766</v>
      </c>
      <c r="C375" s="1969">
        <v>0</v>
      </c>
      <c r="D375" s="1969">
        <v>22860.51</v>
      </c>
      <c r="E375" s="1969">
        <v>22860.51</v>
      </c>
      <c r="F375" s="1943"/>
    </row>
    <row r="376" spans="1:6" x14ac:dyDescent="0.25">
      <c r="A376" s="1" t="s">
        <v>2172</v>
      </c>
      <c r="B376" t="s">
        <v>2767</v>
      </c>
      <c r="C376" s="1969">
        <v>5333.59</v>
      </c>
      <c r="D376" s="1969">
        <v>10667.18</v>
      </c>
      <c r="E376" s="1969">
        <v>5333.59</v>
      </c>
      <c r="F376" s="1943"/>
    </row>
    <row r="377" spans="1:6" x14ac:dyDescent="0.25">
      <c r="A377"/>
      <c r="B377" t="s">
        <v>2755</v>
      </c>
      <c r="C377" t="s">
        <v>2658</v>
      </c>
      <c r="D377" s="1969">
        <v>30934.65</v>
      </c>
      <c r="E377" s="1969">
        <v>173658.37</v>
      </c>
      <c r="F377" s="1943"/>
    </row>
    <row r="378" spans="1:6" x14ac:dyDescent="0.25">
      <c r="A378" t="s">
        <v>2171</v>
      </c>
      <c r="B378" t="s">
        <v>2659</v>
      </c>
      <c r="C378" s="1969">
        <v>248179.07</v>
      </c>
      <c r="D378" s="1969">
        <v>262069.1</v>
      </c>
      <c r="E378" s="1969">
        <v>13890.03</v>
      </c>
      <c r="F378" s="1943"/>
    </row>
    <row r="379" spans="1:6" x14ac:dyDescent="0.25">
      <c r="A379" t="s">
        <v>2096</v>
      </c>
      <c r="B379" t="s">
        <v>2755</v>
      </c>
      <c r="C379" s="1969">
        <v>248179.07</v>
      </c>
      <c r="D379" s="1969">
        <v>262069.1</v>
      </c>
      <c r="E379" s="1969">
        <v>13890.03</v>
      </c>
      <c r="F379" s="1943"/>
    </row>
    <row r="380" spans="1:6" x14ac:dyDescent="0.25">
      <c r="A380" t="s">
        <v>2927</v>
      </c>
      <c r="B380" t="s">
        <v>2768</v>
      </c>
      <c r="C380" s="1969">
        <v>1069.07</v>
      </c>
      <c r="D380" s="1969">
        <v>194.12</v>
      </c>
      <c r="E380" s="1969">
        <v>874.95</v>
      </c>
      <c r="F380" s="1943"/>
    </row>
    <row r="381" spans="1:6" x14ac:dyDescent="0.25">
      <c r="A381" t="s">
        <v>2928</v>
      </c>
      <c r="B381" t="s">
        <v>2769</v>
      </c>
      <c r="C381" s="1969">
        <v>14.5</v>
      </c>
      <c r="D381" s="1969">
        <v>0</v>
      </c>
      <c r="E381" s="1969">
        <v>14.5</v>
      </c>
      <c r="F381" s="1943"/>
    </row>
    <row r="382" spans="1:6" x14ac:dyDescent="0.25">
      <c r="A382" t="s">
        <v>2928</v>
      </c>
      <c r="B382" t="s">
        <v>2770</v>
      </c>
      <c r="C382" s="1969">
        <v>17350.38</v>
      </c>
      <c r="D382" s="1969">
        <v>9090.56</v>
      </c>
      <c r="E382" s="1969">
        <v>8259.82</v>
      </c>
      <c r="F382" s="1943"/>
    </row>
    <row r="383" spans="1:6" x14ac:dyDescent="0.25">
      <c r="A383" t="s">
        <v>2170</v>
      </c>
      <c r="B383" t="s">
        <v>2771</v>
      </c>
      <c r="C383" s="1969">
        <v>1635.15</v>
      </c>
      <c r="D383" s="1969">
        <v>885.18</v>
      </c>
      <c r="E383" s="1969">
        <v>749.97</v>
      </c>
      <c r="F383" s="1943"/>
    </row>
    <row r="384" spans="1:6" x14ac:dyDescent="0.25">
      <c r="A384" t="s">
        <v>2170</v>
      </c>
      <c r="B384" t="s">
        <v>2772</v>
      </c>
      <c r="C384" s="1969">
        <v>0</v>
      </c>
      <c r="D384" s="1969">
        <v>0</v>
      </c>
      <c r="E384" s="1969">
        <v>0</v>
      </c>
      <c r="F384" s="1943"/>
    </row>
    <row r="385" spans="1:6" x14ac:dyDescent="0.25">
      <c r="A385" t="s">
        <v>2169</v>
      </c>
      <c r="B385" t="s">
        <v>2773</v>
      </c>
      <c r="C385" s="1969">
        <v>1199.17</v>
      </c>
      <c r="D385" s="1969">
        <v>594.66</v>
      </c>
      <c r="E385" s="1969">
        <v>604.51</v>
      </c>
      <c r="F385" s="1943"/>
    </row>
    <row r="386" spans="1:6" x14ac:dyDescent="0.25">
      <c r="A386" t="s">
        <v>2169</v>
      </c>
      <c r="B386" t="s">
        <v>2774</v>
      </c>
      <c r="C386" s="1969">
        <v>0</v>
      </c>
      <c r="D386" s="1969">
        <v>0</v>
      </c>
      <c r="E386" s="1969">
        <v>0</v>
      </c>
      <c r="F386" s="1943"/>
    </row>
    <row r="387" spans="1:6" x14ac:dyDescent="0.25">
      <c r="A387" t="s">
        <v>2168</v>
      </c>
      <c r="B387" t="s">
        <v>2775</v>
      </c>
      <c r="C387" s="1969">
        <v>1582.24</v>
      </c>
      <c r="D387" s="1969">
        <v>756.86</v>
      </c>
      <c r="E387" s="1969">
        <v>825.38</v>
      </c>
      <c r="F387" s="1943"/>
    </row>
    <row r="388" spans="1:6" x14ac:dyDescent="0.25">
      <c r="A388" t="s">
        <v>2168</v>
      </c>
      <c r="B388" t="s">
        <v>2776</v>
      </c>
      <c r="C388" s="1969">
        <v>0</v>
      </c>
      <c r="D388" s="1969">
        <v>0</v>
      </c>
      <c r="E388" s="1969">
        <v>0</v>
      </c>
      <c r="F388" s="1943"/>
    </row>
    <row r="389" spans="1:6" x14ac:dyDescent="0.25">
      <c r="A389" t="s">
        <v>2167</v>
      </c>
      <c r="B389" t="s">
        <v>2777</v>
      </c>
      <c r="C389" s="1969">
        <v>8390.31</v>
      </c>
      <c r="D389" s="1969">
        <v>4742.4799999999996</v>
      </c>
      <c r="E389" s="1969">
        <v>3647.83</v>
      </c>
      <c r="F389" s="1943"/>
    </row>
    <row r="390" spans="1:6" x14ac:dyDescent="0.25">
      <c r="A390" t="s">
        <v>2166</v>
      </c>
      <c r="B390" t="s">
        <v>2778</v>
      </c>
      <c r="C390" s="1969">
        <v>5966.37</v>
      </c>
      <c r="D390" s="1969">
        <v>3138.92</v>
      </c>
      <c r="E390" s="1969">
        <v>2827.45</v>
      </c>
      <c r="F390" s="1943"/>
    </row>
    <row r="391" spans="1:6" x14ac:dyDescent="0.25">
      <c r="A391" t="s">
        <v>2165</v>
      </c>
      <c r="B391" t="s">
        <v>2779</v>
      </c>
      <c r="C391" s="1969">
        <v>1985.74</v>
      </c>
      <c r="D391" s="1969">
        <v>972.28</v>
      </c>
      <c r="E391" s="1969">
        <v>1013.46</v>
      </c>
      <c r="F391" s="1943"/>
    </row>
    <row r="392" spans="1:6" x14ac:dyDescent="0.25">
      <c r="A392" t="s">
        <v>2167</v>
      </c>
      <c r="B392" t="s">
        <v>2780</v>
      </c>
      <c r="C392" s="1969">
        <v>897.06</v>
      </c>
      <c r="D392" s="1969">
        <v>190.18</v>
      </c>
      <c r="E392" s="1969">
        <v>706.88</v>
      </c>
      <c r="F392" s="1943"/>
    </row>
    <row r="393" spans="1:6" x14ac:dyDescent="0.25">
      <c r="A393" t="s">
        <v>2166</v>
      </c>
      <c r="B393" t="s">
        <v>2781</v>
      </c>
      <c r="C393" s="1969">
        <v>733.15</v>
      </c>
      <c r="D393" s="1969">
        <v>81.180000000000007</v>
      </c>
      <c r="E393" s="1969">
        <v>651.97</v>
      </c>
      <c r="F393" s="1943"/>
    </row>
    <row r="394" spans="1:6" x14ac:dyDescent="0.25">
      <c r="A394" t="s">
        <v>2165</v>
      </c>
      <c r="B394" t="s">
        <v>2782</v>
      </c>
      <c r="C394" s="1969">
        <v>171.47</v>
      </c>
      <c r="D394" s="1969">
        <v>18.98</v>
      </c>
      <c r="E394" s="1969">
        <v>152.49</v>
      </c>
      <c r="F394" s="1943"/>
    </row>
    <row r="395" spans="1:6" x14ac:dyDescent="0.25">
      <c r="A395" t="s">
        <v>2164</v>
      </c>
      <c r="B395" t="s">
        <v>2783</v>
      </c>
      <c r="C395" s="1969">
        <v>4789.8900000000003</v>
      </c>
      <c r="D395" s="1969">
        <v>2536.46</v>
      </c>
      <c r="E395" s="1969">
        <v>2253.4299999999998</v>
      </c>
      <c r="F395" s="1943"/>
    </row>
    <row r="396" spans="1:6" x14ac:dyDescent="0.25">
      <c r="A396" t="s">
        <v>2163</v>
      </c>
      <c r="B396" t="s">
        <v>2784</v>
      </c>
      <c r="C396" s="1969">
        <v>3497.86</v>
      </c>
      <c r="D396" s="1969">
        <v>1689.3</v>
      </c>
      <c r="E396" s="1969">
        <v>1808.56</v>
      </c>
      <c r="F396" s="1943"/>
    </row>
    <row r="397" spans="1:6" x14ac:dyDescent="0.25">
      <c r="A397" t="s">
        <v>2162</v>
      </c>
      <c r="B397" t="s">
        <v>2785</v>
      </c>
      <c r="C397" s="1969">
        <v>819.22</v>
      </c>
      <c r="D397" s="1969">
        <v>395.86</v>
      </c>
      <c r="E397" s="1969">
        <v>423.36</v>
      </c>
      <c r="F397" s="1943"/>
    </row>
    <row r="398" spans="1:6" x14ac:dyDescent="0.25">
      <c r="A398" t="s">
        <v>2161</v>
      </c>
      <c r="B398" t="s">
        <v>2786</v>
      </c>
      <c r="C398" s="1969">
        <v>0</v>
      </c>
      <c r="D398" s="1969">
        <v>0</v>
      </c>
      <c r="E398" s="1969">
        <v>0</v>
      </c>
      <c r="F398" s="1943"/>
    </row>
    <row r="399" spans="1:6" x14ac:dyDescent="0.25">
      <c r="A399" t="s">
        <v>2161</v>
      </c>
      <c r="B399" t="s">
        <v>2787</v>
      </c>
      <c r="C399" s="1969">
        <v>0</v>
      </c>
      <c r="D399" s="1969">
        <v>0</v>
      </c>
      <c r="E399" s="1969">
        <v>0</v>
      </c>
      <c r="F399" s="1943"/>
    </row>
    <row r="400" spans="1:6" x14ac:dyDescent="0.25">
      <c r="A400" t="s">
        <v>2160</v>
      </c>
      <c r="B400" t="s">
        <v>2788</v>
      </c>
      <c r="C400" s="1969">
        <v>0</v>
      </c>
      <c r="D400" s="1969">
        <v>0</v>
      </c>
      <c r="E400" s="1969">
        <v>0</v>
      </c>
      <c r="F400" s="1943"/>
    </row>
    <row r="401" spans="1:6" x14ac:dyDescent="0.25">
      <c r="A401" t="s">
        <v>2160</v>
      </c>
      <c r="B401" t="s">
        <v>2789</v>
      </c>
      <c r="C401" s="1969">
        <v>0.93</v>
      </c>
      <c r="D401" s="1969">
        <v>0</v>
      </c>
      <c r="E401" s="1969">
        <v>0.93</v>
      </c>
      <c r="F401" s="1943"/>
    </row>
    <row r="402" spans="1:6" x14ac:dyDescent="0.25">
      <c r="A402" t="s">
        <v>2160</v>
      </c>
      <c r="B402" t="s">
        <v>2790</v>
      </c>
      <c r="C402" s="1969">
        <v>0</v>
      </c>
      <c r="D402" s="1969">
        <v>0</v>
      </c>
      <c r="E402" s="1969">
        <v>0</v>
      </c>
      <c r="F402" s="1943"/>
    </row>
    <row r="403" spans="1:6" x14ac:dyDescent="0.25">
      <c r="A403" t="s">
        <v>2160</v>
      </c>
      <c r="B403" t="s">
        <v>2791</v>
      </c>
      <c r="C403" s="1969">
        <v>711.45</v>
      </c>
      <c r="D403" s="1969">
        <v>212.66</v>
      </c>
      <c r="E403" s="1969">
        <v>498.79</v>
      </c>
      <c r="F403" s="1943"/>
    </row>
    <row r="404" spans="1:6" x14ac:dyDescent="0.25">
      <c r="A404" t="s">
        <v>2159</v>
      </c>
      <c r="B404" t="s">
        <v>2792</v>
      </c>
      <c r="C404" s="1969">
        <v>202.53</v>
      </c>
      <c r="D404" s="1969">
        <v>135.02000000000001</v>
      </c>
      <c r="E404" s="1969">
        <v>67.510000000000005</v>
      </c>
      <c r="F404" s="1943"/>
    </row>
    <row r="405" spans="1:6" x14ac:dyDescent="0.25">
      <c r="A405" t="s">
        <v>2159</v>
      </c>
      <c r="B405" t="s">
        <v>2793</v>
      </c>
      <c r="C405" s="1969">
        <v>0.87</v>
      </c>
      <c r="D405" s="1969">
        <v>0</v>
      </c>
      <c r="E405" s="1969">
        <v>0.87</v>
      </c>
      <c r="F405" s="1943"/>
    </row>
    <row r="406" spans="1:6" x14ac:dyDescent="0.25">
      <c r="A406" t="s">
        <v>2159</v>
      </c>
      <c r="B406" t="s">
        <v>2794</v>
      </c>
      <c r="C406" s="1969">
        <v>157.69</v>
      </c>
      <c r="D406" s="1969">
        <v>0</v>
      </c>
      <c r="E406" s="1969">
        <v>157.69</v>
      </c>
      <c r="F406" s="1943"/>
    </row>
    <row r="407" spans="1:6" x14ac:dyDescent="0.25">
      <c r="A407" t="s">
        <v>2159</v>
      </c>
      <c r="B407" t="s">
        <v>2795</v>
      </c>
      <c r="C407" s="1969">
        <v>122.57</v>
      </c>
      <c r="D407" s="1969">
        <v>6.98</v>
      </c>
      <c r="E407" s="1969">
        <v>115.59</v>
      </c>
      <c r="F407" s="1943"/>
    </row>
    <row r="408" spans="1:6" x14ac:dyDescent="0.25">
      <c r="A408" t="s">
        <v>2158</v>
      </c>
      <c r="B408" t="s">
        <v>2796</v>
      </c>
      <c r="C408" s="1969">
        <v>22.8</v>
      </c>
      <c r="D408" s="1969">
        <v>15.2</v>
      </c>
      <c r="E408" s="1969">
        <v>7.6</v>
      </c>
      <c r="F408" s="1943"/>
    </row>
    <row r="409" spans="1:6" x14ac:dyDescent="0.25">
      <c r="A409" t="s">
        <v>2157</v>
      </c>
      <c r="B409" t="s">
        <v>2797</v>
      </c>
      <c r="C409" s="1969">
        <v>5.34</v>
      </c>
      <c r="D409" s="1969">
        <v>3.56</v>
      </c>
      <c r="E409" s="1969">
        <v>1.78</v>
      </c>
      <c r="F409" s="1943"/>
    </row>
    <row r="410" spans="1:6" x14ac:dyDescent="0.25">
      <c r="A410" t="s">
        <v>2156</v>
      </c>
      <c r="B410" t="s">
        <v>2798</v>
      </c>
      <c r="C410" s="1969">
        <v>198.14</v>
      </c>
      <c r="D410" s="1969">
        <v>111.06</v>
      </c>
      <c r="E410" s="1969">
        <v>87.08</v>
      </c>
      <c r="F410" s="1943"/>
    </row>
    <row r="411" spans="1:6" x14ac:dyDescent="0.25">
      <c r="A411" t="s">
        <v>2155</v>
      </c>
      <c r="B411" t="s">
        <v>2799</v>
      </c>
      <c r="C411" s="1969">
        <v>144.54</v>
      </c>
      <c r="D411" s="1969">
        <v>77.44</v>
      </c>
      <c r="E411" s="1969">
        <v>67.099999999999994</v>
      </c>
      <c r="F411" s="1943"/>
    </row>
    <row r="412" spans="1:6" x14ac:dyDescent="0.25">
      <c r="A412" t="s">
        <v>2154</v>
      </c>
      <c r="B412" t="s">
        <v>2800</v>
      </c>
      <c r="C412" s="1969">
        <v>33.69</v>
      </c>
      <c r="D412" s="1969">
        <v>18.059999999999999</v>
      </c>
      <c r="E412" s="1969">
        <v>15.63</v>
      </c>
      <c r="F412" s="1943"/>
    </row>
    <row r="413" spans="1:6" x14ac:dyDescent="0.25">
      <c r="A413" t="s">
        <v>2153</v>
      </c>
      <c r="B413" t="s">
        <v>2801</v>
      </c>
      <c r="C413" s="1969">
        <v>257.92</v>
      </c>
      <c r="D413" s="1969">
        <v>138.88</v>
      </c>
      <c r="E413" s="1969">
        <v>119.04</v>
      </c>
      <c r="F413" s="1943"/>
    </row>
    <row r="414" spans="1:6" x14ac:dyDescent="0.25">
      <c r="A414" t="s">
        <v>2152</v>
      </c>
      <c r="B414" t="s">
        <v>2802</v>
      </c>
      <c r="C414" s="1969">
        <v>60.32</v>
      </c>
      <c r="D414" s="1969">
        <v>32.479999999999997</v>
      </c>
      <c r="E414" s="1969">
        <v>27.84</v>
      </c>
      <c r="F414" s="1943"/>
    </row>
    <row r="415" spans="1:6" x14ac:dyDescent="0.25">
      <c r="A415" t="s">
        <v>2151</v>
      </c>
      <c r="B415" t="s">
        <v>2803</v>
      </c>
      <c r="C415" s="1969">
        <v>3433.45</v>
      </c>
      <c r="D415" s="1969">
        <v>1909.62</v>
      </c>
      <c r="E415" s="1969">
        <v>1523.83</v>
      </c>
      <c r="F415" s="1943"/>
    </row>
    <row r="416" spans="1:6" x14ac:dyDescent="0.25">
      <c r="A416" t="s">
        <v>2150</v>
      </c>
      <c r="B416" t="s">
        <v>2804</v>
      </c>
      <c r="C416" s="1969">
        <v>2780.62</v>
      </c>
      <c r="D416" s="1969">
        <v>1331.82</v>
      </c>
      <c r="E416" s="1969">
        <v>1448.8</v>
      </c>
      <c r="F416" s="1943"/>
    </row>
    <row r="417" spans="1:6" x14ac:dyDescent="0.25">
      <c r="A417" t="s">
        <v>2149</v>
      </c>
      <c r="B417" t="s">
        <v>2805</v>
      </c>
      <c r="C417" s="1969">
        <v>3847.25</v>
      </c>
      <c r="D417" s="1969">
        <v>2028.86</v>
      </c>
      <c r="E417" s="1969">
        <v>1818.39</v>
      </c>
      <c r="F417" s="1943"/>
    </row>
    <row r="418" spans="1:6" x14ac:dyDescent="0.25">
      <c r="A418" t="s">
        <v>2149</v>
      </c>
      <c r="B418" t="s">
        <v>2806</v>
      </c>
      <c r="C418" s="1969">
        <v>0</v>
      </c>
      <c r="D418" s="1969">
        <v>0</v>
      </c>
      <c r="E418" s="1969">
        <v>0</v>
      </c>
      <c r="F418" s="1943"/>
    </row>
    <row r="419" spans="1:6" x14ac:dyDescent="0.25">
      <c r="A419" t="s">
        <v>2149</v>
      </c>
      <c r="B419" t="s">
        <v>2807</v>
      </c>
      <c r="C419" s="1969">
        <v>0</v>
      </c>
      <c r="D419" s="1969">
        <v>0</v>
      </c>
      <c r="E419" s="1969">
        <v>0</v>
      </c>
      <c r="F419" s="1943"/>
    </row>
    <row r="420" spans="1:6" x14ac:dyDescent="0.25">
      <c r="A420" t="s">
        <v>2148</v>
      </c>
      <c r="B420" t="s">
        <v>2808</v>
      </c>
      <c r="C420" s="1969">
        <v>160.62</v>
      </c>
      <c r="D420" s="1969">
        <v>107.08</v>
      </c>
      <c r="E420" s="1969">
        <v>53.54</v>
      </c>
      <c r="F420" s="1943"/>
    </row>
    <row r="421" spans="1:6" x14ac:dyDescent="0.25">
      <c r="A421" t="s">
        <v>2148</v>
      </c>
      <c r="B421" t="s">
        <v>2808</v>
      </c>
      <c r="C421" s="1969">
        <v>0</v>
      </c>
      <c r="D421" s="1969">
        <v>0</v>
      </c>
      <c r="E421" s="1969">
        <v>0</v>
      </c>
      <c r="F421" s="1943"/>
    </row>
    <row r="422" spans="1:6" x14ac:dyDescent="0.25">
      <c r="A422" t="s">
        <v>2147</v>
      </c>
      <c r="B422" t="s">
        <v>2809</v>
      </c>
      <c r="C422" s="1969">
        <v>111.6</v>
      </c>
      <c r="D422" s="1969">
        <v>74.400000000000006</v>
      </c>
      <c r="E422" s="1969">
        <v>37.200000000000003</v>
      </c>
      <c r="F422" s="1943"/>
    </row>
    <row r="423" spans="1:6" x14ac:dyDescent="0.25">
      <c r="A423" t="s">
        <v>2147</v>
      </c>
      <c r="B423" t="s">
        <v>2810</v>
      </c>
      <c r="C423" s="1969">
        <v>0</v>
      </c>
      <c r="D423" s="1969">
        <v>0</v>
      </c>
      <c r="E423" s="1969">
        <v>0</v>
      </c>
      <c r="F423" s="1943"/>
    </row>
    <row r="424" spans="1:6" x14ac:dyDescent="0.25">
      <c r="A424" t="s">
        <v>2146</v>
      </c>
      <c r="B424" t="s">
        <v>2811</v>
      </c>
      <c r="C424" s="1969">
        <v>80.459999999999994</v>
      </c>
      <c r="D424" s="1969">
        <v>53.64</v>
      </c>
      <c r="E424" s="1969">
        <v>26.82</v>
      </c>
      <c r="F424" s="1943"/>
    </row>
    <row r="425" spans="1:6" x14ac:dyDescent="0.25">
      <c r="A425" t="s">
        <v>2145</v>
      </c>
      <c r="B425" t="s">
        <v>2812</v>
      </c>
      <c r="C425" s="1969">
        <v>0</v>
      </c>
      <c r="D425" s="1969">
        <v>0</v>
      </c>
      <c r="E425" s="1969">
        <v>0</v>
      </c>
      <c r="F425" s="1943"/>
    </row>
    <row r="426" spans="1:6" x14ac:dyDescent="0.25">
      <c r="A426" t="s">
        <v>2145</v>
      </c>
      <c r="B426" t="s">
        <v>2813</v>
      </c>
      <c r="C426" s="1969">
        <v>0</v>
      </c>
      <c r="D426" s="1969">
        <v>0</v>
      </c>
      <c r="E426" s="1969">
        <v>0</v>
      </c>
      <c r="F426" s="1943"/>
    </row>
    <row r="427" spans="1:6" x14ac:dyDescent="0.25">
      <c r="A427" t="s">
        <v>2144</v>
      </c>
      <c r="B427" t="s">
        <v>2814</v>
      </c>
      <c r="C427" s="1969">
        <v>0</v>
      </c>
      <c r="D427" s="1969">
        <v>0</v>
      </c>
      <c r="E427" s="1969">
        <v>0</v>
      </c>
      <c r="F427" s="1943"/>
    </row>
    <row r="428" spans="1:6" x14ac:dyDescent="0.25">
      <c r="A428" t="s">
        <v>2143</v>
      </c>
      <c r="B428" t="s">
        <v>2815</v>
      </c>
      <c r="C428" s="1969">
        <v>1196.58</v>
      </c>
      <c r="D428" s="1969">
        <v>398.42</v>
      </c>
      <c r="E428" s="1969">
        <v>798.16</v>
      </c>
      <c r="F428" s="1943"/>
    </row>
    <row r="429" spans="1:6" x14ac:dyDescent="0.25">
      <c r="A429" t="s">
        <v>2143</v>
      </c>
      <c r="B429" t="s">
        <v>2816</v>
      </c>
      <c r="C429" s="1969">
        <v>0</v>
      </c>
      <c r="D429" s="1969">
        <v>0</v>
      </c>
      <c r="E429" s="1969">
        <v>0</v>
      </c>
      <c r="F429" s="1943"/>
    </row>
    <row r="430" spans="1:6" x14ac:dyDescent="0.25">
      <c r="A430" t="s">
        <v>2143</v>
      </c>
      <c r="B430" t="s">
        <v>2817</v>
      </c>
      <c r="C430" s="1969">
        <v>0</v>
      </c>
      <c r="D430" s="1969">
        <v>0</v>
      </c>
      <c r="E430" s="1969">
        <v>0</v>
      </c>
      <c r="F430" s="1943"/>
    </row>
    <row r="431" spans="1:6" x14ac:dyDescent="0.25">
      <c r="A431" t="s">
        <v>2142</v>
      </c>
      <c r="B431" t="s">
        <v>2818</v>
      </c>
      <c r="C431" s="1969">
        <v>1523.1</v>
      </c>
      <c r="D431" s="1969">
        <v>1015.4</v>
      </c>
      <c r="E431" s="1969">
        <v>507.7</v>
      </c>
      <c r="F431" s="1943"/>
    </row>
    <row r="432" spans="1:6" x14ac:dyDescent="0.25">
      <c r="A432" t="s">
        <v>2141</v>
      </c>
      <c r="B432" t="s">
        <v>2819</v>
      </c>
      <c r="C432" s="1969">
        <v>6030.55</v>
      </c>
      <c r="D432" s="1969">
        <v>3350.82</v>
      </c>
      <c r="E432" s="1969">
        <v>2679.73</v>
      </c>
      <c r="F432" s="1943"/>
    </row>
    <row r="433" spans="1:6" x14ac:dyDescent="0.25">
      <c r="A433" t="s">
        <v>2140</v>
      </c>
      <c r="B433" t="s">
        <v>2820</v>
      </c>
      <c r="C433" s="1969">
        <v>4396.55</v>
      </c>
      <c r="D433" s="1969">
        <v>2336.96</v>
      </c>
      <c r="E433" s="1969">
        <v>2059.59</v>
      </c>
      <c r="F433" s="1943"/>
    </row>
    <row r="434" spans="1:6" x14ac:dyDescent="0.25">
      <c r="A434" t="s">
        <v>2139</v>
      </c>
      <c r="B434" t="s">
        <v>2821</v>
      </c>
      <c r="C434" s="1969">
        <v>1028.24</v>
      </c>
      <c r="D434" s="1969">
        <v>546.54</v>
      </c>
      <c r="E434" s="1969">
        <v>481.7</v>
      </c>
      <c r="F434" s="1943"/>
    </row>
    <row r="435" spans="1:6" x14ac:dyDescent="0.25">
      <c r="A435" t="s">
        <v>2138</v>
      </c>
      <c r="B435" t="s">
        <v>2822</v>
      </c>
      <c r="C435" s="1969">
        <v>11164.15</v>
      </c>
      <c r="D435" s="1969">
        <v>6237.16</v>
      </c>
      <c r="E435" s="1969">
        <v>4926.99</v>
      </c>
      <c r="F435" s="1943"/>
    </row>
    <row r="436" spans="1:6" x14ac:dyDescent="0.25">
      <c r="A436" t="s">
        <v>2138</v>
      </c>
      <c r="B436" t="s">
        <v>2823</v>
      </c>
      <c r="C436" s="1969">
        <v>0</v>
      </c>
      <c r="D436" s="1969">
        <v>0</v>
      </c>
      <c r="E436" s="1969">
        <v>0</v>
      </c>
      <c r="F436" s="1943"/>
    </row>
    <row r="437" spans="1:6" x14ac:dyDescent="0.25">
      <c r="A437" t="s">
        <v>2137</v>
      </c>
      <c r="B437" t="s">
        <v>2824</v>
      </c>
      <c r="C437" s="1969">
        <v>11073.7</v>
      </c>
      <c r="D437" s="1969">
        <v>6011.86</v>
      </c>
      <c r="E437" s="1969">
        <v>5061.84</v>
      </c>
      <c r="F437" s="1943"/>
    </row>
    <row r="438" spans="1:6" x14ac:dyDescent="0.25">
      <c r="A438" t="s">
        <v>2137</v>
      </c>
      <c r="B438" t="s">
        <v>2825</v>
      </c>
      <c r="C438" s="1969">
        <v>0</v>
      </c>
      <c r="D438" s="1969">
        <v>0</v>
      </c>
      <c r="E438" s="1969">
        <v>0</v>
      </c>
      <c r="F438" s="1943"/>
    </row>
    <row r="439" spans="1:6" x14ac:dyDescent="0.25">
      <c r="A439" t="s">
        <v>2136</v>
      </c>
      <c r="B439" t="s">
        <v>2826</v>
      </c>
      <c r="C439" s="1969">
        <v>2644.1</v>
      </c>
      <c r="D439" s="1969">
        <v>1442.18</v>
      </c>
      <c r="E439" s="1969">
        <v>1201.92</v>
      </c>
      <c r="F439" s="1943"/>
    </row>
    <row r="440" spans="1:6" x14ac:dyDescent="0.25">
      <c r="A440" t="s">
        <v>2136</v>
      </c>
      <c r="B440" t="s">
        <v>2827</v>
      </c>
      <c r="C440" s="1969">
        <v>0</v>
      </c>
      <c r="D440" s="1969">
        <v>0</v>
      </c>
      <c r="E440" s="1969">
        <v>0</v>
      </c>
      <c r="F440" s="1943"/>
    </row>
    <row r="441" spans="1:6" x14ac:dyDescent="0.25">
      <c r="A441" t="s">
        <v>2135</v>
      </c>
      <c r="B441" t="s">
        <v>2828</v>
      </c>
      <c r="C441" s="1969">
        <v>523.86</v>
      </c>
      <c r="D441" s="1969">
        <v>349.24</v>
      </c>
      <c r="E441" s="1969">
        <v>174.62</v>
      </c>
      <c r="F441" s="1943"/>
    </row>
    <row r="442" spans="1:6" x14ac:dyDescent="0.25">
      <c r="A442" t="s">
        <v>2134</v>
      </c>
      <c r="B442" t="s">
        <v>2829</v>
      </c>
      <c r="C442" s="1969">
        <v>602.13</v>
      </c>
      <c r="D442" s="1969">
        <v>307.18</v>
      </c>
      <c r="E442" s="1969">
        <v>294.95</v>
      </c>
      <c r="F442" s="1943"/>
    </row>
    <row r="443" spans="1:6" x14ac:dyDescent="0.25">
      <c r="A443" t="s">
        <v>2133</v>
      </c>
      <c r="B443" t="s">
        <v>2830</v>
      </c>
      <c r="C443" s="1969">
        <v>395.31</v>
      </c>
      <c r="D443" s="1969">
        <v>202.92</v>
      </c>
      <c r="E443" s="1969">
        <v>192.39</v>
      </c>
      <c r="F443" s="1943"/>
    </row>
    <row r="444" spans="1:6" x14ac:dyDescent="0.25">
      <c r="A444" t="s">
        <v>2132</v>
      </c>
      <c r="B444" t="s">
        <v>2831</v>
      </c>
      <c r="C444" s="1969">
        <v>4864.0200000000004</v>
      </c>
      <c r="D444" s="1969">
        <v>2623.67</v>
      </c>
      <c r="E444" s="1969">
        <v>2240.35</v>
      </c>
      <c r="F444" s="1943"/>
    </row>
    <row r="445" spans="1:6" x14ac:dyDescent="0.25">
      <c r="A445" t="s">
        <v>2132</v>
      </c>
      <c r="B445" t="s">
        <v>2832</v>
      </c>
      <c r="C445" s="1969">
        <v>0</v>
      </c>
      <c r="D445" s="1969">
        <v>0</v>
      </c>
      <c r="E445" s="1969">
        <v>0</v>
      </c>
      <c r="F445" s="1943"/>
    </row>
    <row r="446" spans="1:6" x14ac:dyDescent="0.25">
      <c r="A446" t="s">
        <v>2132</v>
      </c>
      <c r="B446" t="s">
        <v>2833</v>
      </c>
      <c r="C446" s="1969">
        <v>0</v>
      </c>
      <c r="D446" s="1969">
        <v>0</v>
      </c>
      <c r="E446" s="1969">
        <v>0</v>
      </c>
      <c r="F446" s="1943"/>
    </row>
    <row r="447" spans="1:6" x14ac:dyDescent="0.25">
      <c r="A447" t="s">
        <v>2131</v>
      </c>
      <c r="B447" t="s">
        <v>2834</v>
      </c>
      <c r="C447" s="1969">
        <v>3520.97</v>
      </c>
      <c r="D447" s="1969">
        <v>1700.88</v>
      </c>
      <c r="E447" s="1969">
        <v>1820.09</v>
      </c>
      <c r="F447" s="1943"/>
    </row>
    <row r="448" spans="1:6" x14ac:dyDescent="0.25">
      <c r="A448" t="s">
        <v>2131</v>
      </c>
      <c r="B448" t="s">
        <v>2835</v>
      </c>
      <c r="C448" s="1969">
        <v>0</v>
      </c>
      <c r="D448" s="1969">
        <v>0</v>
      </c>
      <c r="E448" s="1969">
        <v>0</v>
      </c>
      <c r="F448" s="1943"/>
    </row>
    <row r="449" spans="1:6" x14ac:dyDescent="0.25">
      <c r="A449" t="s">
        <v>2131</v>
      </c>
      <c r="B449" t="s">
        <v>2836</v>
      </c>
      <c r="C449" s="1969">
        <v>0</v>
      </c>
      <c r="D449" s="1969">
        <v>0</v>
      </c>
      <c r="E449" s="1969">
        <v>0</v>
      </c>
      <c r="F449" s="1943"/>
    </row>
    <row r="450" spans="1:6" x14ac:dyDescent="0.25">
      <c r="A450" t="s">
        <v>2130</v>
      </c>
      <c r="B450" t="s">
        <v>2837</v>
      </c>
      <c r="C450" s="1969">
        <v>844.8</v>
      </c>
      <c r="D450" s="1969">
        <v>419.12</v>
      </c>
      <c r="E450" s="1969">
        <v>425.68</v>
      </c>
      <c r="F450" s="1943"/>
    </row>
    <row r="451" spans="1:6" x14ac:dyDescent="0.25">
      <c r="A451" t="s">
        <v>2130</v>
      </c>
      <c r="B451" t="s">
        <v>2838</v>
      </c>
      <c r="C451" s="1969">
        <v>0</v>
      </c>
      <c r="D451" s="1969">
        <v>0</v>
      </c>
      <c r="E451" s="1969">
        <v>0</v>
      </c>
      <c r="F451" s="1943"/>
    </row>
    <row r="452" spans="1:6" x14ac:dyDescent="0.25">
      <c r="A452" t="s">
        <v>2130</v>
      </c>
      <c r="B452" t="s">
        <v>2839</v>
      </c>
      <c r="C452" s="1969">
        <v>0</v>
      </c>
      <c r="D452" s="1969">
        <v>0</v>
      </c>
      <c r="E452" s="1969">
        <v>0</v>
      </c>
      <c r="F452" s="1943"/>
    </row>
    <row r="453" spans="1:6" x14ac:dyDescent="0.25">
      <c r="A453" t="s">
        <v>2929</v>
      </c>
      <c r="B453" t="s">
        <v>2840</v>
      </c>
      <c r="C453" s="1969">
        <v>0</v>
      </c>
      <c r="D453" s="1969">
        <v>0</v>
      </c>
      <c r="E453" s="1969">
        <v>0</v>
      </c>
      <c r="F453" s="1943"/>
    </row>
    <row r="454" spans="1:6" x14ac:dyDescent="0.25">
      <c r="A454" t="s">
        <v>2930</v>
      </c>
      <c r="B454" t="s">
        <v>2841</v>
      </c>
      <c r="C454" s="1969">
        <v>468.23</v>
      </c>
      <c r="D454" s="1969">
        <v>269.18</v>
      </c>
      <c r="E454" s="1969">
        <v>199.05</v>
      </c>
      <c r="F454" s="1943"/>
    </row>
    <row r="455" spans="1:6" x14ac:dyDescent="0.25">
      <c r="A455" t="s">
        <v>2930</v>
      </c>
      <c r="B455" t="s">
        <v>2842</v>
      </c>
      <c r="C455" s="1969">
        <v>2427.34</v>
      </c>
      <c r="D455" s="1969">
        <v>1306.1199999999999</v>
      </c>
      <c r="E455" s="1969">
        <v>1121.22</v>
      </c>
      <c r="F455" s="1943"/>
    </row>
    <row r="456" spans="1:6" x14ac:dyDescent="0.25">
      <c r="A456" t="s">
        <v>2931</v>
      </c>
      <c r="B456" t="s">
        <v>2843</v>
      </c>
      <c r="C456" s="1969">
        <v>452.53</v>
      </c>
      <c r="D456" s="1969">
        <v>291.64</v>
      </c>
      <c r="E456" s="1969">
        <v>160.88999999999999</v>
      </c>
      <c r="F456" s="1943"/>
    </row>
    <row r="457" spans="1:6" x14ac:dyDescent="0.25">
      <c r="A457" t="s">
        <v>2931</v>
      </c>
      <c r="B457" t="s">
        <v>2844</v>
      </c>
      <c r="C457" s="1969">
        <v>131.44</v>
      </c>
      <c r="D457" s="1969">
        <v>13.88</v>
      </c>
      <c r="E457" s="1969">
        <v>117.56</v>
      </c>
      <c r="F457" s="1943"/>
    </row>
    <row r="458" spans="1:6" x14ac:dyDescent="0.25">
      <c r="A458"/>
      <c r="B458" t="s">
        <v>2845</v>
      </c>
      <c r="C458" t="s">
        <v>2625</v>
      </c>
      <c r="D458" s="1969">
        <v>115721.97</v>
      </c>
      <c r="E458" s="1969">
        <v>60366.95</v>
      </c>
      <c r="F458" s="1943"/>
    </row>
    <row r="459" spans="1:6" x14ac:dyDescent="0.25">
      <c r="A459" s="1" t="s">
        <v>3064</v>
      </c>
      <c r="B459" t="s">
        <v>2846</v>
      </c>
      <c r="C459" s="1969">
        <v>17324.84</v>
      </c>
      <c r="D459" s="1969">
        <v>26737.51</v>
      </c>
      <c r="E459" s="1969">
        <f>9412.67-4456.94</f>
        <v>4955.7300000000005</v>
      </c>
      <c r="F459" s="1943"/>
    </row>
    <row r="460" spans="1:6" x14ac:dyDescent="0.25">
      <c r="A460" s="1" t="s">
        <v>2129</v>
      </c>
      <c r="B460" t="s">
        <v>2847</v>
      </c>
      <c r="C460" s="1969">
        <v>0</v>
      </c>
      <c r="D460" s="1969">
        <v>0</v>
      </c>
      <c r="E460" s="1969">
        <v>4456.9399999999996</v>
      </c>
      <c r="F460" s="1943"/>
    </row>
    <row r="461" spans="1:6" x14ac:dyDescent="0.25">
      <c r="A461" t="s">
        <v>2128</v>
      </c>
      <c r="B461" t="s">
        <v>2848</v>
      </c>
      <c r="C461" s="1969">
        <v>0</v>
      </c>
      <c r="D461" s="1969">
        <v>0</v>
      </c>
      <c r="E461" s="1969">
        <v>7856</v>
      </c>
      <c r="F461" s="1943"/>
    </row>
    <row r="462" spans="1:6" x14ac:dyDescent="0.25">
      <c r="A462" t="s">
        <v>2127</v>
      </c>
      <c r="B462" t="s">
        <v>2849</v>
      </c>
      <c r="C462" s="1969">
        <v>461.84</v>
      </c>
      <c r="D462" s="1969">
        <v>859.13</v>
      </c>
      <c r="E462" s="1969">
        <v>397.29</v>
      </c>
      <c r="F462" s="1943"/>
    </row>
    <row r="463" spans="1:6" x14ac:dyDescent="0.25">
      <c r="A463" s="1" t="s">
        <v>2127</v>
      </c>
      <c r="B463" t="s">
        <v>2761</v>
      </c>
      <c r="C463" s="1969">
        <v>0</v>
      </c>
      <c r="D463" s="1969">
        <v>118.11</v>
      </c>
      <c r="E463" s="1969">
        <v>118.11</v>
      </c>
      <c r="F463" s="1943"/>
    </row>
    <row r="464" spans="1:6" x14ac:dyDescent="0.25">
      <c r="A464"/>
      <c r="B464" t="s">
        <v>2845</v>
      </c>
      <c r="C464" t="s">
        <v>2658</v>
      </c>
      <c r="D464" s="1969">
        <v>17786.68</v>
      </c>
      <c r="E464" s="1969">
        <v>27714.75</v>
      </c>
      <c r="F464" s="1943"/>
    </row>
    <row r="465" spans="1:6" x14ac:dyDescent="0.25">
      <c r="A465" t="s">
        <v>2126</v>
      </c>
      <c r="B465" t="s">
        <v>2659</v>
      </c>
      <c r="C465" s="1969">
        <v>133508.65</v>
      </c>
      <c r="D465" s="1969">
        <v>88081.7</v>
      </c>
      <c r="E465" s="1969">
        <v>45426.95</v>
      </c>
      <c r="F465" s="1943"/>
    </row>
    <row r="466" spans="1:6" x14ac:dyDescent="0.25">
      <c r="A466" t="s">
        <v>2096</v>
      </c>
      <c r="B466" t="s">
        <v>2845</v>
      </c>
      <c r="C466" s="1969">
        <v>133508.65</v>
      </c>
      <c r="D466" s="1969">
        <v>88081.7</v>
      </c>
      <c r="E466" s="1969">
        <v>45426.95</v>
      </c>
      <c r="F466" s="1943"/>
    </row>
    <row r="467" spans="1:6" x14ac:dyDescent="0.25">
      <c r="A467" t="s">
        <v>2125</v>
      </c>
      <c r="B467" t="s">
        <v>2850</v>
      </c>
      <c r="C467" s="1969">
        <v>11259</v>
      </c>
      <c r="D467" s="1969">
        <v>7506</v>
      </c>
      <c r="E467" s="1969">
        <v>3753</v>
      </c>
      <c r="F467" s="1943"/>
    </row>
    <row r="468" spans="1:6" x14ac:dyDescent="0.25">
      <c r="A468" t="s">
        <v>2124</v>
      </c>
      <c r="B468" t="s">
        <v>2851</v>
      </c>
      <c r="C468" s="1969">
        <v>127189.65</v>
      </c>
      <c r="D468" s="1969">
        <v>84793.1</v>
      </c>
      <c r="E468" s="1969">
        <v>42396.49</v>
      </c>
      <c r="F468" s="1943"/>
    </row>
    <row r="469" spans="1:6" x14ac:dyDescent="0.25">
      <c r="A469"/>
      <c r="B469" t="s">
        <v>2852</v>
      </c>
      <c r="C469" t="s">
        <v>2625</v>
      </c>
      <c r="D469" s="1969">
        <v>138448.65</v>
      </c>
      <c r="E469" s="1969">
        <v>92299.1</v>
      </c>
      <c r="F469" s="1943"/>
    </row>
    <row r="470" spans="1:6" x14ac:dyDescent="0.25">
      <c r="A470" t="s">
        <v>2123</v>
      </c>
      <c r="B470" t="s">
        <v>2853</v>
      </c>
      <c r="C470" s="1969">
        <v>53564.38</v>
      </c>
      <c r="D470" s="1969">
        <v>107528.46</v>
      </c>
      <c r="E470" s="1969">
        <v>53964.08</v>
      </c>
      <c r="F470" s="1943"/>
    </row>
    <row r="471" spans="1:6" x14ac:dyDescent="0.25">
      <c r="A471"/>
      <c r="B471" t="s">
        <v>2852</v>
      </c>
      <c r="C471" t="s">
        <v>2658</v>
      </c>
      <c r="D471" s="1969">
        <v>53564.38</v>
      </c>
      <c r="E471" s="1969">
        <v>107528.46</v>
      </c>
      <c r="F471" s="1943"/>
    </row>
    <row r="472" spans="1:6" x14ac:dyDescent="0.25">
      <c r="A472" t="s">
        <v>2122</v>
      </c>
      <c r="B472" t="s">
        <v>2659</v>
      </c>
      <c r="C472" s="1969">
        <v>192013.03</v>
      </c>
      <c r="D472" s="1969">
        <v>199827.56</v>
      </c>
      <c r="E472" s="1969">
        <v>7814.53</v>
      </c>
      <c r="F472" s="1943"/>
    </row>
    <row r="473" spans="1:6" x14ac:dyDescent="0.25">
      <c r="A473" t="s">
        <v>2096</v>
      </c>
      <c r="B473" t="s">
        <v>2852</v>
      </c>
      <c r="C473" s="1969">
        <v>192013.03</v>
      </c>
      <c r="D473" s="1969">
        <v>199827.56</v>
      </c>
      <c r="E473" s="1969">
        <v>7814.53</v>
      </c>
      <c r="F473" s="1943"/>
    </row>
    <row r="474" spans="1:6" x14ac:dyDescent="0.25">
      <c r="A474" t="s">
        <v>2121</v>
      </c>
      <c r="B474" t="s">
        <v>2854</v>
      </c>
      <c r="C474" s="1969">
        <v>0</v>
      </c>
      <c r="D474" s="1969">
        <v>0</v>
      </c>
      <c r="E474" s="1969">
        <v>0</v>
      </c>
      <c r="F474" s="1943"/>
    </row>
    <row r="475" spans="1:6" x14ac:dyDescent="0.25">
      <c r="A475" t="s">
        <v>2120</v>
      </c>
      <c r="B475" t="s">
        <v>2855</v>
      </c>
      <c r="C475" s="1969">
        <v>0</v>
      </c>
      <c r="D475" s="1969">
        <v>0</v>
      </c>
      <c r="E475" s="1969">
        <v>0</v>
      </c>
      <c r="F475" s="1943"/>
    </row>
    <row r="476" spans="1:6" x14ac:dyDescent="0.25">
      <c r="A476" t="s">
        <v>2119</v>
      </c>
      <c r="B476" t="s">
        <v>2856</v>
      </c>
      <c r="C476" s="1969">
        <v>10348.02</v>
      </c>
      <c r="D476" s="1969">
        <v>21592.26</v>
      </c>
      <c r="E476" s="1969">
        <v>11244.24</v>
      </c>
      <c r="F476" s="1943"/>
    </row>
    <row r="477" spans="1:6" x14ac:dyDescent="0.25">
      <c r="A477" t="s">
        <v>2118</v>
      </c>
      <c r="B477" t="s">
        <v>2857</v>
      </c>
      <c r="C477" s="1969">
        <v>0</v>
      </c>
      <c r="D477" s="1969">
        <v>0</v>
      </c>
      <c r="E477" s="1969">
        <v>0</v>
      </c>
      <c r="F477" s="1943"/>
    </row>
    <row r="478" spans="1:6" x14ac:dyDescent="0.25">
      <c r="A478" t="s">
        <v>2117</v>
      </c>
      <c r="B478" t="s">
        <v>2858</v>
      </c>
      <c r="C478" s="1969">
        <v>0</v>
      </c>
      <c r="D478" s="1969">
        <v>0</v>
      </c>
      <c r="E478" s="1969">
        <v>0</v>
      </c>
      <c r="F478" s="1943"/>
    </row>
    <row r="479" spans="1:6" x14ac:dyDescent="0.25">
      <c r="A479" t="s">
        <v>2117</v>
      </c>
      <c r="B479" t="s">
        <v>2859</v>
      </c>
      <c r="C479" s="1969">
        <v>0</v>
      </c>
      <c r="D479" s="1969">
        <v>0</v>
      </c>
      <c r="E479" s="1969">
        <v>0</v>
      </c>
      <c r="F479" s="1943"/>
    </row>
    <row r="480" spans="1:6" x14ac:dyDescent="0.25">
      <c r="A480" t="s">
        <v>2116</v>
      </c>
      <c r="B480" t="s">
        <v>2860</v>
      </c>
      <c r="C480" s="1969">
        <v>0</v>
      </c>
      <c r="D480" s="1969">
        <v>0</v>
      </c>
      <c r="E480" s="1969">
        <v>0</v>
      </c>
      <c r="F480" s="1943"/>
    </row>
    <row r="481" spans="1:6" x14ac:dyDescent="0.25">
      <c r="A481" t="s">
        <v>2115</v>
      </c>
      <c r="B481" t="s">
        <v>2861</v>
      </c>
      <c r="C481" s="1969">
        <v>118.33</v>
      </c>
      <c r="D481" s="1969">
        <v>263.07</v>
      </c>
      <c r="E481" s="1969">
        <v>144.74</v>
      </c>
      <c r="F481" s="1943"/>
    </row>
    <row r="482" spans="1:6" x14ac:dyDescent="0.25">
      <c r="A482" s="1" t="s">
        <v>2115</v>
      </c>
      <c r="B482" t="s">
        <v>2761</v>
      </c>
      <c r="C482" s="1969">
        <v>0</v>
      </c>
      <c r="D482" s="1969">
        <v>106.28</v>
      </c>
      <c r="E482" s="1969">
        <v>106.28</v>
      </c>
      <c r="F482" s="1943"/>
    </row>
    <row r="483" spans="1:6" x14ac:dyDescent="0.25">
      <c r="A483"/>
      <c r="B483" t="s">
        <v>2862</v>
      </c>
      <c r="C483" t="s">
        <v>2658</v>
      </c>
      <c r="D483" s="1969">
        <v>10466.35</v>
      </c>
      <c r="E483" s="1969">
        <v>21961.61</v>
      </c>
      <c r="F483" s="1943"/>
    </row>
    <row r="484" spans="1:6" x14ac:dyDescent="0.25">
      <c r="A484" t="s">
        <v>2114</v>
      </c>
      <c r="B484" t="s">
        <v>2659</v>
      </c>
      <c r="C484" s="1969">
        <v>10466.35</v>
      </c>
      <c r="D484" s="1969">
        <v>21961.61</v>
      </c>
      <c r="E484" s="1969">
        <v>11495.26</v>
      </c>
      <c r="F484" s="1943"/>
    </row>
    <row r="485" spans="1:6" x14ac:dyDescent="0.25">
      <c r="A485" t="s">
        <v>2096</v>
      </c>
      <c r="B485" t="s">
        <v>2862</v>
      </c>
      <c r="C485" s="1969">
        <v>10466.35</v>
      </c>
      <c r="D485" s="1969">
        <v>21961.61</v>
      </c>
      <c r="E485" s="1969">
        <v>11495.26</v>
      </c>
    </row>
    <row r="486" spans="1:6" x14ac:dyDescent="0.25">
      <c r="A486" s="1" t="s">
        <v>2933</v>
      </c>
      <c r="B486" t="s">
        <v>2863</v>
      </c>
      <c r="C486" s="1969">
        <v>1648.36</v>
      </c>
      <c r="D486" s="1969">
        <v>824.18</v>
      </c>
      <c r="E486" s="1969">
        <v>824.18</v>
      </c>
      <c r="F486" s="1944"/>
    </row>
    <row r="487" spans="1:6" x14ac:dyDescent="0.25">
      <c r="A487" t="s">
        <v>2113</v>
      </c>
      <c r="B487" t="s">
        <v>2864</v>
      </c>
      <c r="C487" s="1969">
        <v>0</v>
      </c>
      <c r="D487" s="1969">
        <v>0</v>
      </c>
      <c r="E487" s="1969">
        <v>0</v>
      </c>
      <c r="F487" s="1943"/>
    </row>
    <row r="488" spans="1:6" x14ac:dyDescent="0.25">
      <c r="A488" t="s">
        <v>2112</v>
      </c>
      <c r="B488" t="s">
        <v>2865</v>
      </c>
      <c r="C488" s="1969">
        <v>50224</v>
      </c>
      <c r="D488" s="1969">
        <v>25112</v>
      </c>
      <c r="E488" s="1969">
        <v>25112</v>
      </c>
      <c r="F488" s="1944"/>
    </row>
    <row r="489" spans="1:6" x14ac:dyDescent="0.25">
      <c r="A489" t="s">
        <v>2111</v>
      </c>
      <c r="B489" t="s">
        <v>2866</v>
      </c>
      <c r="C489" s="1969">
        <v>0</v>
      </c>
      <c r="D489" s="1969">
        <v>0</v>
      </c>
      <c r="E489" s="1969">
        <v>0</v>
      </c>
      <c r="F489" s="1944"/>
    </row>
    <row r="490" spans="1:6" x14ac:dyDescent="0.25">
      <c r="A490" t="s">
        <v>2110</v>
      </c>
      <c r="B490" t="s">
        <v>2867</v>
      </c>
      <c r="C490" s="1969">
        <v>4124.92</v>
      </c>
      <c r="D490" s="1969">
        <v>2062.46</v>
      </c>
      <c r="E490" s="1969">
        <v>2062.46</v>
      </c>
      <c r="F490" s="1944"/>
    </row>
    <row r="491" spans="1:6" x14ac:dyDescent="0.25">
      <c r="A491" t="s">
        <v>2109</v>
      </c>
      <c r="B491" t="s">
        <v>2868</v>
      </c>
      <c r="C491" s="1969">
        <v>1666.68</v>
      </c>
      <c r="D491" s="1969">
        <v>833.34</v>
      </c>
      <c r="E491" s="1969">
        <v>833.34</v>
      </c>
      <c r="F491" s="1944"/>
    </row>
    <row r="492" spans="1:6" x14ac:dyDescent="0.25">
      <c r="A492" t="s">
        <v>2108</v>
      </c>
      <c r="B492" t="s">
        <v>2869</v>
      </c>
      <c r="C492" s="1969">
        <v>14.52</v>
      </c>
      <c r="D492" s="1969">
        <v>7.26</v>
      </c>
      <c r="E492" s="1969">
        <v>7.26</v>
      </c>
      <c r="F492" s="1943"/>
    </row>
    <row r="493" spans="1:6" x14ac:dyDescent="0.25">
      <c r="A493" t="s">
        <v>2107</v>
      </c>
      <c r="B493" t="s">
        <v>2870</v>
      </c>
      <c r="C493" s="1969">
        <v>51.48</v>
      </c>
      <c r="D493" s="1969">
        <v>25.74</v>
      </c>
      <c r="E493" s="1969">
        <v>25.74</v>
      </c>
      <c r="F493" s="1943"/>
    </row>
    <row r="494" spans="1:6" x14ac:dyDescent="0.25">
      <c r="A494" t="s">
        <v>2106</v>
      </c>
      <c r="B494" t="s">
        <v>2871</v>
      </c>
      <c r="C494" s="1969">
        <v>402.52</v>
      </c>
      <c r="D494" s="1969">
        <v>178.76</v>
      </c>
      <c r="E494" s="1969">
        <v>223.76</v>
      </c>
      <c r="F494" s="1943"/>
    </row>
    <row r="495" spans="1:6" x14ac:dyDescent="0.25">
      <c r="A495" t="s">
        <v>2105</v>
      </c>
      <c r="B495" t="s">
        <v>2872</v>
      </c>
      <c r="C495" s="1969">
        <v>7620</v>
      </c>
      <c r="D495" s="1969">
        <v>250</v>
      </c>
      <c r="E495" s="1969">
        <v>7370</v>
      </c>
      <c r="F495" s="1943"/>
    </row>
    <row r="496" spans="1:6" x14ac:dyDescent="0.25">
      <c r="A496" t="s">
        <v>2104</v>
      </c>
      <c r="B496" t="s">
        <v>2873</v>
      </c>
      <c r="C496" s="1969">
        <v>0</v>
      </c>
      <c r="D496" s="1969">
        <v>0</v>
      </c>
      <c r="E496" s="1969">
        <v>0</v>
      </c>
      <c r="F496" s="1943"/>
    </row>
    <row r="497" spans="1:6" x14ac:dyDescent="0.25">
      <c r="A497" t="s">
        <v>2103</v>
      </c>
      <c r="B497" t="s">
        <v>2874</v>
      </c>
      <c r="C497" s="1969">
        <v>0</v>
      </c>
      <c r="D497" s="1969">
        <v>0</v>
      </c>
      <c r="E497" s="1969">
        <v>0</v>
      </c>
      <c r="F497" s="1943"/>
    </row>
    <row r="498" spans="1:6" x14ac:dyDescent="0.25">
      <c r="A498" t="s">
        <v>2102</v>
      </c>
      <c r="B498" t="s">
        <v>2875</v>
      </c>
      <c r="C498" s="1969">
        <v>0</v>
      </c>
      <c r="D498" s="1969">
        <v>0</v>
      </c>
      <c r="E498" s="1969">
        <v>0</v>
      </c>
      <c r="F498" s="1943"/>
    </row>
    <row r="499" spans="1:6" x14ac:dyDescent="0.25">
      <c r="A499" t="s">
        <v>2101</v>
      </c>
      <c r="B499" t="s">
        <v>2876</v>
      </c>
      <c r="C499" s="1969">
        <v>0</v>
      </c>
      <c r="D499" s="1969">
        <v>0</v>
      </c>
      <c r="E499" s="1969">
        <v>0</v>
      </c>
      <c r="F499" s="1940"/>
    </row>
    <row r="500" spans="1:6" x14ac:dyDescent="0.25">
      <c r="A500" t="s">
        <v>2100</v>
      </c>
      <c r="B500" t="s">
        <v>2877</v>
      </c>
      <c r="C500" s="1969">
        <v>0</v>
      </c>
      <c r="D500" s="1969">
        <v>0</v>
      </c>
      <c r="E500" s="1969">
        <v>0</v>
      </c>
      <c r="F500" s="1940"/>
    </row>
    <row r="501" spans="1:6" x14ac:dyDescent="0.25">
      <c r="A501" s="1" t="s">
        <v>2932</v>
      </c>
      <c r="B501" t="s">
        <v>2878</v>
      </c>
      <c r="C501" s="1969">
        <v>1656</v>
      </c>
      <c r="D501" s="1969">
        <v>0</v>
      </c>
      <c r="E501" s="1969">
        <v>1656</v>
      </c>
      <c r="F501" s="1943"/>
    </row>
    <row r="502" spans="1:6" x14ac:dyDescent="0.25">
      <c r="A502"/>
      <c r="B502" t="s">
        <v>2879</v>
      </c>
      <c r="C502" t="s">
        <v>2625</v>
      </c>
      <c r="D502" s="1969">
        <v>67408.479999999996</v>
      </c>
      <c r="E502" s="1969">
        <v>29293.74</v>
      </c>
      <c r="F502" s="1939"/>
    </row>
    <row r="503" spans="1:6" x14ac:dyDescent="0.25">
      <c r="A503" t="s">
        <v>2099</v>
      </c>
      <c r="B503" t="s">
        <v>2880</v>
      </c>
      <c r="C503" s="1969">
        <v>10027.83</v>
      </c>
      <c r="D503" s="1969">
        <v>20924.16</v>
      </c>
      <c r="E503" s="1969">
        <v>10896.33</v>
      </c>
      <c r="F503" s="1939"/>
    </row>
    <row r="504" spans="1:6" x14ac:dyDescent="0.25">
      <c r="A504" t="s">
        <v>2098</v>
      </c>
      <c r="B504" t="s">
        <v>2881</v>
      </c>
      <c r="C504" s="1969">
        <v>0</v>
      </c>
      <c r="D504" s="1969">
        <v>16.149999999999999</v>
      </c>
      <c r="E504" s="1969">
        <v>16.149999999999999</v>
      </c>
      <c r="F504" s="1939"/>
    </row>
    <row r="505" spans="1:6" x14ac:dyDescent="0.25">
      <c r="A505" s="1" t="s">
        <v>2885</v>
      </c>
      <c r="B505" t="s">
        <v>2882</v>
      </c>
      <c r="C505" s="1969">
        <v>0</v>
      </c>
      <c r="D505" s="1969">
        <v>80998.649999999994</v>
      </c>
      <c r="E505" s="1969">
        <v>79093.820000000007</v>
      </c>
      <c r="F505" s="1939"/>
    </row>
    <row r="506" spans="1:6" x14ac:dyDescent="0.25">
      <c r="A506"/>
      <c r="B506" t="s">
        <v>2879</v>
      </c>
      <c r="C506" t="s">
        <v>2658</v>
      </c>
      <c r="D506" s="1969">
        <v>10027.83</v>
      </c>
      <c r="E506" s="1969">
        <v>101938.96</v>
      </c>
      <c r="F506" s="1939"/>
    </row>
    <row r="507" spans="1:6" x14ac:dyDescent="0.25">
      <c r="A507" t="s">
        <v>2097</v>
      </c>
      <c r="B507" t="s">
        <v>2659</v>
      </c>
      <c r="C507" s="1969">
        <v>77436.31</v>
      </c>
      <c r="D507" s="1969">
        <v>131232.70000000001</v>
      </c>
      <c r="E507" s="1969">
        <v>53796.39</v>
      </c>
      <c r="F507" s="1940"/>
    </row>
    <row r="508" spans="1:6" x14ac:dyDescent="0.25">
      <c r="A508" t="s">
        <v>2096</v>
      </c>
      <c r="B508" t="s">
        <v>2879</v>
      </c>
      <c r="C508" s="1969">
        <v>77436.31</v>
      </c>
      <c r="D508" s="1969">
        <v>131232.70000000001</v>
      </c>
      <c r="E508" s="1969">
        <v>53796.39</v>
      </c>
      <c r="F508" s="1939"/>
    </row>
    <row r="509" spans="1:6" x14ac:dyDescent="0.25">
      <c r="A509" t="s">
        <v>2298</v>
      </c>
      <c r="B509" s="1924"/>
      <c r="C509" s="1925"/>
      <c r="D509" s="1925"/>
      <c r="E509" s="1924"/>
      <c r="F509" s="1940"/>
    </row>
    <row r="510" spans="1:6" x14ac:dyDescent="0.25">
      <c r="A510"/>
      <c r="B510" t="s">
        <v>3003</v>
      </c>
      <c r="C510" s="1925"/>
      <c r="D510" s="1925"/>
      <c r="E510" s="1924"/>
      <c r="F510" s="1940"/>
    </row>
    <row r="511" spans="1:6" x14ac:dyDescent="0.25">
      <c r="A511" t="s">
        <v>2323</v>
      </c>
      <c r="B511" t="s">
        <v>3045</v>
      </c>
      <c r="C511" s="1925"/>
      <c r="D511" s="1925"/>
      <c r="E511" s="1924"/>
      <c r="F511" s="1969">
        <v>5000</v>
      </c>
    </row>
    <row r="512" spans="1:6" x14ac:dyDescent="0.25">
      <c r="A512" t="s">
        <v>3000</v>
      </c>
      <c r="B512" t="s">
        <v>3007</v>
      </c>
      <c r="C512" s="1925"/>
      <c r="D512" s="1925"/>
      <c r="E512" s="1924"/>
      <c r="F512" s="1969">
        <f>1929944.04-31094.71-14000-120936-7726.77+475.72</f>
        <v>1756662.28</v>
      </c>
    </row>
    <row r="513" spans="1:6" x14ac:dyDescent="0.25">
      <c r="A513" t="s">
        <v>2999</v>
      </c>
      <c r="B513" t="s">
        <v>3044</v>
      </c>
      <c r="C513" s="1925"/>
      <c r="D513" s="1925"/>
      <c r="E513" s="1924"/>
      <c r="F513" s="1969">
        <v>100</v>
      </c>
    </row>
    <row r="514" spans="1:6" x14ac:dyDescent="0.25">
      <c r="A514" t="s">
        <v>2320</v>
      </c>
      <c r="B514" t="s">
        <v>3043</v>
      </c>
      <c r="C514" s="1925"/>
      <c r="D514" s="1925"/>
      <c r="E514" s="1924"/>
      <c r="F514" s="1969">
        <v>100000</v>
      </c>
    </row>
    <row r="515" spans="1:6" x14ac:dyDescent="0.25">
      <c r="A515" t="s">
        <v>2998</v>
      </c>
      <c r="B515" t="s">
        <v>3042</v>
      </c>
      <c r="C515" s="1925"/>
      <c r="D515" s="1925"/>
      <c r="E515" s="1924"/>
      <c r="F515" s="1969">
        <v>370128.59</v>
      </c>
    </row>
    <row r="516" spans="1:6" x14ac:dyDescent="0.25">
      <c r="A516" t="s">
        <v>2982</v>
      </c>
      <c r="B516" s="1969">
        <v>2387514.79</v>
      </c>
      <c r="C516" s="1925"/>
      <c r="D516" s="1925"/>
      <c r="E516" s="1924"/>
      <c r="F516"/>
    </row>
    <row r="517" spans="1:6" x14ac:dyDescent="0.25">
      <c r="A517"/>
      <c r="B517" t="s">
        <v>3002</v>
      </c>
      <c r="C517" s="1925"/>
      <c r="D517" s="1925"/>
      <c r="E517" s="1924"/>
      <c r="F517"/>
    </row>
    <row r="518" spans="1:6" x14ac:dyDescent="0.25">
      <c r="A518" t="s">
        <v>2997</v>
      </c>
      <c r="B518" t="s">
        <v>3041</v>
      </c>
      <c r="C518" s="1925"/>
      <c r="D518" s="1925"/>
      <c r="E518" s="1924"/>
      <c r="F518" s="1969">
        <v>0</v>
      </c>
    </row>
    <row r="519" spans="1:6" x14ac:dyDescent="0.25">
      <c r="A519" t="s">
        <v>2996</v>
      </c>
      <c r="B519" t="s">
        <v>3040</v>
      </c>
      <c r="C519" s="1925"/>
      <c r="D519" s="1925"/>
      <c r="E519" s="1924"/>
      <c r="F519" s="1969">
        <v>0</v>
      </c>
    </row>
    <row r="520" spans="1:6" x14ac:dyDescent="0.25">
      <c r="A520" t="s">
        <v>2995</v>
      </c>
      <c r="B520" t="s">
        <v>3025</v>
      </c>
      <c r="C520" s="1925"/>
      <c r="D520" s="1925"/>
      <c r="E520" s="1925"/>
      <c r="F520" s="1969">
        <v>0</v>
      </c>
    </row>
    <row r="521" spans="1:6" x14ac:dyDescent="0.25">
      <c r="A521" t="s">
        <v>2994</v>
      </c>
      <c r="B521" t="s">
        <v>3024</v>
      </c>
      <c r="C521" s="1925"/>
      <c r="D521" s="1925"/>
      <c r="E521" s="1924"/>
      <c r="F521" s="1969">
        <v>0</v>
      </c>
    </row>
    <row r="522" spans="1:6" x14ac:dyDescent="0.25">
      <c r="A522" t="s">
        <v>2993</v>
      </c>
      <c r="B522" t="s">
        <v>3032</v>
      </c>
      <c r="C522" s="1925"/>
      <c r="D522" s="1925"/>
      <c r="E522" s="1925"/>
      <c r="F522" s="1969">
        <v>0</v>
      </c>
    </row>
    <row r="523" spans="1:6" x14ac:dyDescent="0.25">
      <c r="A523" t="s">
        <v>2992</v>
      </c>
      <c r="B523" t="s">
        <v>3023</v>
      </c>
      <c r="C523" s="1919"/>
      <c r="D523" s="1919"/>
      <c r="E523" s="1919"/>
      <c r="F523" s="1969">
        <v>0</v>
      </c>
    </row>
    <row r="524" spans="1:6" x14ac:dyDescent="0.25">
      <c r="A524" t="s">
        <v>2991</v>
      </c>
      <c r="B524" t="s">
        <v>3013</v>
      </c>
      <c r="C524" s="1925"/>
      <c r="D524" s="1925"/>
      <c r="E524" s="1924"/>
      <c r="F524" s="1969">
        <v>-0.51</v>
      </c>
    </row>
    <row r="525" spans="1:6" x14ac:dyDescent="0.25">
      <c r="A525" t="s">
        <v>2990</v>
      </c>
      <c r="B525" t="s">
        <v>3022</v>
      </c>
      <c r="C525" s="1919"/>
      <c r="D525" s="1918"/>
      <c r="E525" s="1919"/>
      <c r="F525" s="1969">
        <v>0</v>
      </c>
    </row>
    <row r="526" spans="1:6" x14ac:dyDescent="0.25">
      <c r="A526" t="s">
        <v>2989</v>
      </c>
      <c r="B526" t="s">
        <v>3039</v>
      </c>
      <c r="C526" s="1924"/>
      <c r="D526" s="1925"/>
      <c r="E526" s="1925"/>
      <c r="F526" s="1969">
        <v>0</v>
      </c>
    </row>
    <row r="527" spans="1:6" x14ac:dyDescent="0.25">
      <c r="A527" t="s">
        <v>2988</v>
      </c>
      <c r="B527" t="s">
        <v>3038</v>
      </c>
      <c r="C527" s="1925"/>
      <c r="D527" s="1925"/>
      <c r="E527" s="1924"/>
      <c r="F527" s="1969">
        <v>0</v>
      </c>
    </row>
    <row r="528" spans="1:6" x14ac:dyDescent="0.25">
      <c r="A528" t="s">
        <v>2987</v>
      </c>
      <c r="B528" t="s">
        <v>3030</v>
      </c>
      <c r="C528" s="1924"/>
      <c r="D528" s="1925"/>
      <c r="E528" s="1925"/>
      <c r="F528" s="1969">
        <v>0</v>
      </c>
    </row>
    <row r="529" spans="1:6" x14ac:dyDescent="0.25">
      <c r="A529" t="s">
        <v>2298</v>
      </c>
      <c r="B529"/>
      <c r="C529" s="1924"/>
      <c r="D529" s="1925"/>
      <c r="E529" s="1925"/>
      <c r="F529"/>
    </row>
    <row r="530" spans="1:6" x14ac:dyDescent="0.25">
      <c r="A530"/>
      <c r="B530" t="s">
        <v>3002</v>
      </c>
      <c r="C530" s="1924"/>
      <c r="D530" s="1925"/>
      <c r="E530" s="1925"/>
      <c r="F530"/>
    </row>
    <row r="531" spans="1:6" x14ac:dyDescent="0.25">
      <c r="A531" t="s">
        <v>2986</v>
      </c>
      <c r="B531" t="s">
        <v>3037</v>
      </c>
      <c r="C531" s="1924"/>
      <c r="D531" s="1924"/>
      <c r="E531" s="1924"/>
      <c r="F531" s="1969">
        <v>0</v>
      </c>
    </row>
    <row r="532" spans="1:6" x14ac:dyDescent="0.25">
      <c r="A532" t="s">
        <v>2985</v>
      </c>
      <c r="B532" t="s">
        <v>3036</v>
      </c>
      <c r="C532" s="1924"/>
      <c r="D532" s="1925"/>
      <c r="E532" s="1925"/>
      <c r="F532" s="1969">
        <v>350</v>
      </c>
    </row>
    <row r="533" spans="1:6" x14ac:dyDescent="0.25">
      <c r="A533" t="s">
        <v>2984</v>
      </c>
      <c r="B533"/>
      <c r="C533" s="1924"/>
      <c r="D533" s="1925"/>
      <c r="E533" s="1925"/>
      <c r="F533" s="1969">
        <v>0</v>
      </c>
    </row>
    <row r="534" spans="1:6" x14ac:dyDescent="0.25">
      <c r="A534" t="s">
        <v>2982</v>
      </c>
      <c r="B534" s="1969">
        <v>7887.79</v>
      </c>
      <c r="C534" s="1924"/>
      <c r="D534" s="1925"/>
      <c r="E534" s="1925"/>
      <c r="F534"/>
    </row>
    <row r="535" spans="1:6" x14ac:dyDescent="0.25">
      <c r="A535"/>
      <c r="B535" t="s">
        <v>3001</v>
      </c>
      <c r="C535" s="1924"/>
      <c r="D535" s="1925"/>
      <c r="E535" s="1925"/>
      <c r="F535"/>
    </row>
    <row r="536" spans="1:6" x14ac:dyDescent="0.25">
      <c r="A536" t="s">
        <v>2983</v>
      </c>
      <c r="B536" t="s">
        <v>3035</v>
      </c>
      <c r="C536" s="1919"/>
      <c r="D536" s="1918"/>
      <c r="E536" s="1919"/>
      <c r="F536" s="1969">
        <v>-2405522.13</v>
      </c>
    </row>
    <row r="537" spans="1:6" x14ac:dyDescent="0.25">
      <c r="A537" t="s">
        <v>2982</v>
      </c>
      <c r="B537" s="1969">
        <v>-2395402.58</v>
      </c>
      <c r="C537" s="1925"/>
      <c r="D537" s="1925"/>
      <c r="E537" s="1925"/>
      <c r="F537"/>
    </row>
    <row r="538" spans="1:6" x14ac:dyDescent="0.25">
      <c r="A538" t="s">
        <v>2936</v>
      </c>
      <c r="B538" s="1969">
        <v>0</v>
      </c>
      <c r="C538" s="1919"/>
      <c r="D538" s="1919"/>
      <c r="E538" s="1919"/>
      <c r="F538"/>
    </row>
    <row r="539" spans="1:6" x14ac:dyDescent="0.25">
      <c r="A539" t="s">
        <v>2200</v>
      </c>
      <c r="B539"/>
      <c r="C539" s="1925"/>
      <c r="D539" s="1925"/>
      <c r="E539" s="1925"/>
      <c r="F539"/>
    </row>
    <row r="540" spans="1:6" x14ac:dyDescent="0.25">
      <c r="A540"/>
      <c r="B540" t="s">
        <v>3003</v>
      </c>
      <c r="C540" s="1925"/>
      <c r="D540" s="1925"/>
      <c r="E540" s="1925"/>
      <c r="F540"/>
    </row>
    <row r="541" spans="1:6" x14ac:dyDescent="0.25">
      <c r="A541" t="s">
        <v>2981</v>
      </c>
      <c r="B541" t="s">
        <v>3007</v>
      </c>
      <c r="C541" s="1925"/>
      <c r="D541" s="1924"/>
      <c r="E541" s="1925"/>
      <c r="F541" s="1969">
        <f>612010.42-475.93</f>
        <v>611534.49</v>
      </c>
    </row>
    <row r="542" spans="1:6" x14ac:dyDescent="0.25">
      <c r="A542" t="s">
        <v>2972</v>
      </c>
      <c r="B542" s="1969">
        <v>534129.34</v>
      </c>
      <c r="C542" s="1925"/>
      <c r="D542" s="1924"/>
      <c r="E542" s="1925"/>
      <c r="F542"/>
    </row>
    <row r="543" spans="1:6" x14ac:dyDescent="0.25">
      <c r="A543"/>
      <c r="B543" t="s">
        <v>3002</v>
      </c>
      <c r="C543" s="1925"/>
      <c r="D543" s="1924"/>
      <c r="E543" s="1925"/>
      <c r="F543"/>
    </row>
    <row r="544" spans="1:6" x14ac:dyDescent="0.25">
      <c r="A544" t="s">
        <v>2980</v>
      </c>
      <c r="B544" t="s">
        <v>3034</v>
      </c>
      <c r="C544" s="1925"/>
      <c r="D544" s="1924"/>
      <c r="E544" s="1925"/>
      <c r="F544" s="1969">
        <v>0</v>
      </c>
    </row>
    <row r="545" spans="1:6" x14ac:dyDescent="0.25">
      <c r="A545" t="s">
        <v>2979</v>
      </c>
      <c r="B545" t="s">
        <v>3033</v>
      </c>
      <c r="C545" s="1925"/>
      <c r="D545" s="1924"/>
      <c r="E545" s="1925"/>
      <c r="F545" s="1969">
        <v>0</v>
      </c>
    </row>
    <row r="546" spans="1:6" x14ac:dyDescent="0.25">
      <c r="A546" t="s">
        <v>2978</v>
      </c>
      <c r="B546" t="s">
        <v>3032</v>
      </c>
      <c r="C546" s="1925"/>
      <c r="D546" s="1924"/>
      <c r="E546" s="1925"/>
      <c r="F546" s="1969">
        <v>0</v>
      </c>
    </row>
    <row r="547" spans="1:6" x14ac:dyDescent="0.25">
      <c r="A547" t="s">
        <v>2977</v>
      </c>
      <c r="B547" t="s">
        <v>3023</v>
      </c>
      <c r="C547" s="1925"/>
      <c r="D547" s="1924"/>
      <c r="E547" s="1925"/>
      <c r="F547" s="1969">
        <v>0</v>
      </c>
    </row>
    <row r="548" spans="1:6" x14ac:dyDescent="0.25">
      <c r="A548" t="s">
        <v>2976</v>
      </c>
      <c r="B548" t="s">
        <v>3013</v>
      </c>
      <c r="C548" s="1925"/>
      <c r="D548" s="1924"/>
      <c r="E548" s="1925"/>
      <c r="F548" s="1969">
        <v>0</v>
      </c>
    </row>
    <row r="549" spans="1:6" x14ac:dyDescent="0.25">
      <c r="A549" t="s">
        <v>2975</v>
      </c>
      <c r="B549" t="s">
        <v>3031</v>
      </c>
      <c r="C549" s="1925"/>
      <c r="D549" s="1924"/>
      <c r="E549" s="1925"/>
      <c r="F549" s="1969">
        <v>0</v>
      </c>
    </row>
    <row r="550" spans="1:6" x14ac:dyDescent="0.25">
      <c r="A550" t="s">
        <v>2200</v>
      </c>
      <c r="B550"/>
      <c r="C550" s="1925"/>
      <c r="D550" s="1924"/>
      <c r="E550" s="1925"/>
      <c r="F550"/>
    </row>
    <row r="551" spans="1:6" x14ac:dyDescent="0.25">
      <c r="A551"/>
      <c r="B551" t="s">
        <v>3002</v>
      </c>
      <c r="C551" s="1925"/>
      <c r="D551" s="1924"/>
      <c r="E551" s="1925"/>
      <c r="F551"/>
    </row>
    <row r="552" spans="1:6" x14ac:dyDescent="0.25">
      <c r="A552" t="s">
        <v>2974</v>
      </c>
      <c r="B552" t="s">
        <v>3030</v>
      </c>
      <c r="C552" s="1925"/>
      <c r="D552" s="1924"/>
      <c r="E552" s="1925"/>
      <c r="F552" s="1969">
        <v>0</v>
      </c>
    </row>
    <row r="553" spans="1:6" x14ac:dyDescent="0.25">
      <c r="A553" t="s">
        <v>2972</v>
      </c>
      <c r="B553" s="1969">
        <v>2082.66</v>
      </c>
      <c r="C553" s="1925"/>
      <c r="D553" s="1924"/>
      <c r="E553" s="1925"/>
      <c r="F553"/>
    </row>
    <row r="554" spans="1:6" x14ac:dyDescent="0.25">
      <c r="A554"/>
      <c r="B554" t="s">
        <v>3001</v>
      </c>
      <c r="C554" s="1925"/>
      <c r="D554" s="1925"/>
      <c r="E554" s="1925"/>
      <c r="F554"/>
    </row>
    <row r="555" spans="1:6" x14ac:dyDescent="0.25">
      <c r="A555" t="s">
        <v>2973</v>
      </c>
      <c r="B555" t="s">
        <v>3029</v>
      </c>
      <c r="C555" s="1925"/>
      <c r="D555" s="1924"/>
      <c r="E555" s="1925"/>
      <c r="F555" s="1969">
        <v>-510290.94</v>
      </c>
    </row>
    <row r="556" spans="1:6" x14ac:dyDescent="0.25">
      <c r="A556" t="s">
        <v>2972</v>
      </c>
      <c r="B556" s="1969">
        <v>-536212</v>
      </c>
      <c r="C556" s="1924"/>
      <c r="D556" s="1924"/>
      <c r="E556" s="1924"/>
      <c r="F556"/>
    </row>
    <row r="557" spans="1:6" x14ac:dyDescent="0.25">
      <c r="A557" t="s">
        <v>2936</v>
      </c>
      <c r="B557" s="1969">
        <v>0</v>
      </c>
      <c r="C557" s="1918"/>
      <c r="D557" s="1919"/>
      <c r="E557" s="1918"/>
      <c r="F557"/>
    </row>
    <row r="558" spans="1:6" x14ac:dyDescent="0.25">
      <c r="A558" t="s">
        <v>2171</v>
      </c>
      <c r="B558"/>
      <c r="C558" s="1925"/>
      <c r="D558" s="1925"/>
      <c r="E558" s="1925"/>
      <c r="F558"/>
    </row>
    <row r="559" spans="1:6" x14ac:dyDescent="0.25">
      <c r="A559"/>
      <c r="B559" t="s">
        <v>3003</v>
      </c>
      <c r="C559" s="1918"/>
      <c r="D559" s="1919"/>
      <c r="E559" s="1918"/>
      <c r="F559"/>
    </row>
    <row r="560" spans="1:6" x14ac:dyDescent="0.25">
      <c r="A560" t="s">
        <v>2971</v>
      </c>
      <c r="B560" t="s">
        <v>3007</v>
      </c>
      <c r="C560" s="1925"/>
      <c r="D560" s="1925"/>
      <c r="E560" s="1925"/>
      <c r="F560" s="1969">
        <v>329172.47999999998</v>
      </c>
    </row>
    <row r="561" spans="1:6" x14ac:dyDescent="0.25">
      <c r="A561" t="s">
        <v>2970</v>
      </c>
      <c r="B561" t="s">
        <v>3028</v>
      </c>
      <c r="C561" s="1918"/>
      <c r="D561" s="1919"/>
      <c r="E561" s="1918"/>
      <c r="F561" s="1969">
        <v>185738.84</v>
      </c>
    </row>
    <row r="562" spans="1:6" x14ac:dyDescent="0.25">
      <c r="A562" t="s">
        <v>2969</v>
      </c>
      <c r="B562" t="s">
        <v>3010</v>
      </c>
      <c r="C562" s="1918"/>
      <c r="D562" s="1918"/>
      <c r="E562" s="1918"/>
      <c r="F562" s="1969">
        <v>72000</v>
      </c>
    </row>
    <row r="563" spans="1:6" x14ac:dyDescent="0.25">
      <c r="A563" t="s">
        <v>2957</v>
      </c>
      <c r="B563" s="1969">
        <v>516058.47</v>
      </c>
      <c r="C563" s="1925"/>
      <c r="D563" s="1925"/>
      <c r="E563" s="1924"/>
      <c r="F563"/>
    </row>
    <row r="564" spans="1:6" x14ac:dyDescent="0.25">
      <c r="A564"/>
      <c r="B564" t="s">
        <v>3002</v>
      </c>
      <c r="C564" s="1925"/>
      <c r="D564" s="1925"/>
      <c r="E564" s="1925"/>
      <c r="F564"/>
    </row>
    <row r="565" spans="1:6" x14ac:dyDescent="0.25">
      <c r="A565" t="s">
        <v>2968</v>
      </c>
      <c r="B565" t="s">
        <v>3027</v>
      </c>
      <c r="C565" s="1919"/>
      <c r="D565" s="1918"/>
      <c r="E565" s="1919"/>
      <c r="F565" s="1969">
        <v>0</v>
      </c>
    </row>
    <row r="566" spans="1:6" x14ac:dyDescent="0.25">
      <c r="A566" t="s">
        <v>2967</v>
      </c>
      <c r="B566" t="s">
        <v>3026</v>
      </c>
      <c r="C566" s="1925"/>
      <c r="D566" s="1925"/>
      <c r="E566" s="1925"/>
      <c r="F566" s="1969">
        <v>0</v>
      </c>
    </row>
    <row r="567" spans="1:6" x14ac:dyDescent="0.25">
      <c r="A567" t="s">
        <v>2966</v>
      </c>
      <c r="B567" t="s">
        <v>3025</v>
      </c>
      <c r="C567" s="1925"/>
      <c r="D567" s="1925"/>
      <c r="E567" s="1925"/>
      <c r="F567" s="1969">
        <v>0</v>
      </c>
    </row>
    <row r="568" spans="1:6" x14ac:dyDescent="0.25">
      <c r="A568" t="s">
        <v>2965</v>
      </c>
      <c r="B568" t="s">
        <v>3024</v>
      </c>
      <c r="C568" s="1925"/>
      <c r="D568" s="1925"/>
      <c r="E568" s="1924"/>
      <c r="F568" s="1969">
        <v>0</v>
      </c>
    </row>
    <row r="569" spans="1:6" x14ac:dyDescent="0.25">
      <c r="A569" t="s">
        <v>2964</v>
      </c>
      <c r="B569" t="s">
        <v>3023</v>
      </c>
      <c r="C569" s="1925"/>
      <c r="D569" s="1925"/>
      <c r="E569" s="1925"/>
      <c r="F569" s="1969">
        <v>0</v>
      </c>
    </row>
    <row r="570" spans="1:6" x14ac:dyDescent="0.25">
      <c r="A570" t="s">
        <v>2963</v>
      </c>
      <c r="B570" t="s">
        <v>3013</v>
      </c>
      <c r="C570" s="1919"/>
      <c r="D570" s="1918"/>
      <c r="E570" s="1919"/>
      <c r="F570" s="1969">
        <v>0</v>
      </c>
    </row>
    <row r="571" spans="1:6" x14ac:dyDescent="0.25">
      <c r="A571" t="s">
        <v>2171</v>
      </c>
      <c r="B571"/>
      <c r="C571" s="1925"/>
      <c r="D571" s="1925"/>
      <c r="E571" s="1924"/>
      <c r="F571"/>
    </row>
    <row r="572" spans="1:6" x14ac:dyDescent="0.25">
      <c r="A572"/>
      <c r="B572" t="s">
        <v>3002</v>
      </c>
      <c r="C572" s="1919"/>
      <c r="D572" s="1918"/>
      <c r="E572" s="1919"/>
      <c r="F572"/>
    </row>
    <row r="573" spans="1:6" x14ac:dyDescent="0.25">
      <c r="A573" t="s">
        <v>2962</v>
      </c>
      <c r="B573" t="s">
        <v>3022</v>
      </c>
      <c r="C573" s="1924"/>
      <c r="D573" s="1925"/>
      <c r="E573" s="1925"/>
      <c r="F573" s="1969">
        <v>0</v>
      </c>
    </row>
    <row r="574" spans="1:6" x14ac:dyDescent="0.25">
      <c r="A574" t="s">
        <v>2961</v>
      </c>
      <c r="B574" t="s">
        <v>3021</v>
      </c>
      <c r="C574" s="1924"/>
      <c r="D574" s="1925"/>
      <c r="E574" s="1925"/>
      <c r="F574" s="1969">
        <v>0</v>
      </c>
    </row>
    <row r="575" spans="1:6" x14ac:dyDescent="0.25">
      <c r="A575" t="s">
        <v>2960</v>
      </c>
      <c r="B575" t="s">
        <v>3020</v>
      </c>
      <c r="C575" s="1924"/>
      <c r="D575" s="1925"/>
      <c r="E575" s="1925"/>
      <c r="F575" s="1969">
        <v>0</v>
      </c>
    </row>
    <row r="576" spans="1:6" x14ac:dyDescent="0.25">
      <c r="A576" t="s">
        <v>2959</v>
      </c>
      <c r="B576" t="s">
        <v>3019</v>
      </c>
      <c r="C576" s="1924"/>
      <c r="D576" s="1925"/>
      <c r="E576" s="1925"/>
      <c r="F576" s="1969">
        <v>0</v>
      </c>
    </row>
    <row r="577" spans="1:6" x14ac:dyDescent="0.25">
      <c r="A577" t="s">
        <v>2957</v>
      </c>
      <c r="B577" s="1969">
        <v>47.72</v>
      </c>
      <c r="C577" s="1924"/>
      <c r="D577" s="1925"/>
      <c r="E577" s="1939"/>
      <c r="F577"/>
    </row>
    <row r="578" spans="1:6" x14ac:dyDescent="0.25">
      <c r="A578"/>
      <c r="B578" t="s">
        <v>3001</v>
      </c>
      <c r="C578" s="1924"/>
      <c r="D578" s="1925"/>
      <c r="E578" s="1939"/>
      <c r="F578"/>
    </row>
    <row r="579" spans="1:6" s="1918" customFormat="1" ht="12.75" x14ac:dyDescent="0.2">
      <c r="A579" t="s">
        <v>2958</v>
      </c>
      <c r="B579" t="s">
        <v>3018</v>
      </c>
      <c r="C579" s="1919"/>
      <c r="D579" s="1919"/>
      <c r="E579" s="1944"/>
      <c r="F579" s="1969">
        <v>-520824.32000000001</v>
      </c>
    </row>
    <row r="580" spans="1:6" s="1918" customFormat="1" x14ac:dyDescent="0.25">
      <c r="A580" t="s">
        <v>2957</v>
      </c>
      <c r="B580" s="1969">
        <v>-516106.19</v>
      </c>
      <c r="C580" s="1924"/>
      <c r="D580" s="1925"/>
      <c r="E580" s="1939"/>
      <c r="F580"/>
    </row>
    <row r="581" spans="1:6" s="1918" customFormat="1" ht="12.75" x14ac:dyDescent="0.2">
      <c r="A581" t="s">
        <v>2936</v>
      </c>
      <c r="B581" s="1969">
        <v>0</v>
      </c>
      <c r="E581" s="1943"/>
      <c r="F581"/>
    </row>
    <row r="582" spans="1:6" s="1918" customFormat="1" x14ac:dyDescent="0.25">
      <c r="A582" t="s">
        <v>2126</v>
      </c>
      <c r="B582"/>
      <c r="C582" s="1925"/>
      <c r="D582" s="1924"/>
      <c r="E582" s="1939"/>
      <c r="F582"/>
    </row>
    <row r="583" spans="1:6" s="1918" customFormat="1" x14ac:dyDescent="0.25">
      <c r="A583"/>
      <c r="B583" t="s">
        <v>3003</v>
      </c>
      <c r="C583" s="1925"/>
      <c r="D583" s="1924"/>
      <c r="E583" s="1939"/>
      <c r="F583"/>
    </row>
    <row r="584" spans="1:6" s="1918" customFormat="1" x14ac:dyDescent="0.25">
      <c r="A584" t="s">
        <v>2956</v>
      </c>
      <c r="B584" t="s">
        <v>3007</v>
      </c>
      <c r="C584" s="1925"/>
      <c r="D584" s="1924"/>
      <c r="E584" s="1925"/>
      <c r="F584" s="1969">
        <f>-44986.44+7856</f>
        <v>-37130.44</v>
      </c>
    </row>
    <row r="585" spans="1:6" s="1918" customFormat="1" x14ac:dyDescent="0.25">
      <c r="A585" t="s">
        <v>2955</v>
      </c>
      <c r="B585" t="s">
        <v>3009</v>
      </c>
      <c r="C585" s="1925"/>
      <c r="D585" s="1924"/>
      <c r="E585" s="1925"/>
      <c r="F585" s="1969">
        <v>22774.87</v>
      </c>
    </row>
    <row r="586" spans="1:6" s="1918" customFormat="1" x14ac:dyDescent="0.25">
      <c r="A586" t="s">
        <v>2954</v>
      </c>
      <c r="B586" t="s">
        <v>3017</v>
      </c>
      <c r="C586" s="1925"/>
      <c r="D586" s="1925"/>
      <c r="E586" s="1925"/>
      <c r="F586" s="1969">
        <v>79332</v>
      </c>
    </row>
    <row r="587" spans="1:6" s="1918" customFormat="1" x14ac:dyDescent="0.25">
      <c r="A587" t="s">
        <v>2948</v>
      </c>
      <c r="B587" s="1969">
        <v>61524.99</v>
      </c>
      <c r="C587" s="1925"/>
      <c r="D587" s="1924"/>
      <c r="E587" s="1925"/>
      <c r="F587"/>
    </row>
    <row r="588" spans="1:6" s="1918" customFormat="1" x14ac:dyDescent="0.25">
      <c r="A588"/>
      <c r="B588" t="s">
        <v>3002</v>
      </c>
      <c r="C588" s="1925"/>
      <c r="D588" s="1924"/>
      <c r="E588" s="1925"/>
      <c r="F588"/>
    </row>
    <row r="589" spans="1:6" s="1918" customFormat="1" x14ac:dyDescent="0.25">
      <c r="A589" t="s">
        <v>2953</v>
      </c>
      <c r="B589" t="s">
        <v>3016</v>
      </c>
      <c r="C589" s="1925"/>
      <c r="D589" s="1924"/>
      <c r="E589" s="1925"/>
      <c r="F589" s="1969">
        <v>0</v>
      </c>
    </row>
    <row r="590" spans="1:6" s="1918" customFormat="1" x14ac:dyDescent="0.25">
      <c r="A590" t="s">
        <v>2952</v>
      </c>
      <c r="B590" t="s">
        <v>3015</v>
      </c>
      <c r="C590" s="1925"/>
      <c r="D590" s="1924"/>
      <c r="E590" s="1925"/>
      <c r="F590" s="1969">
        <v>0</v>
      </c>
    </row>
    <row r="591" spans="1:6" s="1918" customFormat="1" x14ac:dyDescent="0.25">
      <c r="A591" t="s">
        <v>2951</v>
      </c>
      <c r="B591" t="s">
        <v>3014</v>
      </c>
      <c r="C591" s="1925"/>
      <c r="D591" s="1924"/>
      <c r="E591" s="1925"/>
      <c r="F591" s="1969">
        <v>0</v>
      </c>
    </row>
    <row r="592" spans="1:6" s="1918" customFormat="1" x14ac:dyDescent="0.25">
      <c r="A592" t="s">
        <v>2126</v>
      </c>
      <c r="B592"/>
      <c r="C592" s="1925"/>
      <c r="D592" s="1924"/>
      <c r="E592" s="1925"/>
      <c r="F592"/>
    </row>
    <row r="593" spans="1:6" s="1918" customFormat="1" ht="12.75" x14ac:dyDescent="0.2">
      <c r="A593"/>
      <c r="B593" t="s">
        <v>3002</v>
      </c>
      <c r="C593" s="1919"/>
      <c r="D593" s="1919"/>
      <c r="F593"/>
    </row>
    <row r="594" spans="1:6" s="1918" customFormat="1" x14ac:dyDescent="0.25">
      <c r="A594" t="s">
        <v>2950</v>
      </c>
      <c r="B594" t="s">
        <v>3013</v>
      </c>
      <c r="C594" s="1925"/>
      <c r="D594" s="1925"/>
      <c r="E594" s="1925"/>
      <c r="F594" s="1969">
        <v>0</v>
      </c>
    </row>
    <row r="595" spans="1:6" s="1918" customFormat="1" ht="12.75" x14ac:dyDescent="0.2">
      <c r="A595" t="s">
        <v>2948</v>
      </c>
      <c r="B595" s="1969">
        <v>0</v>
      </c>
      <c r="C595" s="1919"/>
      <c r="D595" s="1919"/>
      <c r="F595"/>
    </row>
    <row r="596" spans="1:6" s="1918" customFormat="1" x14ac:dyDescent="0.25">
      <c r="A596"/>
      <c r="B596" t="s">
        <v>3001</v>
      </c>
      <c r="C596" s="1925"/>
      <c r="D596" s="1925"/>
      <c r="E596" s="1925"/>
      <c r="F596"/>
    </row>
    <row r="597" spans="1:6" s="1918" customFormat="1" ht="12.75" x14ac:dyDescent="0.2">
      <c r="A597" t="s">
        <v>2949</v>
      </c>
      <c r="B597" t="s">
        <v>3012</v>
      </c>
      <c r="C597" s="1919"/>
      <c r="D597" s="1919"/>
      <c r="F597" s="1969">
        <v>-57120.43</v>
      </c>
    </row>
    <row r="598" spans="1:6" s="1918" customFormat="1" ht="12.75" x14ac:dyDescent="0.2">
      <c r="A598" t="s">
        <v>2948</v>
      </c>
      <c r="B598" s="1969">
        <v>-61524.99</v>
      </c>
      <c r="D598" s="1919"/>
      <c r="F598"/>
    </row>
    <row r="599" spans="1:6" s="1918" customFormat="1" x14ac:dyDescent="0.25">
      <c r="A599" t="s">
        <v>2936</v>
      </c>
      <c r="B599" s="1969">
        <v>0</v>
      </c>
      <c r="C599" s="1925"/>
      <c r="D599" s="1925"/>
      <c r="E599" s="1924"/>
      <c r="F599"/>
    </row>
    <row r="600" spans="1:6" s="1918" customFormat="1" x14ac:dyDescent="0.25">
      <c r="A600" t="s">
        <v>2122</v>
      </c>
      <c r="B600"/>
      <c r="C600" s="1925"/>
      <c r="D600" s="1925"/>
      <c r="E600" s="1925"/>
      <c r="F600"/>
    </row>
    <row r="601" spans="1:6" s="1918" customFormat="1" ht="12.75" x14ac:dyDescent="0.2">
      <c r="A601"/>
      <c r="B601" t="s">
        <v>3003</v>
      </c>
      <c r="C601" s="1919"/>
      <c r="D601" s="1919"/>
      <c r="F601"/>
    </row>
    <row r="602" spans="1:6" s="1918" customFormat="1" x14ac:dyDescent="0.25">
      <c r="A602" t="s">
        <v>2947</v>
      </c>
      <c r="B602" t="s">
        <v>3007</v>
      </c>
      <c r="C602" s="1925"/>
      <c r="D602" s="1925"/>
      <c r="E602" s="1925"/>
      <c r="F602" s="1969">
        <v>148454.84</v>
      </c>
    </row>
    <row r="603" spans="1:6" s="1918" customFormat="1" x14ac:dyDescent="0.25">
      <c r="A603" t="s">
        <v>2945</v>
      </c>
      <c r="B603" s="1969">
        <v>144671.22</v>
      </c>
      <c r="C603" s="1925"/>
      <c r="D603" s="1925"/>
      <c r="E603" s="1924"/>
      <c r="F603"/>
    </row>
    <row r="604" spans="1:6" s="1918" customFormat="1" x14ac:dyDescent="0.25">
      <c r="A604"/>
      <c r="B604" t="s">
        <v>3001</v>
      </c>
      <c r="C604" s="1925"/>
      <c r="D604" s="1925"/>
      <c r="E604" s="1925"/>
      <c r="F604"/>
    </row>
    <row r="605" spans="1:6" s="1918" customFormat="1" x14ac:dyDescent="0.25">
      <c r="A605" t="s">
        <v>2946</v>
      </c>
      <c r="B605" t="s">
        <v>3011</v>
      </c>
      <c r="C605" s="1924"/>
      <c r="D605" s="1924"/>
      <c r="E605" s="1924"/>
      <c r="F605" s="1969">
        <v>-148454.84</v>
      </c>
    </row>
    <row r="606" spans="1:6" s="1918" customFormat="1" x14ac:dyDescent="0.25">
      <c r="A606" t="s">
        <v>2945</v>
      </c>
      <c r="B606" s="1969">
        <v>-144671.22</v>
      </c>
      <c r="C606" s="1925"/>
      <c r="D606" s="1925"/>
      <c r="E606" s="1924"/>
      <c r="F606"/>
    </row>
    <row r="607" spans="1:6" s="1918" customFormat="1" x14ac:dyDescent="0.25">
      <c r="A607" t="s">
        <v>2936</v>
      </c>
      <c r="B607" s="1969">
        <v>0</v>
      </c>
      <c r="C607" s="1925"/>
      <c r="D607" s="1925"/>
      <c r="E607" s="1924"/>
      <c r="F607"/>
    </row>
    <row r="608" spans="1:6" s="1918" customFormat="1" x14ac:dyDescent="0.25">
      <c r="A608" t="s">
        <v>2114</v>
      </c>
      <c r="B608"/>
      <c r="C608" s="1925"/>
      <c r="D608" s="1925"/>
      <c r="E608" s="1924"/>
      <c r="F608"/>
    </row>
    <row r="609" spans="1:6" s="1918" customFormat="1" x14ac:dyDescent="0.25">
      <c r="A609"/>
      <c r="B609" t="s">
        <v>3003</v>
      </c>
      <c r="C609" s="1925"/>
      <c r="D609" s="1925"/>
      <c r="E609" s="1924"/>
      <c r="F609"/>
    </row>
    <row r="610" spans="1:6" s="1918" customFormat="1" x14ac:dyDescent="0.25">
      <c r="A610" t="s">
        <v>2944</v>
      </c>
      <c r="B610"/>
      <c r="C610" s="1925"/>
      <c r="D610" s="1925"/>
      <c r="E610" s="1925"/>
      <c r="F610" s="1969">
        <v>100051.04</v>
      </c>
    </row>
    <row r="611" spans="1:6" s="1918" customFormat="1" ht="12.75" x14ac:dyDescent="0.2">
      <c r="A611" t="s">
        <v>2943</v>
      </c>
      <c r="B611" t="s">
        <v>3010</v>
      </c>
      <c r="C611" s="1919"/>
      <c r="E611" s="1919"/>
      <c r="F611" s="1969">
        <v>17996</v>
      </c>
    </row>
    <row r="612" spans="1:6" s="1918" customFormat="1" x14ac:dyDescent="0.25">
      <c r="A612" t="s">
        <v>2116</v>
      </c>
      <c r="B612" t="s">
        <v>3009</v>
      </c>
      <c r="C612" s="1925"/>
      <c r="D612" s="1925"/>
      <c r="E612" s="1924"/>
      <c r="F612" s="1969">
        <v>23269.69</v>
      </c>
    </row>
    <row r="613" spans="1:6" s="1918" customFormat="1" ht="12.75" x14ac:dyDescent="0.2">
      <c r="A613" t="s">
        <v>2941</v>
      </c>
      <c r="B613" s="1969">
        <v>141281.41</v>
      </c>
      <c r="C613" s="1919"/>
      <c r="E613" s="1919"/>
      <c r="F613"/>
    </row>
    <row r="614" spans="1:6" s="1918" customFormat="1" x14ac:dyDescent="0.25">
      <c r="A614" t="s">
        <v>2114</v>
      </c>
      <c r="B614"/>
      <c r="C614" s="1925"/>
      <c r="D614" s="1925"/>
      <c r="E614" s="1925"/>
      <c r="F614"/>
    </row>
    <row r="615" spans="1:6" s="1918" customFormat="1" x14ac:dyDescent="0.25">
      <c r="A615"/>
      <c r="B615" t="s">
        <v>3001</v>
      </c>
      <c r="C615" s="1924"/>
      <c r="D615" s="1925"/>
      <c r="E615" s="1925"/>
      <c r="F615"/>
    </row>
    <row r="616" spans="1:6" s="1918" customFormat="1" x14ac:dyDescent="0.25">
      <c r="A616" t="s">
        <v>2942</v>
      </c>
      <c r="B616" t="s">
        <v>3008</v>
      </c>
      <c r="C616" s="1925"/>
      <c r="D616" s="1925"/>
      <c r="E616" s="1925"/>
      <c r="F616" s="1969">
        <v>-141316.73000000001</v>
      </c>
    </row>
    <row r="617" spans="1:6" s="1918" customFormat="1" x14ac:dyDescent="0.25">
      <c r="A617" t="s">
        <v>2941</v>
      </c>
      <c r="B617" s="1969">
        <v>-141281.41</v>
      </c>
      <c r="C617" s="1924"/>
      <c r="D617" s="1925"/>
      <c r="E617" s="1925"/>
      <c r="F617"/>
    </row>
    <row r="618" spans="1:6" s="1918" customFormat="1" ht="12.75" x14ac:dyDescent="0.2">
      <c r="A618" t="s">
        <v>2936</v>
      </c>
      <c r="B618" s="1969">
        <v>0</v>
      </c>
      <c r="C618" s="1919"/>
      <c r="D618" s="1919"/>
      <c r="E618" s="1919"/>
      <c r="F618"/>
    </row>
    <row r="619" spans="1:6" s="1918" customFormat="1" x14ac:dyDescent="0.25">
      <c r="A619" t="s">
        <v>2097</v>
      </c>
      <c r="B619"/>
      <c r="C619" s="1925"/>
      <c r="D619" s="1925"/>
      <c r="E619" s="1925"/>
      <c r="F619"/>
    </row>
    <row r="620" spans="1:6" s="1918" customFormat="1" ht="12.75" x14ac:dyDescent="0.2">
      <c r="A620"/>
      <c r="B620" t="s">
        <v>3003</v>
      </c>
      <c r="C620" s="1919"/>
      <c r="D620" s="1919"/>
      <c r="F620"/>
    </row>
    <row r="621" spans="1:6" s="1918" customFormat="1" x14ac:dyDescent="0.25">
      <c r="A621" t="s">
        <v>2099</v>
      </c>
      <c r="B621" t="s">
        <v>3007</v>
      </c>
      <c r="C621" s="1924"/>
      <c r="D621" s="1924"/>
      <c r="E621" s="1924"/>
      <c r="F621" s="1969">
        <v>102465.95</v>
      </c>
    </row>
    <row r="622" spans="1:6" s="1918" customFormat="1" x14ac:dyDescent="0.25">
      <c r="A622" t="s">
        <v>2940</v>
      </c>
      <c r="B622" t="s">
        <v>3006</v>
      </c>
      <c r="C622" s="1925"/>
      <c r="D622" s="1924"/>
      <c r="E622" s="1925"/>
      <c r="F622" s="1969">
        <f>4559.86-2531.66</f>
        <v>2028.1999999999998</v>
      </c>
    </row>
    <row r="623" spans="1:6" s="1918" customFormat="1" x14ac:dyDescent="0.25">
      <c r="A623" t="s">
        <v>2937</v>
      </c>
      <c r="B623" s="1969">
        <v>110847.31</v>
      </c>
      <c r="C623" s="1925"/>
      <c r="D623" s="1924"/>
      <c r="E623" s="1925"/>
      <c r="F623"/>
    </row>
    <row r="624" spans="1:6" s="1918" customFormat="1" x14ac:dyDescent="0.25">
      <c r="A624"/>
      <c r="B624" t="s">
        <v>3002</v>
      </c>
      <c r="C624" s="1925"/>
      <c r="D624" s="1924"/>
      <c r="E624" s="1925"/>
      <c r="F624"/>
    </row>
    <row r="625" spans="1:6" x14ac:dyDescent="0.25">
      <c r="A625" t="s">
        <v>2939</v>
      </c>
      <c r="B625" t="s">
        <v>3005</v>
      </c>
      <c r="C625" s="1924"/>
      <c r="D625" s="1924"/>
      <c r="E625" s="1924"/>
      <c r="F625" s="1969">
        <v>0</v>
      </c>
    </row>
    <row r="626" spans="1:6" x14ac:dyDescent="0.25">
      <c r="A626" t="s">
        <v>2937</v>
      </c>
      <c r="B626" s="1969">
        <v>0</v>
      </c>
      <c r="C626" s="1924"/>
      <c r="D626" s="1924"/>
      <c r="E626" s="1924"/>
      <c r="F626"/>
    </row>
    <row r="627" spans="1:6" x14ac:dyDescent="0.25">
      <c r="A627"/>
      <c r="B627" t="s">
        <v>3001</v>
      </c>
      <c r="C627" s="1924"/>
      <c r="D627" s="1924"/>
      <c r="E627" s="1924"/>
      <c r="F627"/>
    </row>
    <row r="628" spans="1:6" x14ac:dyDescent="0.25">
      <c r="A628" t="s">
        <v>2938</v>
      </c>
      <c r="B628" t="s">
        <v>3004</v>
      </c>
      <c r="C628" s="1924"/>
      <c r="D628" s="1924"/>
      <c r="E628" s="1924"/>
      <c r="F628" s="1969">
        <v>-108930.81</v>
      </c>
    </row>
    <row r="629" spans="1:6" x14ac:dyDescent="0.25">
      <c r="A629" t="s">
        <v>2937</v>
      </c>
      <c r="B629" s="1969">
        <v>-110847.31</v>
      </c>
      <c r="C629" s="1925"/>
      <c r="D629" s="1924"/>
      <c r="E629" s="1925"/>
      <c r="F629"/>
    </row>
    <row r="630" spans="1:6" x14ac:dyDescent="0.25">
      <c r="A630" t="s">
        <v>2936</v>
      </c>
      <c r="B630" s="1969">
        <v>0</v>
      </c>
      <c r="C630" s="1924"/>
      <c r="D630" s="1924"/>
      <c r="E630" s="1924"/>
      <c r="F630"/>
    </row>
    <row r="631" spans="1:6" x14ac:dyDescent="0.25">
      <c r="A631" t="s">
        <v>2935</v>
      </c>
      <c r="B631" t="s">
        <v>3003</v>
      </c>
      <c r="C631" s="1925"/>
      <c r="D631" s="1924"/>
      <c r="E631" s="1925"/>
      <c r="F631" s="1969">
        <v>3892110.7</v>
      </c>
    </row>
    <row r="632" spans="1:6" x14ac:dyDescent="0.25">
      <c r="A632" t="s">
        <v>2935</v>
      </c>
      <c r="B632" t="s">
        <v>3002</v>
      </c>
      <c r="C632" s="1925"/>
      <c r="D632" s="1924"/>
      <c r="E632" s="1925"/>
      <c r="F632" s="1969">
        <v>349.5</v>
      </c>
    </row>
    <row r="633" spans="1:6" x14ac:dyDescent="0.25">
      <c r="A633" t="s">
        <v>2935</v>
      </c>
      <c r="B633" t="s">
        <v>3001</v>
      </c>
      <c r="C633" s="1924"/>
      <c r="D633" s="1924"/>
      <c r="E633" s="1924"/>
      <c r="F633" s="1969">
        <v>-3892460.2</v>
      </c>
    </row>
    <row r="634" spans="1:6" x14ac:dyDescent="0.25">
      <c r="A634" t="s">
        <v>2934</v>
      </c>
      <c r="B634" s="1969">
        <v>0</v>
      </c>
      <c r="C634" s="1925"/>
      <c r="D634" s="1924"/>
      <c r="E634" s="1925"/>
      <c r="F634"/>
    </row>
    <row r="635" spans="1:6" x14ac:dyDescent="0.25">
      <c r="A635" s="1924"/>
      <c r="B635" s="1924"/>
      <c r="C635" s="1924"/>
      <c r="D635" s="1924"/>
      <c r="E635" s="1924"/>
      <c r="F635"/>
    </row>
    <row r="636" spans="1:6" x14ac:dyDescent="0.25">
      <c r="A636" s="1924"/>
      <c r="B636" s="1924"/>
      <c r="C636" s="1925"/>
      <c r="D636" s="1924"/>
      <c r="E636" s="1925"/>
      <c r="F636" s="1943"/>
    </row>
    <row r="637" spans="1:6" x14ac:dyDescent="0.25">
      <c r="A637" s="1924"/>
      <c r="B637" s="1924"/>
      <c r="C637" s="1925"/>
      <c r="D637" s="1924"/>
      <c r="E637" s="1925"/>
      <c r="F637" s="1943"/>
    </row>
    <row r="638" spans="1:6" x14ac:dyDescent="0.25">
      <c r="A638" s="1924"/>
      <c r="B638" s="1924"/>
      <c r="C638" s="1925"/>
      <c r="D638" s="1924"/>
      <c r="E638" s="1925"/>
      <c r="F638" s="1943"/>
    </row>
    <row r="639" spans="1:6" x14ac:dyDescent="0.25">
      <c r="A639" s="1924"/>
      <c r="B639" s="1924"/>
      <c r="C639" s="1925"/>
      <c r="D639" s="1924"/>
      <c r="E639" s="1925"/>
      <c r="F639" s="1943"/>
    </row>
    <row r="640" spans="1:6" x14ac:dyDescent="0.25">
      <c r="A640" s="1924"/>
      <c r="B640" s="1924"/>
      <c r="C640" s="1925"/>
      <c r="D640" s="1924"/>
      <c r="E640" s="1925"/>
      <c r="F640" s="1943"/>
    </row>
    <row r="641" spans="1:6" x14ac:dyDescent="0.25">
      <c r="A641" s="1924"/>
      <c r="B641" s="1924"/>
      <c r="C641" s="1925"/>
      <c r="D641" s="1924"/>
      <c r="E641" s="1925"/>
      <c r="F641" s="1943"/>
    </row>
    <row r="642" spans="1:6" x14ac:dyDescent="0.25">
      <c r="A642" s="1924"/>
      <c r="B642" s="1924"/>
      <c r="C642" s="1924"/>
      <c r="D642" s="1924"/>
      <c r="E642" s="1924"/>
      <c r="F642" s="1943"/>
    </row>
    <row r="643" spans="1:6" x14ac:dyDescent="0.25">
      <c r="A643" s="1924"/>
      <c r="B643" s="1924"/>
      <c r="C643" s="1924"/>
      <c r="D643" s="1924"/>
      <c r="E643" s="1924"/>
      <c r="F643" s="1943"/>
    </row>
    <row r="644" spans="1:6" x14ac:dyDescent="0.25">
      <c r="A644" s="1924"/>
      <c r="B644" s="1924"/>
      <c r="C644" s="1925"/>
      <c r="D644" s="1924"/>
      <c r="E644" s="1925"/>
      <c r="F644" s="1943"/>
    </row>
    <row r="645" spans="1:6" x14ac:dyDescent="0.25">
      <c r="A645" s="1924"/>
      <c r="B645" s="1924"/>
      <c r="C645" s="1925"/>
      <c r="D645" s="1924"/>
      <c r="E645" s="1925"/>
      <c r="F645" s="1943"/>
    </row>
    <row r="646" spans="1:6" x14ac:dyDescent="0.25">
      <c r="A646" s="1924"/>
      <c r="B646" s="1924"/>
      <c r="C646" s="1925"/>
      <c r="D646" s="1924"/>
      <c r="E646" s="1925"/>
      <c r="F646" s="1943"/>
    </row>
    <row r="647" spans="1:6" x14ac:dyDescent="0.25">
      <c r="A647" s="1924"/>
      <c r="B647" s="1924"/>
      <c r="C647" s="1925"/>
      <c r="D647" s="1924"/>
      <c r="E647" s="1925"/>
      <c r="F647" s="1943"/>
    </row>
    <row r="648" spans="1:6" x14ac:dyDescent="0.25">
      <c r="A648" s="1924"/>
      <c r="B648" s="1924"/>
      <c r="C648" s="1925"/>
      <c r="D648" s="1924"/>
      <c r="E648" s="1925"/>
      <c r="F648" s="1943"/>
    </row>
    <row r="649" spans="1:6" x14ac:dyDescent="0.25">
      <c r="A649" s="1924"/>
      <c r="B649" s="1924"/>
      <c r="C649" s="1925"/>
      <c r="D649" s="1924"/>
      <c r="E649" s="1925"/>
      <c r="F649" s="1943"/>
    </row>
    <row r="650" spans="1:6" x14ac:dyDescent="0.25">
      <c r="A650" s="1924"/>
      <c r="B650" s="1924"/>
      <c r="C650" s="1925"/>
      <c r="D650" s="1924"/>
      <c r="E650" s="1925"/>
      <c r="F650" s="1943"/>
    </row>
    <row r="651" spans="1:6" x14ac:dyDescent="0.25">
      <c r="A651" s="1924"/>
      <c r="B651" s="1924"/>
      <c r="C651" s="1925"/>
      <c r="D651" s="1924"/>
      <c r="E651" s="1925"/>
      <c r="F651" s="1943"/>
    </row>
    <row r="652" spans="1:6" x14ac:dyDescent="0.25">
      <c r="A652" s="1924"/>
      <c r="B652" s="1924"/>
      <c r="C652" s="1924"/>
      <c r="D652" s="1924"/>
      <c r="E652" s="1924"/>
      <c r="F652" s="1943"/>
    </row>
    <row r="653" spans="1:6" x14ac:dyDescent="0.25">
      <c r="A653" s="1924"/>
      <c r="B653" s="1924"/>
      <c r="C653" s="1924"/>
      <c r="D653" s="1924"/>
      <c r="E653" s="1924"/>
      <c r="F653" s="1943"/>
    </row>
    <row r="654" spans="1:6" x14ac:dyDescent="0.25">
      <c r="A654" s="1924"/>
      <c r="B654" s="1924"/>
      <c r="C654" s="1925"/>
      <c r="D654" s="1924"/>
      <c r="E654" s="1925"/>
      <c r="F654" s="1943"/>
    </row>
    <row r="655" spans="1:6" x14ac:dyDescent="0.25">
      <c r="A655" s="1924"/>
      <c r="B655" s="1924"/>
      <c r="C655" s="1924"/>
      <c r="D655" s="1924"/>
      <c r="E655" s="1924"/>
      <c r="F655" s="1943"/>
    </row>
    <row r="656" spans="1:6" x14ac:dyDescent="0.25">
      <c r="A656" s="1924"/>
      <c r="B656" s="1924"/>
      <c r="C656" s="1925"/>
      <c r="D656" s="1924"/>
      <c r="E656" s="1925"/>
      <c r="F656" s="1943"/>
    </row>
    <row r="657" spans="1:6" x14ac:dyDescent="0.25">
      <c r="A657" s="1924"/>
      <c r="B657" s="1924"/>
      <c r="C657" s="1924"/>
      <c r="D657" s="1924"/>
      <c r="E657" s="1924"/>
      <c r="F657" s="1943"/>
    </row>
    <row r="658" spans="1:6" x14ac:dyDescent="0.25">
      <c r="A658" s="1924"/>
      <c r="B658" s="1924"/>
      <c r="C658" s="1925"/>
      <c r="D658" s="1924"/>
      <c r="E658" s="1925"/>
      <c r="F658" s="1943"/>
    </row>
    <row r="659" spans="1:6" x14ac:dyDescent="0.25">
      <c r="A659" s="1924"/>
      <c r="B659" s="1924"/>
      <c r="C659" s="1924"/>
      <c r="D659" s="1924"/>
      <c r="E659" s="1924"/>
      <c r="F659" s="1943"/>
    </row>
    <row r="660" spans="1:6" x14ac:dyDescent="0.25">
      <c r="A660" s="1924"/>
      <c r="B660" s="1924"/>
      <c r="C660" s="1925"/>
      <c r="D660" s="1924"/>
      <c r="E660" s="1925"/>
      <c r="F660" s="1943"/>
    </row>
    <row r="661" spans="1:6" x14ac:dyDescent="0.25">
      <c r="A661" s="1924"/>
      <c r="B661" s="1924"/>
      <c r="C661" s="1925"/>
      <c r="D661" s="1924"/>
      <c r="E661" s="1925"/>
      <c r="F661" s="1943"/>
    </row>
    <row r="662" spans="1:6" x14ac:dyDescent="0.25">
      <c r="A662" s="1924"/>
      <c r="B662" s="1924"/>
      <c r="C662" s="1924"/>
      <c r="D662" s="1924"/>
      <c r="E662" s="1924"/>
      <c r="F662" s="1943"/>
    </row>
    <row r="663" spans="1:6" x14ac:dyDescent="0.25">
      <c r="A663" s="1924"/>
      <c r="B663" s="1924"/>
      <c r="C663" s="1924"/>
      <c r="D663" s="1924"/>
      <c r="E663" s="1924"/>
      <c r="F663" s="1943"/>
    </row>
    <row r="664" spans="1:6" x14ac:dyDescent="0.25">
      <c r="A664" s="1924"/>
      <c r="B664" s="1924"/>
      <c r="C664" s="1925"/>
      <c r="D664" s="1924"/>
      <c r="E664" s="1925"/>
      <c r="F664" s="1943"/>
    </row>
    <row r="665" spans="1:6" x14ac:dyDescent="0.25">
      <c r="A665" s="1924"/>
      <c r="B665" s="1924"/>
      <c r="C665" s="1924"/>
      <c r="D665" s="1924"/>
      <c r="E665" s="1924"/>
      <c r="F665" s="1943"/>
    </row>
    <row r="666" spans="1:6" x14ac:dyDescent="0.25">
      <c r="A666" s="1924"/>
      <c r="B666" s="1924"/>
      <c r="C666" s="1925"/>
      <c r="D666" s="1924"/>
      <c r="E666" s="1925"/>
      <c r="F666" s="1943"/>
    </row>
    <row r="667" spans="1:6" x14ac:dyDescent="0.25">
      <c r="A667" s="1924"/>
      <c r="B667" s="1924"/>
      <c r="C667" s="1925"/>
      <c r="D667" s="1924"/>
      <c r="E667" s="1925"/>
      <c r="F667" s="1943"/>
    </row>
    <row r="668" spans="1:6" x14ac:dyDescent="0.25">
      <c r="A668" s="1924"/>
      <c r="B668" s="1924"/>
      <c r="C668" s="1925"/>
      <c r="D668" s="1924"/>
      <c r="E668" s="1925"/>
      <c r="F668" s="1943"/>
    </row>
    <row r="669" spans="1:6" x14ac:dyDescent="0.25">
      <c r="A669" s="1924"/>
      <c r="B669" s="1924"/>
      <c r="C669" s="1925"/>
      <c r="D669" s="1924"/>
      <c r="E669" s="1925"/>
      <c r="F669" s="1943"/>
    </row>
    <row r="670" spans="1:6" x14ac:dyDescent="0.25">
      <c r="A670" s="1924"/>
      <c r="B670" s="1924"/>
      <c r="C670" s="1925"/>
      <c r="D670" s="1924"/>
      <c r="E670" s="1925"/>
      <c r="F670" s="1943"/>
    </row>
    <row r="671" spans="1:6" x14ac:dyDescent="0.25">
      <c r="A671" s="1924"/>
      <c r="B671" s="1924"/>
      <c r="C671" s="1925"/>
      <c r="D671" s="1924"/>
      <c r="E671" s="1925"/>
      <c r="F671" s="1943"/>
    </row>
    <row r="672" spans="1:6" x14ac:dyDescent="0.25">
      <c r="A672" s="1924"/>
      <c r="B672" s="1924"/>
      <c r="C672" s="1924"/>
      <c r="D672" s="1924"/>
      <c r="E672" s="1924"/>
      <c r="F672" s="1943"/>
    </row>
    <row r="673" spans="1:6" x14ac:dyDescent="0.25">
      <c r="A673" s="1924"/>
      <c r="B673" s="1924"/>
      <c r="C673" s="1925"/>
      <c r="D673" s="1924"/>
      <c r="E673" s="1925"/>
      <c r="F673" s="1943"/>
    </row>
    <row r="674" spans="1:6" x14ac:dyDescent="0.25">
      <c r="A674" s="1924"/>
      <c r="B674" s="1924"/>
      <c r="C674" s="1925"/>
      <c r="D674" s="1924"/>
      <c r="E674" s="1925"/>
      <c r="F674" s="1943"/>
    </row>
    <row r="675" spans="1:6" x14ac:dyDescent="0.25">
      <c r="A675" s="1924"/>
      <c r="B675" s="1924"/>
      <c r="C675" s="1924"/>
      <c r="D675" s="1924"/>
      <c r="E675" s="1924"/>
      <c r="F675" s="1943"/>
    </row>
    <row r="676" spans="1:6" x14ac:dyDescent="0.25">
      <c r="A676" s="1924"/>
      <c r="B676" s="1924"/>
      <c r="C676" s="1924"/>
      <c r="D676" s="1924"/>
      <c r="E676" s="1924"/>
      <c r="F676" s="1943"/>
    </row>
    <row r="677" spans="1:6" x14ac:dyDescent="0.25">
      <c r="A677" s="1924"/>
      <c r="B677" s="1924"/>
      <c r="C677" s="1925"/>
      <c r="D677" s="1924"/>
      <c r="E677" s="1925"/>
      <c r="F677" s="1943"/>
    </row>
    <row r="678" spans="1:6" x14ac:dyDescent="0.25">
      <c r="A678" s="1924"/>
      <c r="B678" s="1924"/>
      <c r="C678" s="1924"/>
      <c r="D678" s="1924"/>
      <c r="E678" s="1924"/>
      <c r="F678" s="1943"/>
    </row>
    <row r="679" spans="1:6" x14ac:dyDescent="0.25">
      <c r="A679" s="1924"/>
      <c r="B679" s="1924"/>
      <c r="C679" s="1925"/>
      <c r="D679" s="1924"/>
      <c r="E679" s="1925"/>
      <c r="F679" s="1943"/>
    </row>
    <row r="680" spans="1:6" x14ac:dyDescent="0.25">
      <c r="A680" s="1924"/>
      <c r="B680" s="1924"/>
      <c r="C680" s="1925"/>
      <c r="D680" s="1924"/>
      <c r="E680" s="1925"/>
      <c r="F680" s="1943"/>
    </row>
    <row r="681" spans="1:6" x14ac:dyDescent="0.25">
      <c r="A681" s="1924"/>
      <c r="B681" s="1924"/>
      <c r="C681" s="1924"/>
      <c r="D681" s="1924"/>
      <c r="E681" s="1924"/>
      <c r="F681" s="1943"/>
    </row>
    <row r="682" spans="1:6" x14ac:dyDescent="0.25">
      <c r="A682" s="1924"/>
      <c r="B682" s="1924"/>
      <c r="C682" s="1924"/>
      <c r="D682" s="1924"/>
      <c r="E682" s="1924"/>
      <c r="F682" s="1943"/>
    </row>
    <row r="683" spans="1:6" x14ac:dyDescent="0.25">
      <c r="A683" s="1924"/>
      <c r="B683" s="1924"/>
      <c r="C683" s="1925"/>
      <c r="D683" s="1924"/>
      <c r="E683" s="1925"/>
      <c r="F683" s="1943"/>
    </row>
    <row r="684" spans="1:6" x14ac:dyDescent="0.25">
      <c r="A684" s="1924"/>
      <c r="B684" s="1924"/>
      <c r="C684" s="1925"/>
      <c r="D684" s="1924"/>
      <c r="E684" s="1925"/>
      <c r="F684" s="1943"/>
    </row>
    <row r="685" spans="1:6" x14ac:dyDescent="0.25">
      <c r="A685" s="1924"/>
      <c r="B685" s="1924"/>
      <c r="C685" s="1925"/>
      <c r="D685" s="1924"/>
      <c r="E685" s="1925"/>
      <c r="F685" s="1943"/>
    </row>
    <row r="686" spans="1:6" x14ac:dyDescent="0.25">
      <c r="A686" s="1924"/>
      <c r="B686" s="1924"/>
      <c r="C686" s="1925"/>
      <c r="D686" s="1924"/>
      <c r="E686" s="1925"/>
      <c r="F686" s="1943"/>
    </row>
    <row r="687" spans="1:6" x14ac:dyDescent="0.25">
      <c r="A687" s="1924"/>
      <c r="B687" s="1924"/>
      <c r="C687" s="1925"/>
      <c r="D687" s="1924"/>
      <c r="E687" s="1925"/>
      <c r="F687" s="1943"/>
    </row>
    <row r="688" spans="1:6" x14ac:dyDescent="0.25">
      <c r="A688" s="1924"/>
      <c r="B688" s="1924"/>
      <c r="C688" s="1925"/>
      <c r="D688" s="1924"/>
      <c r="E688" s="1925"/>
      <c r="F688" s="1943"/>
    </row>
    <row r="689" spans="1:6" x14ac:dyDescent="0.25">
      <c r="A689" s="1924"/>
      <c r="B689" s="1924"/>
      <c r="C689" s="1925"/>
      <c r="D689" s="1924"/>
      <c r="E689" s="1925"/>
      <c r="F689" s="1943"/>
    </row>
    <row r="690" spans="1:6" x14ac:dyDescent="0.25">
      <c r="A690" s="1924"/>
      <c r="B690" s="1924"/>
      <c r="C690" s="1925"/>
      <c r="D690" s="1924"/>
      <c r="E690" s="1925"/>
      <c r="F690" s="1943"/>
    </row>
    <row r="691" spans="1:6" x14ac:dyDescent="0.25">
      <c r="A691" s="1924"/>
      <c r="B691" s="1924"/>
      <c r="C691" s="1925"/>
      <c r="D691" s="1924"/>
      <c r="E691" s="1925"/>
      <c r="F691" s="1943"/>
    </row>
    <row r="692" spans="1:6" x14ac:dyDescent="0.25">
      <c r="A692" s="1924"/>
      <c r="B692" s="1924"/>
      <c r="C692" s="1925"/>
      <c r="D692" s="1924"/>
      <c r="E692" s="1925"/>
      <c r="F692" s="1943"/>
    </row>
    <row r="693" spans="1:6" x14ac:dyDescent="0.25">
      <c r="A693" s="1924"/>
      <c r="B693" s="1924"/>
      <c r="C693" s="1925"/>
      <c r="D693" s="1924"/>
      <c r="E693" s="1925"/>
      <c r="F693" s="1943"/>
    </row>
    <row r="694" spans="1:6" x14ac:dyDescent="0.25">
      <c r="A694" s="1924"/>
      <c r="B694" s="1924"/>
      <c r="C694" s="1925"/>
      <c r="D694" s="1924"/>
      <c r="E694" s="1925"/>
      <c r="F694" s="1943"/>
    </row>
    <row r="695" spans="1:6" x14ac:dyDescent="0.25">
      <c r="A695" s="1924"/>
      <c r="B695" s="1924"/>
      <c r="C695" s="1924"/>
      <c r="D695" s="1924"/>
      <c r="E695" s="1924"/>
      <c r="F695" s="1943"/>
    </row>
    <row r="696" spans="1:6" x14ac:dyDescent="0.25">
      <c r="A696" s="1918"/>
      <c r="B696" s="1918"/>
      <c r="C696" s="1918"/>
      <c r="D696" s="1918"/>
      <c r="E696" s="1918"/>
      <c r="F696" s="1943"/>
    </row>
    <row r="697" spans="1:6" x14ac:dyDescent="0.25">
      <c r="A697" s="1926"/>
      <c r="B697" s="1924"/>
      <c r="C697" s="1925"/>
      <c r="D697" s="1925"/>
      <c r="E697" s="1925"/>
      <c r="F697" s="1943"/>
    </row>
    <row r="698" spans="1:6" x14ac:dyDescent="0.25">
      <c r="A698" s="1918"/>
      <c r="B698" s="1918"/>
      <c r="C698" s="1919"/>
      <c r="D698" s="1918"/>
      <c r="E698" s="1919"/>
      <c r="F698" s="1943"/>
    </row>
    <row r="699" spans="1:6" x14ac:dyDescent="0.25">
      <c r="A699" s="1926"/>
      <c r="B699" s="1924"/>
      <c r="C699" s="1925"/>
      <c r="D699" s="1925"/>
      <c r="E699" s="1925"/>
      <c r="F699" s="1940"/>
    </row>
    <row r="700" spans="1:6" x14ac:dyDescent="0.25">
      <c r="A700" s="1918"/>
      <c r="B700" s="1918"/>
      <c r="C700" s="1918"/>
      <c r="D700" s="1918"/>
      <c r="E700" s="1918"/>
      <c r="F700" s="1943"/>
    </row>
    <row r="701" spans="1:6" x14ac:dyDescent="0.25">
      <c r="A701" s="1918"/>
      <c r="B701" s="1918"/>
      <c r="C701" s="1919"/>
      <c r="D701" s="1918"/>
      <c r="E701" s="1919"/>
      <c r="F701" s="1943"/>
    </row>
    <row r="702" spans="1:6" x14ac:dyDescent="0.25">
      <c r="A702" s="1926"/>
      <c r="B702" s="1924"/>
      <c r="C702" s="1925"/>
      <c r="D702" s="1925"/>
      <c r="E702" s="1924"/>
      <c r="F702" s="1940"/>
    </row>
    <row r="703" spans="1:6" x14ac:dyDescent="0.25">
      <c r="A703" s="1926"/>
      <c r="B703" s="1924"/>
      <c r="C703" s="1925"/>
      <c r="D703" s="1925"/>
      <c r="E703" s="1925"/>
      <c r="F703" s="1940"/>
    </row>
    <row r="704" spans="1:6" x14ac:dyDescent="0.25">
      <c r="A704" s="1918"/>
      <c r="B704" s="1918"/>
      <c r="C704" s="1918"/>
      <c r="D704" s="1918"/>
      <c r="E704" s="1918"/>
      <c r="F704" s="1943"/>
    </row>
    <row r="705" spans="1:6" x14ac:dyDescent="0.25">
      <c r="A705" s="1924"/>
      <c r="B705" s="1924"/>
      <c r="C705" s="1925"/>
      <c r="D705" s="1925"/>
      <c r="E705" s="1925"/>
      <c r="F705" s="1939"/>
    </row>
    <row r="706" spans="1:6" x14ac:dyDescent="0.25">
      <c r="A706" s="1924"/>
      <c r="B706" s="1924"/>
      <c r="C706" s="1925"/>
      <c r="D706" s="1925"/>
      <c r="E706" s="1924"/>
      <c r="F706" s="1939"/>
    </row>
    <row r="707" spans="1:6" x14ac:dyDescent="0.25">
      <c r="A707" s="1924"/>
      <c r="B707" s="1924"/>
      <c r="C707" s="1925"/>
      <c r="D707" s="1925"/>
      <c r="E707" s="1925"/>
      <c r="F707" s="1939"/>
    </row>
    <row r="708" spans="1:6" x14ac:dyDescent="0.25">
      <c r="A708" s="1924"/>
      <c r="B708" s="1924"/>
      <c r="C708" s="1925"/>
      <c r="D708" s="1925"/>
      <c r="E708" s="1924"/>
      <c r="F708" s="1940"/>
    </row>
    <row r="709" spans="1:6" x14ac:dyDescent="0.25">
      <c r="A709" s="1924"/>
      <c r="B709" s="1924"/>
      <c r="C709" s="1925"/>
      <c r="D709" s="1925"/>
      <c r="E709" s="1924"/>
      <c r="F709" s="1940"/>
    </row>
    <row r="710" spans="1:6" x14ac:dyDescent="0.25">
      <c r="A710" s="1924"/>
      <c r="B710" s="1924"/>
      <c r="C710" s="1925"/>
      <c r="D710" s="1925"/>
      <c r="E710" s="1925"/>
      <c r="F710" s="1939"/>
    </row>
    <row r="711" spans="1:6" x14ac:dyDescent="0.25">
      <c r="A711" s="1918"/>
      <c r="B711" s="1918"/>
      <c r="C711" s="1919"/>
      <c r="D711" s="1918"/>
      <c r="E711" s="1919"/>
      <c r="F711" s="1943"/>
    </row>
    <row r="712" spans="1:6" x14ac:dyDescent="0.25">
      <c r="A712" s="1926"/>
      <c r="B712" s="1924"/>
      <c r="C712" s="1925"/>
      <c r="D712" s="1925"/>
      <c r="E712" s="1924"/>
      <c r="F712" s="1940"/>
    </row>
    <row r="713" spans="1:6" x14ac:dyDescent="0.25">
      <c r="A713" s="1918"/>
      <c r="B713" s="1918"/>
      <c r="C713" s="1919"/>
      <c r="D713" s="1918"/>
      <c r="E713" s="1919"/>
      <c r="F713" s="1943"/>
    </row>
    <row r="714" spans="1:6" x14ac:dyDescent="0.25">
      <c r="A714" s="1924"/>
      <c r="B714" s="1924"/>
      <c r="C714" s="1924"/>
      <c r="D714" s="1925"/>
      <c r="E714" s="1925"/>
      <c r="F714" s="1940"/>
    </row>
    <row r="715" spans="1:6" x14ac:dyDescent="0.25">
      <c r="A715" s="1924"/>
      <c r="B715" s="1924"/>
      <c r="C715" s="1924"/>
      <c r="D715" s="1925"/>
      <c r="E715" s="1925"/>
      <c r="F715" s="1940"/>
    </row>
    <row r="716" spans="1:6" x14ac:dyDescent="0.25">
      <c r="A716" s="1918"/>
      <c r="B716" s="1918"/>
      <c r="C716" s="1919"/>
      <c r="D716" s="1918"/>
      <c r="E716" s="1919"/>
      <c r="F716" s="1943"/>
    </row>
    <row r="717" spans="1:6" x14ac:dyDescent="0.25">
      <c r="A717" s="1926"/>
      <c r="B717" s="1924"/>
      <c r="C717" s="1924"/>
      <c r="D717" s="1925"/>
      <c r="E717" s="1925"/>
      <c r="F717" s="1940"/>
    </row>
    <row r="718" spans="1:6" x14ac:dyDescent="0.25">
      <c r="A718" s="1918"/>
      <c r="B718" s="1918"/>
      <c r="C718" s="1918"/>
      <c r="D718" s="1918"/>
      <c r="E718" s="1918"/>
      <c r="F718" s="1943"/>
    </row>
    <row r="719" spans="1:6" x14ac:dyDescent="0.25">
      <c r="A719" s="1924"/>
      <c r="B719" s="1924"/>
      <c r="C719" s="1925"/>
      <c r="D719" s="1924"/>
      <c r="E719" s="1925"/>
      <c r="F719" s="1940"/>
    </row>
    <row r="720" spans="1:6" x14ac:dyDescent="0.25">
      <c r="A720" s="1924"/>
      <c r="B720" s="1924"/>
      <c r="C720" s="1924"/>
      <c r="D720" s="1924"/>
      <c r="E720" s="1924"/>
      <c r="F720" s="1940"/>
    </row>
    <row r="721" spans="1:6" x14ac:dyDescent="0.25">
      <c r="A721" s="1924"/>
      <c r="B721" s="1924"/>
      <c r="C721" s="1925"/>
      <c r="D721" s="1924"/>
      <c r="E721" s="1925"/>
      <c r="F721" s="1940"/>
    </row>
    <row r="722" spans="1:6" x14ac:dyDescent="0.25">
      <c r="A722" s="1920"/>
      <c r="B722" s="1918"/>
      <c r="C722" s="1919"/>
      <c r="D722" s="1919"/>
      <c r="E722" s="1918"/>
      <c r="F722" s="1943"/>
    </row>
    <row r="723" spans="1:6" x14ac:dyDescent="0.25">
      <c r="A723" s="1926"/>
      <c r="B723" s="1924"/>
      <c r="C723" s="1925"/>
      <c r="D723" s="1924"/>
      <c r="E723" s="1925"/>
      <c r="F723" s="1940"/>
    </row>
    <row r="724" spans="1:6" x14ac:dyDescent="0.25">
      <c r="A724" s="1918"/>
      <c r="B724" s="1918"/>
      <c r="C724" s="1918"/>
      <c r="D724" s="1918"/>
      <c r="E724" s="1918"/>
      <c r="F724" s="1943"/>
    </row>
    <row r="725" spans="1:6" x14ac:dyDescent="0.25">
      <c r="A725" s="1926"/>
      <c r="B725" s="1924"/>
      <c r="C725" s="1925"/>
      <c r="D725" s="1925"/>
      <c r="E725" s="1925"/>
      <c r="F725" s="1940"/>
    </row>
    <row r="726" spans="1:6" x14ac:dyDescent="0.25">
      <c r="A726" s="1920"/>
      <c r="B726" s="1918"/>
      <c r="C726" s="1919"/>
      <c r="D726" s="1919"/>
      <c r="E726" s="1918"/>
      <c r="F726" s="1943"/>
    </row>
    <row r="728" spans="1:6" x14ac:dyDescent="0.25">
      <c r="A728" s="1926"/>
      <c r="B728" s="1924"/>
      <c r="C728" s="1925"/>
      <c r="D728" s="1925"/>
      <c r="E728" s="1924"/>
      <c r="F728" s="1940"/>
    </row>
    <row r="729" spans="1:6" x14ac:dyDescent="0.25">
      <c r="A729" s="1926"/>
      <c r="B729" s="1924"/>
      <c r="C729" s="1925"/>
      <c r="D729" s="1925"/>
      <c r="E729" s="1925"/>
      <c r="F729" s="1940"/>
    </row>
    <row r="730" spans="1:6" x14ac:dyDescent="0.25">
      <c r="A730" s="1918"/>
      <c r="B730" s="1918"/>
      <c r="C730" s="1919"/>
      <c r="D730" s="1918"/>
      <c r="E730" s="1919"/>
      <c r="F730" s="1944"/>
    </row>
    <row r="731" spans="1:6" x14ac:dyDescent="0.25">
      <c r="A731" s="1924"/>
      <c r="B731" s="1924"/>
      <c r="C731" s="1925"/>
      <c r="D731" s="1925"/>
      <c r="E731" s="1925"/>
      <c r="F731" s="1939"/>
    </row>
    <row r="732" spans="1:6" x14ac:dyDescent="0.25">
      <c r="A732" s="1924"/>
      <c r="B732" s="1924"/>
      <c r="C732" s="1925"/>
      <c r="D732" s="1924"/>
      <c r="E732" s="1925"/>
      <c r="F732" s="1939"/>
    </row>
    <row r="733" spans="1:6" x14ac:dyDescent="0.25">
      <c r="A733" s="1924"/>
      <c r="B733" s="1924"/>
      <c r="C733" s="1925"/>
      <c r="D733" s="1925"/>
      <c r="E733" s="1925"/>
      <c r="F733" s="1939"/>
    </row>
    <row r="734" spans="1:6" x14ac:dyDescent="0.25">
      <c r="A734" s="1924"/>
      <c r="B734" s="1924"/>
      <c r="C734" s="1925"/>
      <c r="D734" s="1925"/>
      <c r="E734" s="1925"/>
      <c r="F734" s="1939"/>
    </row>
    <row r="735" spans="1:6" x14ac:dyDescent="0.25">
      <c r="A735" s="1920"/>
      <c r="B735" s="1918"/>
      <c r="C735" s="1919"/>
      <c r="D735" s="1919"/>
      <c r="E735" s="1918"/>
      <c r="F735" s="1943"/>
    </row>
    <row r="736" spans="1:6" x14ac:dyDescent="0.25">
      <c r="A736" s="1926"/>
      <c r="B736" s="1924"/>
      <c r="C736" s="1925"/>
      <c r="D736" s="1925"/>
      <c r="E736" s="1924"/>
      <c r="F736" s="1940"/>
    </row>
    <row r="737" spans="1:6" x14ac:dyDescent="0.25">
      <c r="A737" s="1918"/>
      <c r="B737" s="1918"/>
      <c r="C737" s="1918"/>
      <c r="D737" s="1919"/>
      <c r="E737" s="1918"/>
      <c r="F737" s="1943"/>
    </row>
    <row r="738" spans="1:6" x14ac:dyDescent="0.25">
      <c r="A738" s="1924"/>
      <c r="B738" s="1924"/>
      <c r="C738" s="1924"/>
      <c r="D738" s="1925"/>
      <c r="E738" s="1925"/>
      <c r="F738" s="1940"/>
    </row>
    <row r="739" spans="1:6" x14ac:dyDescent="0.25">
      <c r="A739" s="1924"/>
      <c r="B739" s="1924"/>
      <c r="C739" s="1925"/>
      <c r="D739" s="1925"/>
      <c r="E739" s="1925"/>
      <c r="F739" s="1940"/>
    </row>
    <row r="740" spans="1:6" x14ac:dyDescent="0.25">
      <c r="A740" s="1920"/>
      <c r="B740" s="1918"/>
      <c r="C740" s="1919"/>
      <c r="D740" s="1919"/>
      <c r="E740" s="1918"/>
      <c r="F740" s="1943"/>
    </row>
    <row r="741" spans="1:6" x14ac:dyDescent="0.25">
      <c r="A741" s="1926"/>
      <c r="B741" s="1924"/>
      <c r="C741" s="1925"/>
      <c r="D741" s="1925"/>
      <c r="E741" s="1925"/>
      <c r="F741" s="1940"/>
    </row>
    <row r="742" spans="1:6" x14ac:dyDescent="0.25">
      <c r="A742" s="1918"/>
      <c r="B742" s="1918"/>
      <c r="C742" s="1919"/>
      <c r="D742" s="1918"/>
      <c r="E742" s="1919"/>
      <c r="F742" s="1943"/>
    </row>
    <row r="743" spans="1:6" x14ac:dyDescent="0.25">
      <c r="A743" s="1924"/>
      <c r="B743" s="1924"/>
      <c r="C743" s="1925"/>
      <c r="D743" s="1924"/>
      <c r="E743" s="1925"/>
      <c r="F743" s="1940"/>
    </row>
    <row r="744" spans="1:6" x14ac:dyDescent="0.25">
      <c r="A744" s="1918"/>
      <c r="B744" s="1918"/>
      <c r="C744" s="1918"/>
      <c r="D744" s="1918"/>
      <c r="E744" s="1918"/>
      <c r="F744" s="1943"/>
    </row>
    <row r="745" spans="1:6" x14ac:dyDescent="0.25">
      <c r="A745" s="1926"/>
      <c r="B745" s="1924"/>
      <c r="C745" s="1925"/>
      <c r="D745" s="1924"/>
      <c r="E745" s="1925"/>
      <c r="F745" s="1940"/>
    </row>
    <row r="746" spans="1:6" x14ac:dyDescent="0.25">
      <c r="A746" s="1918"/>
      <c r="B746" s="1918"/>
      <c r="C746" s="1918"/>
      <c r="D746" s="1918"/>
      <c r="E746" s="1918"/>
      <c r="F746" s="1943"/>
    </row>
    <row r="747" spans="1:6" x14ac:dyDescent="0.25">
      <c r="A747" s="1926"/>
      <c r="B747" s="1924"/>
      <c r="C747" s="1925"/>
      <c r="D747" s="1925"/>
      <c r="E747" s="1925"/>
      <c r="F747" s="1940"/>
    </row>
    <row r="748" spans="1:6" x14ac:dyDescent="0.25">
      <c r="A748" s="1918"/>
      <c r="B748" s="1918"/>
      <c r="C748" s="1918"/>
      <c r="D748" s="1918"/>
      <c r="E748" s="1918"/>
      <c r="F748" s="1943"/>
    </row>
    <row r="749" spans="1:6" x14ac:dyDescent="0.25">
      <c r="A749" s="1918"/>
      <c r="B749" s="1918"/>
      <c r="C749" s="1918"/>
      <c r="D749" s="1918"/>
      <c r="E749" s="1918"/>
      <c r="F749" s="1943"/>
    </row>
    <row r="750" spans="1:6" x14ac:dyDescent="0.25">
      <c r="A750" s="1926"/>
      <c r="B750" s="1924"/>
      <c r="C750" s="1925"/>
      <c r="D750" s="1925"/>
      <c r="E750" s="1924"/>
      <c r="F750" s="1940"/>
    </row>
    <row r="751" spans="1:6" x14ac:dyDescent="0.25">
      <c r="A751" s="1926"/>
      <c r="B751" s="1924"/>
      <c r="C751" s="1925"/>
      <c r="D751" s="1925"/>
      <c r="E751" s="1925"/>
      <c r="F751" s="1940"/>
    </row>
    <row r="752" spans="1:6" x14ac:dyDescent="0.25">
      <c r="A752" s="1924"/>
      <c r="B752" s="1924"/>
      <c r="C752" s="1925"/>
      <c r="D752" s="1925"/>
      <c r="E752" s="1925"/>
      <c r="F752" s="1939"/>
    </row>
    <row r="753" spans="1:6" x14ac:dyDescent="0.25">
      <c r="A753" s="1924"/>
      <c r="B753" s="1924"/>
      <c r="C753" s="1924"/>
      <c r="D753" s="1924"/>
      <c r="E753" s="1924"/>
      <c r="F753" s="1939"/>
    </row>
    <row r="754" spans="1:6" x14ac:dyDescent="0.25">
      <c r="A754" s="1924"/>
      <c r="B754" s="1924"/>
      <c r="C754" s="1925"/>
      <c r="D754" s="1925"/>
      <c r="E754" s="1925"/>
      <c r="F754" s="1939"/>
    </row>
    <row r="755" spans="1:6" x14ac:dyDescent="0.25">
      <c r="A755" s="1924"/>
      <c r="B755" s="1924"/>
      <c r="C755" s="1925"/>
      <c r="D755" s="1925"/>
      <c r="E755" s="1924"/>
      <c r="F755" s="1940"/>
    </row>
    <row r="756" spans="1:6" x14ac:dyDescent="0.25">
      <c r="A756" s="1924"/>
      <c r="B756" s="1924"/>
      <c r="C756" s="1925"/>
      <c r="D756" s="1925"/>
      <c r="E756" s="1924"/>
      <c r="F756" s="1940"/>
    </row>
    <row r="757" spans="1:6" x14ac:dyDescent="0.25">
      <c r="A757" s="1924"/>
      <c r="B757" s="1924"/>
      <c r="C757" s="1925"/>
      <c r="D757" s="1925"/>
      <c r="E757" s="1924"/>
      <c r="F757" s="1940"/>
    </row>
    <row r="758" spans="1:6" x14ac:dyDescent="0.25">
      <c r="A758" s="1924"/>
      <c r="B758" s="1924"/>
      <c r="C758" s="1925"/>
      <c r="D758" s="1925"/>
      <c r="E758" s="1924"/>
      <c r="F758" s="1940"/>
    </row>
    <row r="759" spans="1:6" x14ac:dyDescent="0.25">
      <c r="A759" s="1924"/>
      <c r="B759" s="1924"/>
      <c r="C759" s="1925"/>
      <c r="D759" s="1925"/>
      <c r="E759" s="1924"/>
      <c r="F759" s="1940"/>
    </row>
    <row r="760" spans="1:6" x14ac:dyDescent="0.25">
      <c r="A760" s="1924"/>
      <c r="B760" s="1924"/>
      <c r="C760" s="1925"/>
      <c r="D760" s="1925"/>
      <c r="E760" s="1924"/>
      <c r="F760" s="1940"/>
    </row>
    <row r="761" spans="1:6" x14ac:dyDescent="0.25">
      <c r="A761" s="1924"/>
      <c r="B761" s="1924"/>
      <c r="C761" s="1925"/>
      <c r="D761" s="1925"/>
      <c r="E761" s="1924"/>
      <c r="F761" s="1940"/>
    </row>
    <row r="762" spans="1:6" x14ac:dyDescent="0.25">
      <c r="A762" s="1924"/>
      <c r="B762" s="1924"/>
      <c r="C762" s="1925"/>
      <c r="D762" s="1925"/>
      <c r="E762" s="1924"/>
      <c r="F762" s="1940"/>
    </row>
    <row r="763" spans="1:6" x14ac:dyDescent="0.25">
      <c r="A763" s="1924"/>
      <c r="B763" s="1924"/>
      <c r="C763" s="1925"/>
      <c r="D763" s="1925"/>
      <c r="E763" s="1924"/>
      <c r="F763" s="1940"/>
    </row>
    <row r="764" spans="1:6" x14ac:dyDescent="0.25">
      <c r="A764" s="1924"/>
      <c r="B764" s="1924"/>
      <c r="C764" s="1925"/>
      <c r="D764" s="1925"/>
      <c r="E764" s="1924"/>
      <c r="F764" s="1940"/>
    </row>
    <row r="765" spans="1:6" x14ac:dyDescent="0.25">
      <c r="A765" s="1924"/>
      <c r="B765" s="1924"/>
      <c r="C765" s="1925"/>
      <c r="D765" s="1925"/>
      <c r="E765" s="1924"/>
      <c r="F765" s="1940"/>
    </row>
    <row r="766" spans="1:6" x14ac:dyDescent="0.25">
      <c r="A766" s="1924"/>
      <c r="B766" s="1924"/>
      <c r="C766" s="1925"/>
      <c r="D766" s="1925"/>
      <c r="E766" s="1924"/>
      <c r="F766" s="1940"/>
    </row>
    <row r="767" spans="1:6" x14ac:dyDescent="0.25">
      <c r="A767" s="1924"/>
      <c r="B767" s="1924"/>
      <c r="C767" s="1924"/>
      <c r="D767" s="1924"/>
      <c r="E767" s="1924"/>
      <c r="F767" s="1940"/>
    </row>
    <row r="768" spans="1:6" x14ac:dyDescent="0.25">
      <c r="A768" s="1924"/>
      <c r="B768" s="1924"/>
      <c r="C768" s="1924"/>
      <c r="D768" s="1925"/>
      <c r="E768" s="1925"/>
      <c r="F768" s="1939"/>
    </row>
    <row r="769" spans="1:6" x14ac:dyDescent="0.25">
      <c r="A769" s="1924"/>
      <c r="B769" s="1924"/>
      <c r="C769" s="1925"/>
      <c r="D769" s="1925"/>
      <c r="E769" s="1924"/>
      <c r="F769" s="1940"/>
    </row>
    <row r="770" spans="1:6" x14ac:dyDescent="0.25">
      <c r="A770" s="1924"/>
      <c r="B770" s="1924"/>
      <c r="C770" s="1925"/>
      <c r="D770" s="1925"/>
      <c r="E770" s="1924"/>
      <c r="F770" s="1940"/>
    </row>
    <row r="771" spans="1:6" x14ac:dyDescent="0.25">
      <c r="A771" s="1924"/>
      <c r="B771" s="1924"/>
      <c r="C771" s="1925"/>
      <c r="D771" s="1925"/>
      <c r="E771" s="1925"/>
      <c r="F771" s="1939"/>
    </row>
    <row r="772" spans="1:6" x14ac:dyDescent="0.25">
      <c r="A772" s="1920"/>
      <c r="B772" s="1918"/>
      <c r="C772" s="1919"/>
      <c r="D772" s="1919"/>
      <c r="E772" s="1918"/>
      <c r="F772" s="1943"/>
    </row>
    <row r="773" spans="1:6" x14ac:dyDescent="0.25">
      <c r="A773" s="1926"/>
      <c r="B773" s="1924"/>
      <c r="C773" s="1925"/>
      <c r="D773" s="1925"/>
      <c r="E773" s="1924"/>
      <c r="F773" s="1940"/>
    </row>
    <row r="774" spans="1:6" x14ac:dyDescent="0.25">
      <c r="A774" s="1920"/>
      <c r="B774" s="1918"/>
      <c r="C774" s="1919"/>
      <c r="D774" s="1919"/>
      <c r="E774" s="1919"/>
      <c r="F774" s="1943"/>
    </row>
    <row r="775" spans="1:6" x14ac:dyDescent="0.25">
      <c r="A775" s="1924"/>
      <c r="B775" s="1924"/>
      <c r="C775" s="1924"/>
      <c r="D775" s="1925"/>
      <c r="E775" s="1925"/>
      <c r="F775" s="1940"/>
    </row>
    <row r="776" spans="1:6" x14ac:dyDescent="0.25">
      <c r="A776" s="1924"/>
      <c r="B776" s="1924"/>
      <c r="C776" s="1924"/>
      <c r="D776" s="1925"/>
      <c r="E776" s="1925"/>
      <c r="F776" s="1940"/>
    </row>
    <row r="777" spans="1:6" x14ac:dyDescent="0.25">
      <c r="A777" s="1924"/>
      <c r="B777" s="1924"/>
      <c r="C777" s="1924"/>
      <c r="D777" s="1925"/>
      <c r="E777" s="1925"/>
      <c r="F777" s="1940"/>
    </row>
    <row r="778" spans="1:6" x14ac:dyDescent="0.25">
      <c r="A778" s="1918"/>
      <c r="B778" s="1918"/>
      <c r="C778" s="1919"/>
      <c r="D778" s="1919"/>
      <c r="E778" s="1918"/>
      <c r="F778" s="1943"/>
    </row>
    <row r="779" spans="1:6" x14ac:dyDescent="0.25">
      <c r="A779" s="1926"/>
      <c r="B779" s="1924"/>
      <c r="C779" s="1924"/>
      <c r="D779" s="1925"/>
      <c r="E779" s="1925"/>
      <c r="F779" s="1940"/>
    </row>
    <row r="780" spans="1:6" x14ac:dyDescent="0.25">
      <c r="A780" s="1918"/>
      <c r="B780" s="1918"/>
      <c r="C780" s="1919"/>
      <c r="D780" s="1919"/>
      <c r="E780" s="1918"/>
      <c r="F780" s="1943"/>
    </row>
    <row r="781" spans="1:6" x14ac:dyDescent="0.25">
      <c r="A781" s="1924"/>
      <c r="B781" s="1924"/>
      <c r="C781" s="1925"/>
      <c r="D781" s="1924"/>
      <c r="E781" s="1925"/>
      <c r="F781" s="1940"/>
    </row>
    <row r="782" spans="1:6" x14ac:dyDescent="0.25">
      <c r="A782" s="1924"/>
      <c r="B782" s="1924"/>
      <c r="C782" s="1924"/>
      <c r="D782" s="1924"/>
      <c r="E782" s="1924"/>
      <c r="F782" s="1940"/>
    </row>
    <row r="783" spans="1:6" x14ac:dyDescent="0.25">
      <c r="A783" s="1924"/>
      <c r="B783" s="1924"/>
      <c r="C783" s="1925"/>
      <c r="D783" s="1924"/>
      <c r="E783" s="1925"/>
      <c r="F783" s="1940"/>
    </row>
    <row r="784" spans="1:6" x14ac:dyDescent="0.25">
      <c r="A784" s="1924"/>
      <c r="B784" s="1924"/>
      <c r="C784" s="1925"/>
      <c r="D784" s="1924"/>
      <c r="E784" s="1925"/>
      <c r="F784" s="1943"/>
    </row>
    <row r="785" spans="1:6" x14ac:dyDescent="0.25">
      <c r="A785" s="1924"/>
      <c r="B785" s="1924"/>
      <c r="C785" s="1925"/>
      <c r="D785" s="1924"/>
      <c r="E785" s="1925"/>
      <c r="F785" s="1943"/>
    </row>
    <row r="786" spans="1:6" x14ac:dyDescent="0.25">
      <c r="A786" s="1924"/>
      <c r="B786" s="1924"/>
      <c r="C786" s="1925"/>
      <c r="D786" s="1924"/>
      <c r="E786" s="1925"/>
      <c r="F786" s="1943"/>
    </row>
    <row r="787" spans="1:6" x14ac:dyDescent="0.25">
      <c r="A787" s="1924"/>
      <c r="B787" s="1924"/>
      <c r="C787" s="1925"/>
      <c r="D787" s="1924"/>
      <c r="E787" s="1925"/>
      <c r="F787" s="1943"/>
    </row>
    <row r="788" spans="1:6" x14ac:dyDescent="0.25">
      <c r="A788" s="1924"/>
      <c r="B788" s="1924"/>
      <c r="C788" s="1925"/>
      <c r="D788" s="1924"/>
      <c r="E788" s="1925"/>
      <c r="F788" s="1943"/>
    </row>
    <row r="789" spans="1:6" x14ac:dyDescent="0.25">
      <c r="A789" s="1924"/>
      <c r="B789" s="1924"/>
      <c r="C789" s="1925"/>
      <c r="D789" s="1924"/>
      <c r="E789" s="1925"/>
      <c r="F789" s="1943"/>
    </row>
    <row r="790" spans="1:6" x14ac:dyDescent="0.25">
      <c r="A790" s="1924"/>
      <c r="B790" s="1924"/>
      <c r="C790" s="1925"/>
      <c r="D790" s="1924"/>
      <c r="E790" s="1925"/>
      <c r="F790" s="1943"/>
    </row>
    <row r="791" spans="1:6" x14ac:dyDescent="0.25">
      <c r="A791" s="1924"/>
      <c r="B791" s="1924"/>
      <c r="C791" s="1925"/>
      <c r="D791" s="1924"/>
      <c r="E791" s="1925"/>
      <c r="F791" s="1943"/>
    </row>
    <row r="792" spans="1:6" x14ac:dyDescent="0.25">
      <c r="A792" s="1924"/>
      <c r="B792" s="1924"/>
      <c r="C792" s="1925"/>
      <c r="D792" s="1924"/>
      <c r="E792" s="1925"/>
      <c r="F792" s="1943"/>
    </row>
    <row r="793" spans="1:6" x14ac:dyDescent="0.25">
      <c r="A793" s="1924"/>
      <c r="B793" s="1924"/>
      <c r="C793" s="1925"/>
      <c r="D793" s="1924"/>
      <c r="E793" s="1925"/>
      <c r="F793" s="1943"/>
    </row>
    <row r="794" spans="1:6" x14ac:dyDescent="0.25">
      <c r="A794" s="1924"/>
      <c r="B794" s="1924"/>
      <c r="C794" s="1925"/>
      <c r="D794" s="1924"/>
      <c r="E794" s="1925"/>
      <c r="F794" s="1943"/>
    </row>
    <row r="795" spans="1:6" x14ac:dyDescent="0.25">
      <c r="A795" s="1924"/>
      <c r="B795" s="1924"/>
      <c r="C795" s="1925"/>
      <c r="D795" s="1924"/>
      <c r="E795" s="1925"/>
      <c r="F795" s="1943"/>
    </row>
    <row r="796" spans="1:6" x14ac:dyDescent="0.25">
      <c r="A796" s="1924"/>
      <c r="B796" s="1924"/>
      <c r="C796" s="1925"/>
      <c r="D796" s="1924"/>
      <c r="E796" s="1925"/>
      <c r="F796" s="1943"/>
    </row>
    <row r="797" spans="1:6" x14ac:dyDescent="0.25">
      <c r="A797" s="1924"/>
      <c r="B797" s="1924"/>
      <c r="C797" s="1925"/>
      <c r="D797" s="1924"/>
      <c r="E797" s="1925"/>
      <c r="F797" s="1943"/>
    </row>
    <row r="798" spans="1:6" x14ac:dyDescent="0.25">
      <c r="A798" s="1924"/>
      <c r="B798" s="1924"/>
      <c r="C798" s="1925"/>
      <c r="D798" s="1924"/>
      <c r="E798" s="1925"/>
      <c r="F798" s="1943"/>
    </row>
    <row r="799" spans="1:6" x14ac:dyDescent="0.25">
      <c r="A799" s="1924"/>
      <c r="B799" s="1924"/>
      <c r="C799" s="1925"/>
      <c r="D799" s="1924"/>
      <c r="E799" s="1925"/>
      <c r="F799" s="1943"/>
    </row>
    <row r="800" spans="1:6" x14ac:dyDescent="0.25">
      <c r="A800" s="1924"/>
      <c r="B800" s="1924"/>
      <c r="C800" s="1925"/>
      <c r="D800" s="1924"/>
      <c r="E800" s="1925"/>
      <c r="F800" s="1943"/>
    </row>
    <row r="801" spans="1:6" x14ac:dyDescent="0.25">
      <c r="A801" s="1924"/>
      <c r="B801" s="1924"/>
      <c r="C801" s="1925"/>
      <c r="D801" s="1924"/>
      <c r="E801" s="1925"/>
      <c r="F801" s="1943"/>
    </row>
    <row r="802" spans="1:6" x14ac:dyDescent="0.25">
      <c r="A802" s="1924"/>
      <c r="B802" s="1924"/>
      <c r="C802" s="1925"/>
      <c r="D802" s="1924"/>
      <c r="E802" s="1925"/>
      <c r="F802" s="1943"/>
    </row>
    <row r="803" spans="1:6" x14ac:dyDescent="0.25">
      <c r="A803" s="1924"/>
      <c r="B803" s="1924"/>
      <c r="C803" s="1925"/>
      <c r="D803" s="1924"/>
      <c r="E803" s="1925"/>
      <c r="F803" s="1943"/>
    </row>
    <row r="804" spans="1:6" x14ac:dyDescent="0.25">
      <c r="A804" s="1924"/>
      <c r="B804" s="1924"/>
      <c r="C804" s="1925"/>
      <c r="D804" s="1924"/>
      <c r="E804" s="1925"/>
      <c r="F804" s="1943"/>
    </row>
    <row r="805" spans="1:6" x14ac:dyDescent="0.25">
      <c r="A805" s="1924"/>
      <c r="B805" s="1924"/>
      <c r="C805" s="1925"/>
      <c r="D805" s="1924"/>
      <c r="E805" s="1925"/>
      <c r="F805" s="1943"/>
    </row>
    <row r="806" spans="1:6" x14ac:dyDescent="0.25">
      <c r="A806" s="1924"/>
      <c r="B806" s="1924"/>
      <c r="C806" s="1925"/>
      <c r="D806" s="1924"/>
      <c r="E806" s="1925"/>
      <c r="F806" s="1943"/>
    </row>
    <row r="807" spans="1:6" x14ac:dyDescent="0.25">
      <c r="A807" s="1924"/>
      <c r="B807" s="1924"/>
      <c r="C807" s="1925"/>
      <c r="D807" s="1924"/>
      <c r="E807" s="1925"/>
      <c r="F807" s="1943"/>
    </row>
    <row r="808" spans="1:6" x14ac:dyDescent="0.25">
      <c r="A808" s="1924"/>
      <c r="B808" s="1924"/>
      <c r="C808" s="1925"/>
      <c r="D808" s="1924"/>
      <c r="E808" s="1925"/>
      <c r="F808" s="1943"/>
    </row>
    <row r="809" spans="1:6" x14ac:dyDescent="0.25">
      <c r="A809" s="1924"/>
      <c r="B809" s="1924"/>
      <c r="C809" s="1925"/>
      <c r="D809" s="1924"/>
      <c r="E809" s="1925"/>
      <c r="F809" s="1943"/>
    </row>
    <row r="810" spans="1:6" x14ac:dyDescent="0.25">
      <c r="A810" s="1924"/>
      <c r="B810" s="1924"/>
      <c r="C810" s="1925"/>
      <c r="D810" s="1924"/>
      <c r="E810" s="1925"/>
      <c r="F810" s="1943"/>
    </row>
    <row r="811" spans="1:6" x14ac:dyDescent="0.25">
      <c r="A811" s="1924"/>
      <c r="B811" s="1924"/>
      <c r="C811" s="1925"/>
      <c r="D811" s="1924"/>
      <c r="E811" s="1925"/>
      <c r="F811" s="1943"/>
    </row>
    <row r="812" spans="1:6" x14ac:dyDescent="0.25">
      <c r="A812" s="1924"/>
      <c r="B812" s="1924"/>
      <c r="C812" s="1925"/>
      <c r="D812" s="1924"/>
      <c r="E812" s="1925"/>
      <c r="F812" s="1943"/>
    </row>
    <row r="813" spans="1:6" x14ac:dyDescent="0.25">
      <c r="A813" s="1924"/>
      <c r="B813" s="1924"/>
      <c r="C813" s="1924"/>
      <c r="D813" s="1924"/>
      <c r="E813" s="1924"/>
      <c r="F813" s="1943"/>
    </row>
    <row r="814" spans="1:6" x14ac:dyDescent="0.25">
      <c r="A814" s="1924"/>
      <c r="B814" s="1924"/>
      <c r="C814" s="1924"/>
      <c r="D814" s="1924"/>
      <c r="E814" s="1924"/>
      <c r="F814" s="1943"/>
    </row>
    <row r="815" spans="1:6" x14ac:dyDescent="0.25">
      <c r="A815" s="1924"/>
      <c r="B815" s="1924"/>
      <c r="C815" s="1925"/>
      <c r="D815" s="1924"/>
      <c r="E815" s="1925"/>
      <c r="F815" s="1943"/>
    </row>
    <row r="816" spans="1:6" x14ac:dyDescent="0.25">
      <c r="A816" s="1924"/>
      <c r="B816" s="1924"/>
      <c r="C816" s="1924"/>
      <c r="D816" s="1924"/>
      <c r="E816" s="1924"/>
      <c r="F816" s="1943"/>
    </row>
    <row r="817" spans="1:6" x14ac:dyDescent="0.25">
      <c r="A817" s="1924"/>
      <c r="B817" s="1924"/>
      <c r="C817" s="1924"/>
      <c r="D817" s="1924"/>
      <c r="E817" s="1924"/>
      <c r="F817" s="1943"/>
    </row>
    <row r="818" spans="1:6" x14ac:dyDescent="0.25">
      <c r="A818" s="1924"/>
      <c r="B818" s="1924"/>
      <c r="C818" s="1925"/>
      <c r="D818" s="1924"/>
      <c r="E818" s="1925"/>
      <c r="F818" s="1943"/>
    </row>
    <row r="819" spans="1:6" x14ac:dyDescent="0.25">
      <c r="A819" s="1924"/>
      <c r="B819" s="1924"/>
      <c r="C819" s="1925"/>
      <c r="D819" s="1924"/>
      <c r="E819" s="1925"/>
      <c r="F819" s="1943"/>
    </row>
    <row r="820" spans="1:6" x14ac:dyDescent="0.25">
      <c r="A820" s="1924"/>
      <c r="B820" s="1924"/>
      <c r="C820" s="1924"/>
      <c r="D820" s="1924"/>
      <c r="E820" s="1924"/>
      <c r="F820" s="1943"/>
    </row>
    <row r="821" spans="1:6" x14ac:dyDescent="0.25">
      <c r="A821" s="1924"/>
      <c r="B821" s="1924"/>
      <c r="C821" s="1924"/>
      <c r="D821" s="1924"/>
      <c r="E821" s="1924"/>
      <c r="F821" s="1943"/>
    </row>
    <row r="822" spans="1:6" x14ac:dyDescent="0.25">
      <c r="A822" s="1924"/>
      <c r="B822" s="1924"/>
      <c r="C822" s="1924"/>
      <c r="D822" s="1924"/>
      <c r="E822" s="1924"/>
      <c r="F822" s="1943"/>
    </row>
    <row r="823" spans="1:6" x14ac:dyDescent="0.25">
      <c r="A823" s="1924"/>
      <c r="B823" s="1924"/>
      <c r="C823" s="1924"/>
      <c r="D823" s="1924"/>
      <c r="E823" s="1924"/>
      <c r="F823" s="1943"/>
    </row>
    <row r="824" spans="1:6" x14ac:dyDescent="0.25">
      <c r="A824" s="1924"/>
      <c r="B824" s="1924"/>
      <c r="C824" s="1924"/>
      <c r="D824" s="1924"/>
      <c r="E824" s="1924"/>
      <c r="F824" s="1943"/>
    </row>
    <row r="825" spans="1:6" x14ac:dyDescent="0.25">
      <c r="A825" s="1924"/>
      <c r="B825" s="1924"/>
      <c r="C825" s="1924"/>
      <c r="D825" s="1924"/>
      <c r="E825" s="1924"/>
      <c r="F825" s="1943"/>
    </row>
    <row r="826" spans="1:6" x14ac:dyDescent="0.25">
      <c r="A826" s="1924"/>
      <c r="B826" s="1924"/>
      <c r="C826" s="1924"/>
      <c r="D826" s="1924"/>
      <c r="E826" s="1924"/>
      <c r="F826" s="1943"/>
    </row>
    <row r="827" spans="1:6" x14ac:dyDescent="0.25">
      <c r="A827" s="1924"/>
      <c r="B827" s="1924"/>
      <c r="C827" s="1924"/>
      <c r="D827" s="1924"/>
      <c r="E827" s="1924"/>
      <c r="F827" s="1943"/>
    </row>
    <row r="828" spans="1:6" x14ac:dyDescent="0.25">
      <c r="A828" s="1924"/>
      <c r="B828" s="1924"/>
      <c r="C828" s="1924"/>
      <c r="D828" s="1924"/>
      <c r="E828" s="1924"/>
      <c r="F828" s="1943"/>
    </row>
    <row r="829" spans="1:6" x14ac:dyDescent="0.25">
      <c r="A829" s="1924"/>
      <c r="B829" s="1924"/>
      <c r="C829" s="1924"/>
      <c r="D829" s="1924"/>
      <c r="E829" s="1924"/>
      <c r="F829" s="1943"/>
    </row>
    <row r="830" spans="1:6" x14ac:dyDescent="0.25">
      <c r="A830" s="1924"/>
      <c r="B830" s="1924"/>
      <c r="C830" s="1924"/>
      <c r="D830" s="1924"/>
      <c r="E830" s="1924"/>
      <c r="F830" s="1943"/>
    </row>
    <row r="831" spans="1:6" x14ac:dyDescent="0.25">
      <c r="A831" s="1924"/>
      <c r="B831" s="1924"/>
      <c r="C831" s="1924"/>
      <c r="D831" s="1924"/>
      <c r="E831" s="1924"/>
      <c r="F831" s="1943"/>
    </row>
    <row r="832" spans="1:6" x14ac:dyDescent="0.25">
      <c r="A832" s="1924"/>
      <c r="B832" s="1924"/>
      <c r="C832" s="1924"/>
      <c r="D832" s="1924"/>
      <c r="E832" s="1924"/>
      <c r="F832" s="1943"/>
    </row>
    <row r="833" spans="1:6" x14ac:dyDescent="0.25">
      <c r="A833" s="1924"/>
      <c r="B833" s="1924"/>
      <c r="C833" s="1924"/>
      <c r="D833" s="1924"/>
      <c r="E833" s="1924"/>
      <c r="F833" s="1943"/>
    </row>
    <row r="834" spans="1:6" x14ac:dyDescent="0.25">
      <c r="A834" s="1924"/>
      <c r="B834" s="1924"/>
      <c r="C834" s="1924"/>
      <c r="D834" s="1924"/>
      <c r="E834" s="1924"/>
      <c r="F834" s="1943"/>
    </row>
    <row r="835" spans="1:6" x14ac:dyDescent="0.25">
      <c r="A835" s="1924"/>
      <c r="B835" s="1924"/>
      <c r="C835" s="1924"/>
      <c r="D835" s="1924"/>
      <c r="E835" s="1924"/>
      <c r="F835" s="1943"/>
    </row>
    <row r="836" spans="1:6" x14ac:dyDescent="0.25">
      <c r="A836" s="1924"/>
      <c r="B836" s="1924"/>
      <c r="C836" s="1925"/>
      <c r="D836" s="1924"/>
      <c r="E836" s="1925"/>
      <c r="F836" s="1943"/>
    </row>
    <row r="837" spans="1:6" x14ac:dyDescent="0.25">
      <c r="A837" s="1924"/>
      <c r="B837" s="1924"/>
      <c r="C837" s="1924"/>
      <c r="D837" s="1924"/>
      <c r="E837" s="1924"/>
      <c r="F837" s="1943"/>
    </row>
    <row r="838" spans="1:6" x14ac:dyDescent="0.25">
      <c r="A838" s="1924"/>
      <c r="B838" s="1924"/>
      <c r="C838" s="1924"/>
      <c r="D838" s="1924"/>
      <c r="E838" s="1924"/>
      <c r="F838" s="1943"/>
    </row>
    <row r="839" spans="1:6" x14ac:dyDescent="0.25">
      <c r="A839" s="1924"/>
      <c r="B839" s="1924"/>
      <c r="C839" s="1925"/>
      <c r="D839" s="1924"/>
      <c r="E839" s="1925"/>
      <c r="F839" s="1943"/>
    </row>
    <row r="840" spans="1:6" x14ac:dyDescent="0.25">
      <c r="A840" s="1924"/>
      <c r="B840" s="1924"/>
      <c r="C840" s="1924"/>
      <c r="D840" s="1924"/>
      <c r="E840" s="1924"/>
      <c r="F840" s="1943"/>
    </row>
    <row r="841" spans="1:6" x14ac:dyDescent="0.25">
      <c r="A841" s="1924"/>
      <c r="B841" s="1924"/>
      <c r="C841" s="1924"/>
      <c r="D841" s="1924"/>
      <c r="E841" s="1924"/>
      <c r="F841" s="1943"/>
    </row>
    <row r="842" spans="1:6" x14ac:dyDescent="0.25">
      <c r="A842" s="1924"/>
      <c r="B842" s="1924"/>
      <c r="C842" s="1924"/>
      <c r="D842" s="1924"/>
      <c r="E842" s="1924"/>
      <c r="F842" s="1943"/>
    </row>
    <row r="843" spans="1:6" x14ac:dyDescent="0.25">
      <c r="A843" s="1924"/>
      <c r="B843" s="1924"/>
      <c r="C843" s="1924"/>
      <c r="D843" s="1924"/>
      <c r="E843" s="1924"/>
      <c r="F843" s="1943"/>
    </row>
    <row r="844" spans="1:6" x14ac:dyDescent="0.25">
      <c r="A844" s="1924"/>
      <c r="B844" s="1924"/>
      <c r="C844" s="1924"/>
      <c r="D844" s="1924"/>
      <c r="E844" s="1924"/>
      <c r="F844" s="1943"/>
    </row>
    <row r="845" spans="1:6" x14ac:dyDescent="0.25">
      <c r="A845" s="1924"/>
      <c r="B845" s="1924"/>
      <c r="C845" s="1924"/>
      <c r="D845" s="1924"/>
      <c r="E845" s="1924"/>
      <c r="F845" s="1943"/>
    </row>
    <row r="846" spans="1:6" x14ac:dyDescent="0.25">
      <c r="A846" s="1924"/>
      <c r="B846" s="1924"/>
      <c r="C846" s="1924"/>
      <c r="D846" s="1924"/>
      <c r="E846" s="1924"/>
      <c r="F846" s="1943"/>
    </row>
    <row r="847" spans="1:6" x14ac:dyDescent="0.25">
      <c r="A847" s="1924"/>
      <c r="B847" s="1924"/>
      <c r="C847" s="1924"/>
      <c r="D847" s="1924"/>
      <c r="E847" s="1924"/>
      <c r="F847" s="1943"/>
    </row>
    <row r="848" spans="1:6" x14ac:dyDescent="0.25">
      <c r="A848" s="1924"/>
      <c r="B848" s="1924"/>
      <c r="C848" s="1924"/>
      <c r="D848" s="1924"/>
      <c r="E848" s="1924"/>
      <c r="F848" s="1940"/>
    </row>
    <row r="849" spans="1:6" x14ac:dyDescent="0.25">
      <c r="A849" s="1924"/>
      <c r="B849" s="1924"/>
      <c r="C849" s="1924"/>
      <c r="D849" s="1924"/>
      <c r="E849" s="1924"/>
      <c r="F849" s="1940"/>
    </row>
    <row r="850" spans="1:6" x14ac:dyDescent="0.25">
      <c r="A850" s="1924"/>
      <c r="B850" s="1924"/>
      <c r="C850" s="1925"/>
      <c r="D850" s="1924"/>
      <c r="E850" s="1925"/>
      <c r="F850" s="1940"/>
    </row>
    <row r="851" spans="1:6" x14ac:dyDescent="0.25">
      <c r="A851" s="1924"/>
      <c r="B851" s="1924"/>
      <c r="C851" s="1924"/>
      <c r="D851" s="1924"/>
      <c r="E851" s="1924"/>
      <c r="F851" s="1940"/>
    </row>
    <row r="852" spans="1:6" x14ac:dyDescent="0.25">
      <c r="A852" s="1924"/>
      <c r="B852" s="1924"/>
      <c r="C852" s="1925"/>
      <c r="D852" s="1924"/>
      <c r="E852" s="1925"/>
      <c r="F852" s="1940"/>
    </row>
    <row r="853" spans="1:6" x14ac:dyDescent="0.25">
      <c r="A853" s="1935"/>
      <c r="B853" s="1924"/>
      <c r="C853" s="1925"/>
      <c r="D853" s="1924"/>
      <c r="E853" s="1925"/>
      <c r="F853" s="1940"/>
    </row>
    <row r="854" spans="1:6" x14ac:dyDescent="0.25">
      <c r="A854" s="1924"/>
      <c r="B854" s="1924"/>
      <c r="C854" s="1925"/>
      <c r="D854" s="1924"/>
      <c r="E854" s="1925"/>
      <c r="F854" s="1940"/>
    </row>
    <row r="855" spans="1:6" x14ac:dyDescent="0.25">
      <c r="A855" s="1918"/>
      <c r="B855" s="1918"/>
      <c r="C855" s="1918"/>
      <c r="D855" s="1918"/>
      <c r="E855" s="1918"/>
      <c r="F855" s="1943"/>
    </row>
    <row r="856" spans="1:6" x14ac:dyDescent="0.25">
      <c r="A856" s="1926"/>
      <c r="B856" s="1924"/>
      <c r="C856" s="1925"/>
      <c r="D856" s="1925"/>
      <c r="E856" s="1925"/>
      <c r="F856" s="1940"/>
    </row>
    <row r="857" spans="1:6" x14ac:dyDescent="0.25">
      <c r="A857" s="1918"/>
      <c r="B857" s="1918"/>
      <c r="C857" s="1918"/>
      <c r="D857" s="1918"/>
      <c r="E857" s="1918"/>
      <c r="F857" s="1943"/>
    </row>
    <row r="858" spans="1:6" x14ac:dyDescent="0.25">
      <c r="A858" s="1926"/>
      <c r="B858" s="1924"/>
      <c r="C858" s="1925"/>
      <c r="D858" s="1925"/>
      <c r="E858" s="1925"/>
      <c r="F858" s="1940"/>
    </row>
    <row r="859" spans="1:6" x14ac:dyDescent="0.25">
      <c r="A859" s="1918"/>
      <c r="B859" s="1918"/>
      <c r="C859" s="1918"/>
      <c r="D859" s="1918"/>
      <c r="E859" s="1918"/>
      <c r="F859" s="1943"/>
    </row>
    <row r="860" spans="1:6" x14ac:dyDescent="0.25">
      <c r="A860" s="1918"/>
      <c r="B860" s="1918"/>
      <c r="C860" s="1918"/>
      <c r="D860" s="1918"/>
      <c r="E860" s="1918"/>
      <c r="F860" s="1943"/>
    </row>
    <row r="861" spans="1:6" x14ac:dyDescent="0.25">
      <c r="A861" s="1926"/>
      <c r="B861" s="1924"/>
      <c r="C861" s="1925"/>
      <c r="D861" s="1925"/>
      <c r="E861" s="1924"/>
      <c r="F861" s="1940"/>
    </row>
    <row r="862" spans="1:6" x14ac:dyDescent="0.25">
      <c r="A862" s="1926"/>
      <c r="B862" s="1924"/>
      <c r="C862" s="1925"/>
      <c r="D862" s="1925"/>
      <c r="E862" s="1925"/>
      <c r="F862" s="1940"/>
    </row>
    <row r="863" spans="1:6" x14ac:dyDescent="0.25">
      <c r="A863" s="1918"/>
      <c r="B863" s="1918"/>
      <c r="C863" s="1918"/>
      <c r="D863" s="1918"/>
      <c r="E863" s="1918"/>
      <c r="F863" s="1943"/>
    </row>
    <row r="864" spans="1:6" x14ac:dyDescent="0.25">
      <c r="A864" s="1924"/>
      <c r="B864" s="1924"/>
      <c r="C864" s="1925"/>
      <c r="D864" s="1925"/>
      <c r="E864" s="1925"/>
      <c r="F864" s="1939"/>
    </row>
    <row r="865" spans="1:6" x14ac:dyDescent="0.25">
      <c r="A865" s="1924"/>
      <c r="B865" s="1924"/>
      <c r="C865" s="1925"/>
      <c r="D865" s="1925"/>
      <c r="E865" s="1925"/>
      <c r="F865" s="1939"/>
    </row>
    <row r="866" spans="1:6" x14ac:dyDescent="0.25">
      <c r="A866" s="1924"/>
      <c r="B866" s="1924"/>
      <c r="C866" s="1925"/>
      <c r="D866" s="1925"/>
      <c r="E866" s="1924"/>
      <c r="F866" s="1940"/>
    </row>
    <row r="867" spans="1:6" x14ac:dyDescent="0.25">
      <c r="A867" s="1924"/>
      <c r="B867" s="1924"/>
      <c r="C867" s="1925"/>
      <c r="D867" s="1925"/>
      <c r="E867" s="1924"/>
      <c r="F867" s="1940"/>
    </row>
    <row r="868" spans="1:6" x14ac:dyDescent="0.25">
      <c r="A868" s="1924"/>
      <c r="B868" s="1924"/>
      <c r="C868" s="1925"/>
      <c r="D868" s="1925"/>
      <c r="E868" s="1925"/>
      <c r="F868" s="1939"/>
    </row>
    <row r="869" spans="1:6" x14ac:dyDescent="0.25">
      <c r="A869" s="1918"/>
      <c r="B869" s="1918"/>
      <c r="C869" s="1918"/>
      <c r="D869" s="1918"/>
      <c r="E869" s="1918"/>
      <c r="F869" s="1943"/>
    </row>
    <row r="870" spans="1:6" x14ac:dyDescent="0.25">
      <c r="A870" s="1926"/>
      <c r="B870" s="1924"/>
      <c r="C870" s="1925"/>
      <c r="D870" s="1925"/>
      <c r="E870" s="1924"/>
      <c r="F870" s="1940"/>
    </row>
    <row r="871" spans="1:6" x14ac:dyDescent="0.25">
      <c r="A871" s="1918"/>
      <c r="B871" s="1918"/>
      <c r="C871" s="1918"/>
      <c r="D871" s="1918"/>
      <c r="E871" s="1918"/>
      <c r="F871" s="1943"/>
    </row>
    <row r="872" spans="1:6" x14ac:dyDescent="0.25">
      <c r="A872" s="1924"/>
      <c r="B872" s="1924"/>
      <c r="C872" s="1924"/>
      <c r="D872" s="1925"/>
      <c r="E872" s="1925"/>
      <c r="F872" s="1940"/>
    </row>
    <row r="873" spans="1:6" x14ac:dyDescent="0.25">
      <c r="A873" s="1924"/>
      <c r="B873" s="1924"/>
      <c r="C873" s="1924"/>
      <c r="D873" s="1925"/>
      <c r="E873" s="1925"/>
      <c r="F873" s="1940"/>
    </row>
    <row r="874" spans="1:6" x14ac:dyDescent="0.25">
      <c r="A874" s="1918"/>
      <c r="B874" s="1918"/>
      <c r="C874" s="1919"/>
      <c r="D874" s="1918"/>
      <c r="E874" s="1919"/>
      <c r="F874" s="1943"/>
    </row>
    <row r="875" spans="1:6" x14ac:dyDescent="0.25">
      <c r="A875" s="1926"/>
      <c r="B875" s="1924"/>
      <c r="C875" s="1924"/>
      <c r="D875" s="1925"/>
      <c r="E875" s="1925"/>
      <c r="F875" s="1940"/>
    </row>
    <row r="876" spans="1:6" x14ac:dyDescent="0.25">
      <c r="A876" s="1918"/>
      <c r="B876" s="1918"/>
      <c r="C876" s="1919"/>
      <c r="D876" s="1918"/>
      <c r="E876" s="1919"/>
      <c r="F876" s="1943"/>
    </row>
    <row r="877" spans="1:6" x14ac:dyDescent="0.25">
      <c r="A877" s="1924"/>
      <c r="B877" s="1924"/>
      <c r="C877" s="1925"/>
      <c r="D877" s="1924"/>
      <c r="E877" s="1925"/>
      <c r="F877" s="1940"/>
    </row>
    <row r="878" spans="1:6" x14ac:dyDescent="0.25">
      <c r="A878" s="1924"/>
      <c r="B878" s="1924"/>
      <c r="C878" s="1925"/>
      <c r="D878" s="1925"/>
      <c r="E878" s="1925"/>
      <c r="F878" s="1940"/>
    </row>
    <row r="879" spans="1:6" x14ac:dyDescent="0.25">
      <c r="A879" s="1924"/>
      <c r="B879" s="1924"/>
      <c r="C879" s="1925"/>
      <c r="D879" s="1924"/>
      <c r="E879" s="1925"/>
      <c r="F879" s="1940"/>
    </row>
    <row r="880" spans="1:6" x14ac:dyDescent="0.25">
      <c r="A880" s="1918"/>
      <c r="B880" s="1918"/>
      <c r="C880" s="1918"/>
      <c r="D880" s="1918"/>
      <c r="E880" s="1918"/>
      <c r="F880" s="1943"/>
    </row>
    <row r="881" spans="1:6" x14ac:dyDescent="0.25">
      <c r="A881" s="1926"/>
      <c r="B881" s="1924"/>
      <c r="C881" s="1925"/>
      <c r="D881" s="1925"/>
      <c r="E881" s="1925"/>
      <c r="F881" s="1940"/>
    </row>
    <row r="882" spans="1:6" x14ac:dyDescent="0.25">
      <c r="A882" s="1918"/>
      <c r="B882" s="1918"/>
      <c r="C882" s="1918"/>
      <c r="D882" s="1918"/>
      <c r="E882" s="1918"/>
      <c r="F882" s="1943"/>
    </row>
    <row r="883" spans="1:6" x14ac:dyDescent="0.25">
      <c r="A883" s="1926"/>
      <c r="B883" s="1924"/>
      <c r="C883" s="1925"/>
      <c r="D883" s="1925"/>
      <c r="E883" s="1925"/>
      <c r="F883" s="1940"/>
    </row>
    <row r="884" spans="1:6" x14ac:dyDescent="0.25">
      <c r="A884" s="1920"/>
      <c r="B884" s="1918"/>
      <c r="C884" s="1919"/>
      <c r="D884" s="1919"/>
      <c r="E884" s="1918"/>
      <c r="F884" s="1943"/>
    </row>
    <row r="885" spans="1:6" x14ac:dyDescent="0.25">
      <c r="A885" s="1920"/>
      <c r="B885" s="1918"/>
      <c r="C885" s="1919"/>
      <c r="D885" s="1919"/>
      <c r="E885" s="1918"/>
      <c r="F885" s="1943"/>
    </row>
    <row r="886" spans="1:6" x14ac:dyDescent="0.25">
      <c r="A886" s="1926"/>
      <c r="B886" s="1924"/>
      <c r="C886" s="1925"/>
      <c r="D886" s="1925"/>
      <c r="E886" s="1924"/>
      <c r="F886" s="1940"/>
    </row>
    <row r="887" spans="1:6" x14ac:dyDescent="0.25">
      <c r="A887" s="1926"/>
      <c r="B887" s="1924"/>
      <c r="C887" s="1925"/>
      <c r="D887" s="1925"/>
      <c r="E887" s="1925"/>
      <c r="F887" s="1940"/>
    </row>
    <row r="888" spans="1:6" x14ac:dyDescent="0.25">
      <c r="A888" s="1918"/>
      <c r="B888" s="1918"/>
      <c r="C888" s="1919"/>
      <c r="D888" s="1919"/>
      <c r="E888" s="1919"/>
      <c r="F888" s="1944"/>
    </row>
    <row r="889" spans="1:6" x14ac:dyDescent="0.25">
      <c r="C889" s="1922"/>
      <c r="D889" s="1922"/>
      <c r="E889" s="1922"/>
      <c r="F889" s="1945"/>
    </row>
    <row r="890" spans="1:6" x14ac:dyDescent="0.25">
      <c r="C890" s="1922"/>
      <c r="D890" s="1922"/>
      <c r="E890" s="1922"/>
    </row>
    <row r="891" spans="1:6" x14ac:dyDescent="0.25">
      <c r="D891" s="1922"/>
      <c r="E891" s="1922"/>
    </row>
    <row r="894" spans="1:6" x14ac:dyDescent="0.25">
      <c r="C894" s="1922"/>
      <c r="D894" s="1922"/>
      <c r="E894" s="1922"/>
      <c r="F894" s="1945"/>
    </row>
    <row r="895" spans="1:6" x14ac:dyDescent="0.25">
      <c r="C895" s="1922"/>
      <c r="D895" s="1922"/>
    </row>
    <row r="901" spans="1:6" x14ac:dyDescent="0.25">
      <c r="C901" s="1922"/>
      <c r="D901" s="1922"/>
    </row>
    <row r="903" spans="1:6" x14ac:dyDescent="0.25">
      <c r="C903" s="1922"/>
      <c r="D903" s="1922"/>
    </row>
    <row r="904" spans="1:6" x14ac:dyDescent="0.25">
      <c r="C904" s="1922"/>
      <c r="D904" s="1922"/>
      <c r="E904" s="1922"/>
      <c r="F904" s="1945"/>
    </row>
    <row r="906" spans="1:6" x14ac:dyDescent="0.25">
      <c r="A906" s="1923"/>
      <c r="C906" s="1922"/>
      <c r="D906" s="1922"/>
    </row>
    <row r="908" spans="1:6" x14ac:dyDescent="0.25">
      <c r="A908" s="1930"/>
      <c r="D908" s="1922"/>
      <c r="E908" s="1922"/>
    </row>
    <row r="909" spans="1:6" x14ac:dyDescent="0.25">
      <c r="A909" s="1930"/>
      <c r="D909" s="1922"/>
      <c r="E909" s="1922"/>
    </row>
    <row r="910" spans="1:6" x14ac:dyDescent="0.25">
      <c r="A910" s="1930"/>
    </row>
    <row r="911" spans="1:6" x14ac:dyDescent="0.25">
      <c r="A911" s="1937"/>
      <c r="E911" s="1938"/>
    </row>
    <row r="912" spans="1:6" x14ac:dyDescent="0.25">
      <c r="A912" s="1930"/>
      <c r="D912" s="1922"/>
      <c r="E912" s="1922"/>
    </row>
    <row r="913" spans="1:5" x14ac:dyDescent="0.25">
      <c r="A913" s="1930"/>
      <c r="D913" s="1922"/>
      <c r="E913" s="1922"/>
    </row>
    <row r="915" spans="1:5" x14ac:dyDescent="0.25">
      <c r="A915" s="1923"/>
      <c r="D915" s="1922"/>
      <c r="E915" s="1922"/>
    </row>
    <row r="917" spans="1:5" x14ac:dyDescent="0.25">
      <c r="C917" s="1922"/>
      <c r="E917" s="1922"/>
    </row>
    <row r="921" spans="1:5" x14ac:dyDescent="0.25">
      <c r="C921" s="1922"/>
      <c r="E921" s="1922"/>
    </row>
    <row r="922" spans="1:5" x14ac:dyDescent="0.25">
      <c r="C922" s="1922"/>
      <c r="E922" s="1922"/>
    </row>
    <row r="923" spans="1:5" x14ac:dyDescent="0.25">
      <c r="C923" s="1922"/>
      <c r="E923" s="1922"/>
    </row>
    <row r="924" spans="1:5" x14ac:dyDescent="0.25">
      <c r="C924" s="1922"/>
      <c r="E924" s="1922"/>
    </row>
    <row r="925" spans="1:5" x14ac:dyDescent="0.25">
      <c r="C925" s="1922"/>
      <c r="D925" s="1922"/>
      <c r="E925" s="1922"/>
    </row>
    <row r="926" spans="1:5" x14ac:dyDescent="0.25">
      <c r="C926" s="1922"/>
      <c r="E926" s="1922"/>
    </row>
    <row r="927" spans="1:5" x14ac:dyDescent="0.25">
      <c r="C927" s="1922"/>
    </row>
    <row r="928" spans="1:5" x14ac:dyDescent="0.25">
      <c r="C928" s="1922"/>
      <c r="E928" s="1922"/>
    </row>
    <row r="929" spans="1:5" x14ac:dyDescent="0.25">
      <c r="C929" s="1922"/>
      <c r="E929" s="1922"/>
    </row>
    <row r="931" spans="1:5" x14ac:dyDescent="0.25">
      <c r="A931" s="1923"/>
      <c r="C931" s="1922"/>
      <c r="D931" s="1922"/>
      <c r="E931" s="1922"/>
    </row>
    <row r="933" spans="1:5" x14ac:dyDescent="0.25">
      <c r="A933" s="1923"/>
      <c r="C933" s="1922"/>
      <c r="D933" s="1922"/>
      <c r="E933" s="1922"/>
    </row>
    <row r="936" spans="1:5" x14ac:dyDescent="0.25">
      <c r="A936" s="1923"/>
      <c r="C936" s="1922"/>
      <c r="D936" s="1922"/>
    </row>
    <row r="937" spans="1:5" x14ac:dyDescent="0.25">
      <c r="A937" s="1923"/>
      <c r="C937" s="1922"/>
      <c r="D937" s="1922"/>
      <c r="E937" s="1922"/>
    </row>
  </sheetData>
  <conditionalFormatting sqref="A1:A1048576">
    <cfRule type="containsText" dxfId="0" priority="1" operator="containsText" text=" 5">
      <formula>NOT(ISERROR(SEARCH(" 5",A1)))</formula>
    </cfRule>
  </conditionalFormatting>
  <pageMargins left="0.2" right="0.2"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B5"/>
  <sheetViews>
    <sheetView workbookViewId="0">
      <selection activeCell="A461" sqref="A461"/>
    </sheetView>
  </sheetViews>
  <sheetFormatPr defaultRowHeight="12.75" x14ac:dyDescent="0.2"/>
  <cols>
    <col min="1" max="1" width="47.28515625" bestFit="1" customWidth="1"/>
    <col min="2" max="2" width="10.42578125" bestFit="1" customWidth="1"/>
  </cols>
  <sheetData>
    <row r="1" spans="1:2" ht="33" customHeight="1" x14ac:dyDescent="0.2">
      <c r="A1" s="1931" t="s">
        <v>2076</v>
      </c>
      <c r="B1" s="1932" t="s">
        <v>2074</v>
      </c>
    </row>
    <row r="2" spans="1:2" s="1934" customFormat="1" x14ac:dyDescent="0.2">
      <c r="A2" s="1933"/>
      <c r="B2" s="1933"/>
    </row>
    <row r="3" spans="1:2" ht="33" customHeight="1" x14ac:dyDescent="0.2">
      <c r="A3" s="1936" t="s">
        <v>2077</v>
      </c>
      <c r="B3" s="1932" t="s">
        <v>2075</v>
      </c>
    </row>
    <row r="5" spans="1:2" ht="25.5" x14ac:dyDescent="0.2">
      <c r="A5" s="1936" t="s">
        <v>2078</v>
      </c>
      <c r="B5" s="1932" t="s">
        <v>2079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view="pageLayout" colorId="8" zoomScaleNormal="100" workbookViewId="0">
      <selection activeCell="C4" sqref="C4:K4"/>
    </sheetView>
  </sheetViews>
  <sheetFormatPr defaultColWidth="9.140625" defaultRowHeight="12.75" x14ac:dyDescent="0.2"/>
  <cols>
    <col min="1" max="1" width="47.28515625" style="498" customWidth="1"/>
    <col min="2" max="2" width="4.5703125" style="499" customWidth="1"/>
    <col min="3" max="14" width="13.7109375" style="457" customWidth="1"/>
    <col min="15" max="16384" width="9.140625" style="457"/>
  </cols>
  <sheetData>
    <row r="1" spans="1:14" x14ac:dyDescent="0.2">
      <c r="A1" s="2167"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68"/>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69" t="s">
        <v>973</v>
      </c>
      <c r="B3" s="2170"/>
      <c r="C3" s="1542"/>
      <c r="D3" s="1543"/>
      <c r="E3" s="1543"/>
      <c r="F3" s="1543"/>
      <c r="G3" s="1543"/>
      <c r="H3" s="1543"/>
      <c r="I3" s="1543"/>
      <c r="J3" s="1543"/>
      <c r="K3" s="1543"/>
      <c r="L3" s="1543"/>
      <c r="M3" s="1544"/>
      <c r="N3" s="1545"/>
    </row>
    <row r="4" spans="1:14" ht="13.5" customHeight="1" x14ac:dyDescent="0.2">
      <c r="A4" s="463" t="s">
        <v>1651</v>
      </c>
      <c r="B4" s="464"/>
      <c r="C4" s="465">
        <f ca="1">ROUND(SUMIF(INDIRECT(Formulas!$B$1),MID(C$1,2,2)&amp;"-11*",INDIRECT(Formulas!$B$5)),0)</f>
        <v>1761762</v>
      </c>
      <c r="D4" s="465">
        <f ca="1">ROUND(SUMIF(INDIRECT(Formulas!$B$1),MID(D$1,2,2)&amp;"-11*",INDIRECT(Formulas!$B$5)),0)</f>
        <v>611534</v>
      </c>
      <c r="E4" s="465">
        <f ca="1">ROUND(SUMIF(INDIRECT(Formulas!$B$1),MID(E$1,2,2)&amp;"-11*",INDIRECT(Formulas!$B$5)),0)</f>
        <v>0</v>
      </c>
      <c r="F4" s="465">
        <f ca="1">ROUND(SUMIF(INDIRECT(Formulas!$B$1),MID(F$1,2,2)&amp;"-11*",INDIRECT(Formulas!$B$5)),0)</f>
        <v>329172</v>
      </c>
      <c r="G4" s="465"/>
      <c r="H4" s="465">
        <f ca="1">ROUND(SUMIF(INDIRECT(Formulas!$B$1),MID(H$1,2,2)&amp;"-11*",INDIRECT(Formulas!$B$5)),0)</f>
        <v>148455</v>
      </c>
      <c r="I4" s="465">
        <f ca="1">ROUND(SUMIF(INDIRECT(Formulas!$B$1),MID(I$1,2,2)&amp;"-11*",INDIRECT(Formulas!$B$5)),0)</f>
        <v>100051</v>
      </c>
      <c r="J4" s="465">
        <f ca="1">ROUND(SUMIF(INDIRECT(Formulas!$B$1),MID(J$1,2,2)&amp;"-11*",INDIRECT(Formulas!$B$5)),0)</f>
        <v>102466</v>
      </c>
      <c r="K4" s="465">
        <f ca="1">ROUND(SUMIF(INDIRECT(Formulas!$B$1),MID(K$1,2,2)&amp;"-11*",INDIRECT(Formulas!$B$5)),0)</f>
        <v>0</v>
      </c>
      <c r="L4" s="466">
        <v>16283</v>
      </c>
      <c r="M4" s="468"/>
      <c r="N4" s="469"/>
    </row>
    <row r="5" spans="1:14" x14ac:dyDescent="0.2">
      <c r="A5" s="463" t="s">
        <v>992</v>
      </c>
      <c r="B5" s="470">
        <v>120</v>
      </c>
      <c r="C5" s="465">
        <f ca="1">ROUND(SUMIF(INDIRECT(Formulas!$B$1),MID(C$1,2,2)&amp;"-"&amp;LEFT($B5,2)&amp;"*",INDIRECT(Formulas!$B$5)),0)</f>
        <v>470129</v>
      </c>
      <c r="D5" s="465">
        <f ca="1">ROUND(SUMIF(INDIRECT(Formulas!$B$1),MID(D$1,2,2)&amp;"-"&amp;LEFT($B5,2)&amp;"*",INDIRECT(Formulas!$B$5)),0)</f>
        <v>0</v>
      </c>
      <c r="E5" s="465">
        <f ca="1">ROUND(SUMIF(INDIRECT(Formulas!$B$1),MID(E$1,2,2)&amp;"-"&amp;LEFT($B5,2)&amp;"*",INDIRECT(Formulas!$B$5)),0)</f>
        <v>0</v>
      </c>
      <c r="F5" s="465">
        <f ca="1">ROUND(SUMIF(INDIRECT(Formulas!$B$1),MID(F$1,2,2)&amp;"-"&amp;LEFT($B5,2)&amp;"*",INDIRECT(Formulas!$B$5)),0)</f>
        <v>257739</v>
      </c>
      <c r="G5" s="465">
        <f ca="1">ROUND(SUMIF(INDIRECT(Formulas!$B$1),MID(G$1,2,2)&amp;"-"&amp;LEFT($B5,2)&amp;"*",INDIRECT(Formulas!$B$5)),0)</f>
        <v>102107</v>
      </c>
      <c r="H5" s="465">
        <f ca="1">ROUND(SUMIF(INDIRECT(Formulas!$B$1),MID(H$1,2,2)&amp;"-"&amp;LEFT($B5,2)&amp;"*",INDIRECT(Formulas!$B$5)),0)</f>
        <v>0</v>
      </c>
      <c r="I5" s="465">
        <f ca="1">ROUND(SUMIF(INDIRECT(Formulas!$B$1),MID(I$1,2,2)&amp;"-"&amp;LEFT($B5,2)&amp;"*",INDIRECT(Formulas!$B$5)),0)</f>
        <v>41266</v>
      </c>
      <c r="J5" s="465">
        <f ca="1">ROUND(SUMIF(INDIRECT(Formulas!$B$1),MID(J$1,2,2)&amp;"-"&amp;LEFT($B5,2)&amp;"*",INDIRECT(Formulas!$B$5)),0)</f>
        <v>0</v>
      </c>
      <c r="K5" s="465">
        <f ca="1">ROUND(SUMIF(INDIRECT(Formulas!$B$1),MID(K$1,2,2)&amp;"-"&amp;LEFT($B5,2)&amp;"*",INDIRECT(Formulas!$B$5)),0)</f>
        <v>0</v>
      </c>
      <c r="L5" s="472"/>
      <c r="M5" s="468"/>
      <c r="N5" s="469"/>
    </row>
    <row r="6" spans="1:14" ht="13.5" customHeight="1" x14ac:dyDescent="0.2">
      <c r="A6" s="473" t="s">
        <v>417</v>
      </c>
      <c r="B6" s="470">
        <v>130</v>
      </c>
      <c r="C6" s="465">
        <f ca="1">ROUND(SUMIF(INDIRECT(Formulas!$B$1),MID(C$1,2,2)&amp;"-"&amp;LEFT($B6,2)&amp;"*",INDIRECT(Formulas!$B$5)),0)</f>
        <v>0</v>
      </c>
      <c r="D6" s="465">
        <f ca="1">ROUND(SUMIF(INDIRECT(Formulas!$B$1),MID(D$1,2,2)&amp;"-"&amp;LEFT($B6,2)&amp;"*",INDIRECT(Formulas!$B$5)),0)</f>
        <v>0</v>
      </c>
      <c r="E6" s="465">
        <f ca="1">ROUND(SUMIF(INDIRECT(Formulas!$B$1),MID(E$1,2,2)&amp;"-"&amp;LEFT($B6,2)&amp;"*",INDIRECT(Formulas!$B$5)),0)</f>
        <v>0</v>
      </c>
      <c r="F6" s="465">
        <f ca="1">ROUND(SUMIF(INDIRECT(Formulas!$B$1),MID(F$1,2,2)&amp;"-"&amp;LEFT($B6,2)&amp;"*",INDIRECT(Formulas!$B$5)),0)</f>
        <v>0</v>
      </c>
      <c r="G6" s="465">
        <f ca="1">ROUND(SUMIF(INDIRECT(Formulas!$B$1),MID(G$1,2,2)&amp;"-"&amp;LEFT($B6,2)&amp;"*",INDIRECT(Formulas!$B$5)),0)</f>
        <v>0</v>
      </c>
      <c r="H6" s="465">
        <f ca="1">ROUND(SUMIF(INDIRECT(Formulas!$B$1),MID(H$1,2,2)&amp;"-"&amp;LEFT($B6,2)&amp;"*",INDIRECT(Formulas!$B$5)),0)</f>
        <v>0</v>
      </c>
      <c r="I6" s="465">
        <f ca="1">ROUND(SUMIF(INDIRECT(Formulas!$B$1),MID(I$1,2,2)&amp;"-"&amp;LEFT($B6,2)&amp;"*",INDIRECT(Formulas!$B$5)),0)</f>
        <v>0</v>
      </c>
      <c r="J6" s="465">
        <f ca="1">ROUND(SUMIF(INDIRECT(Formulas!$B$1),MID(J$1,2,2)&amp;"-"&amp;LEFT($B6,2)&amp;"*",INDIRECT(Formulas!$B$5)),0)</f>
        <v>0</v>
      </c>
      <c r="K6" s="465">
        <f ca="1">ROUND(SUMIF(INDIRECT(Formulas!$B$1),MID(K$1,2,2)&amp;"-"&amp;LEFT($B6,2)&amp;"*",INDIRECT(Formulas!$B$5)),0)</f>
        <v>0</v>
      </c>
      <c r="L6" s="475"/>
      <c r="M6" s="468"/>
      <c r="N6" s="469"/>
    </row>
    <row r="7" spans="1:14" ht="13.5" customHeight="1" x14ac:dyDescent="0.2">
      <c r="A7" s="473" t="s">
        <v>418</v>
      </c>
      <c r="B7" s="470">
        <v>140</v>
      </c>
      <c r="C7" s="465">
        <f ca="1">ROUND(SUMIF(INDIRECT(Formulas!$B$1),MID(C$1,2,2)&amp;"-"&amp;LEFT($B7,2)&amp;"*",INDIRECT(Formulas!$B$5)),0)</f>
        <v>0</v>
      </c>
      <c r="D7" s="465">
        <f ca="1">ROUND(SUMIF(INDIRECT(Formulas!$B$1),MID(D$1,2,2)&amp;"-"&amp;LEFT($B7,2)&amp;"*",INDIRECT(Formulas!$B$5)),0)</f>
        <v>0</v>
      </c>
      <c r="E7" s="465">
        <f ca="1">ROUND(SUMIF(INDIRECT(Formulas!$B$1),MID(E$1,2,2)&amp;"-"&amp;LEFT($B7,2)&amp;"*",INDIRECT(Formulas!$B$5)),0)</f>
        <v>0</v>
      </c>
      <c r="F7" s="465">
        <f ca="1">ROUND(SUMIF(INDIRECT(Formulas!$B$1),MID(F$1,2,2)&amp;"-"&amp;LEFT($B7,2)&amp;"*",INDIRECT(Formulas!$B$5)),0)</f>
        <v>0</v>
      </c>
      <c r="G7" s="465">
        <f ca="1">ROUND(SUMIF(INDIRECT(Formulas!$B$1),MID(G$1,2,2)&amp;"-"&amp;LEFT($B7,2)&amp;"*",INDIRECT(Formulas!$B$5)),0)</f>
        <v>0</v>
      </c>
      <c r="H7" s="465">
        <f ca="1">ROUND(SUMIF(INDIRECT(Formulas!$B$1),MID(H$1,2,2)&amp;"-"&amp;LEFT($B7,2)&amp;"*",INDIRECT(Formulas!$B$5)),0)</f>
        <v>0</v>
      </c>
      <c r="I7" s="465">
        <f ca="1">ROUND(SUMIF(INDIRECT(Formulas!$B$1),MID(I$1,2,2)&amp;"-"&amp;LEFT($B7,2)&amp;"*",INDIRECT(Formulas!$B$5)),0)</f>
        <v>0</v>
      </c>
      <c r="J7" s="465">
        <f ca="1">ROUND(SUMIF(INDIRECT(Formulas!$B$1),MID(J$1,2,2)&amp;"-"&amp;LEFT($B7,2)&amp;"*",INDIRECT(Formulas!$B$5)),0)</f>
        <v>0</v>
      </c>
      <c r="K7" s="465">
        <f ca="1">ROUND(SUMIF(INDIRECT(Formulas!$B$1),MID(K$1,2,2)&amp;"-"&amp;LEFT($B7,2)&amp;"*",INDIRECT(Formulas!$B$5)),0)</f>
        <v>0</v>
      </c>
      <c r="L7" s="476"/>
      <c r="M7" s="468"/>
      <c r="N7" s="469"/>
    </row>
    <row r="8" spans="1:14" ht="13.5" customHeight="1" x14ac:dyDescent="0.2">
      <c r="A8" s="473" t="s">
        <v>269</v>
      </c>
      <c r="B8" s="470">
        <v>150</v>
      </c>
      <c r="C8" s="465">
        <f ca="1">ROUND(SUMIF(INDIRECT(Formulas!$B$1),MID(C$1,2,2)&amp;"-"&amp;LEFT($B8,2)&amp;"*",INDIRECT(Formulas!$B$5)),0)</f>
        <v>0</v>
      </c>
      <c r="D8" s="465">
        <f ca="1">ROUND(SUMIF(INDIRECT(Formulas!$B$1),MID(D$1,2,2)&amp;"-"&amp;LEFT($B8,2)&amp;"*",INDIRECT(Formulas!$B$5)),0)</f>
        <v>0</v>
      </c>
      <c r="E8" s="465">
        <f ca="1">ROUND(SUMIF(INDIRECT(Formulas!$B$1),MID(E$1,2,2)&amp;"-"&amp;LEFT($B8,2)&amp;"*",INDIRECT(Formulas!$B$5)),0)</f>
        <v>0</v>
      </c>
      <c r="F8" s="465">
        <f ca="1">ROUND(SUMIF(INDIRECT(Formulas!$B$1),MID(F$1,2,2)&amp;"-"&amp;LEFT($B8,2)&amp;"*",INDIRECT(Formulas!$B$5)),0)</f>
        <v>0</v>
      </c>
      <c r="G8" s="465">
        <f ca="1">ROUND(SUMIF(INDIRECT(Formulas!$B$1),MID(G$1,2,2)&amp;"-"&amp;LEFT($B8,2)&amp;"*",INDIRECT(Formulas!$B$5)),0)</f>
        <v>0</v>
      </c>
      <c r="H8" s="465">
        <f ca="1">ROUND(SUMIF(INDIRECT(Formulas!$B$1),MID(H$1,2,2)&amp;"-"&amp;LEFT($B8,2)&amp;"*",INDIRECT(Formulas!$B$5)),0)</f>
        <v>0</v>
      </c>
      <c r="I8" s="465">
        <f ca="1">ROUND(SUMIF(INDIRECT(Formulas!$B$1),MID(I$1,2,2)&amp;"-"&amp;LEFT($B8,2)&amp;"*",INDIRECT(Formulas!$B$5)),0)</f>
        <v>0</v>
      </c>
      <c r="J8" s="465">
        <f ca="1">ROUND(SUMIF(INDIRECT(Formulas!$B$1),MID(J$1,2,2)&amp;"-"&amp;LEFT($B8,2)&amp;"*",INDIRECT(Formulas!$B$5)),0)</f>
        <v>0</v>
      </c>
      <c r="K8" s="465">
        <f ca="1">ROUND(SUMIF(INDIRECT(Formulas!$B$1),MID(K$1,2,2)&amp;"-"&amp;LEFT($B8,2)&amp;"*",INDIRECT(Formulas!$B$5)),0)</f>
        <v>0</v>
      </c>
      <c r="L8" s="479"/>
      <c r="M8" s="468"/>
      <c r="N8" s="469"/>
    </row>
    <row r="9" spans="1:14" ht="13.5" customHeight="1" x14ac:dyDescent="0.2">
      <c r="A9" s="473" t="s">
        <v>270</v>
      </c>
      <c r="B9" s="470">
        <v>160</v>
      </c>
      <c r="C9" s="465">
        <f ca="1">ROUND(SUMIF(INDIRECT(Formulas!$B$1),MID(C$1,2,2)&amp;"-"&amp;LEFT($B9,2)&amp;"*",INDIRECT(Formulas!$B$5)),0)</f>
        <v>0</v>
      </c>
      <c r="D9" s="465">
        <f ca="1">ROUND(SUMIF(INDIRECT(Formulas!$B$1),MID(D$1,2,2)&amp;"-"&amp;LEFT($B9,2)&amp;"*",INDIRECT(Formulas!$B$5)),0)</f>
        <v>0</v>
      </c>
      <c r="E9" s="465">
        <f ca="1">ROUND(SUMIF(INDIRECT(Formulas!$B$1),MID(E$1,2,2)&amp;"-"&amp;LEFT($B9,2)&amp;"*",INDIRECT(Formulas!$B$5)),0)</f>
        <v>0</v>
      </c>
      <c r="F9" s="465">
        <f ca="1">ROUND(SUMIF(INDIRECT(Formulas!$B$1),MID(F$1,2,2)&amp;"-"&amp;LEFT($B9,2)&amp;"*",INDIRECT(Formulas!$B$5)),0)</f>
        <v>0</v>
      </c>
      <c r="G9" s="465">
        <f ca="1">ROUND(SUMIF(INDIRECT(Formulas!$B$1),MID(G$1,2,2)&amp;"-"&amp;LEFT($B9,2)&amp;"*",INDIRECT(Formulas!$B$5)),0)</f>
        <v>0</v>
      </c>
      <c r="H9" s="465">
        <f ca="1">ROUND(SUMIF(INDIRECT(Formulas!$B$1),MID(H$1,2,2)&amp;"-"&amp;LEFT($B9,2)&amp;"*",INDIRECT(Formulas!$B$5)),0)</f>
        <v>0</v>
      </c>
      <c r="I9" s="465">
        <f ca="1">ROUND(SUMIF(INDIRECT(Formulas!$B$1),MID(I$1,2,2)&amp;"-"&amp;LEFT($B9,2)&amp;"*",INDIRECT(Formulas!$B$5)),0)</f>
        <v>0</v>
      </c>
      <c r="J9" s="465">
        <f ca="1">ROUND(SUMIF(INDIRECT(Formulas!$B$1),MID(J$1,2,2)&amp;"-"&amp;LEFT($B9,2)&amp;"*",INDIRECT(Formulas!$B$5)),0)</f>
        <v>0</v>
      </c>
      <c r="K9" s="465">
        <f ca="1">ROUND(SUMIF(INDIRECT(Formulas!$B$1),MID(K$1,2,2)&amp;"-"&amp;LEFT($B9,2)&amp;"*",INDIRECT(Formulas!$B$5)),0)</f>
        <v>0</v>
      </c>
      <c r="L9" s="467"/>
      <c r="M9" s="468"/>
      <c r="N9" s="469"/>
    </row>
    <row r="10" spans="1:14" ht="13.5" customHeight="1" x14ac:dyDescent="0.2">
      <c r="A10" s="473" t="s">
        <v>991</v>
      </c>
      <c r="B10" s="470">
        <v>170</v>
      </c>
      <c r="C10" s="465">
        <f ca="1">ROUND(SUMIF(INDIRECT(Formulas!$B$1),MID(C$1,2,2)&amp;"-"&amp;LEFT($B10,2)&amp;"*",INDIRECT(Formulas!$B$5)),0)</f>
        <v>0</v>
      </c>
      <c r="D10" s="465">
        <f ca="1">ROUND(SUMIF(INDIRECT(Formulas!$B$1),MID(D$1,2,2)&amp;"-"&amp;LEFT($B10,2)&amp;"*",INDIRECT(Formulas!$B$5)),0)</f>
        <v>0</v>
      </c>
      <c r="E10" s="465">
        <f ca="1">ROUND(SUMIF(INDIRECT(Formulas!$B$1),MID(E$1,2,2)&amp;"-"&amp;LEFT($B10,2)&amp;"*",INDIRECT(Formulas!$B$5)),0)</f>
        <v>0</v>
      </c>
      <c r="F10" s="465">
        <f ca="1">ROUND(SUMIF(INDIRECT(Formulas!$B$1),MID(F$1,2,2)&amp;"-"&amp;LEFT($B10,2)&amp;"*",INDIRECT(Formulas!$B$5)),0)</f>
        <v>0</v>
      </c>
      <c r="G10" s="465">
        <f ca="1">ROUND(SUMIF(INDIRECT(Formulas!$B$1),MID(G$1,2,2)&amp;"-"&amp;LEFT($B10,2)&amp;"*",INDIRECT(Formulas!$B$5)),0)</f>
        <v>0</v>
      </c>
      <c r="H10" s="465">
        <f ca="1">ROUND(SUMIF(INDIRECT(Formulas!$B$1),MID(H$1,2,2)&amp;"-"&amp;LEFT($B10,2)&amp;"*",INDIRECT(Formulas!$B$5)),0)</f>
        <v>0</v>
      </c>
      <c r="I10" s="465">
        <f ca="1">ROUND(SUMIF(INDIRECT(Formulas!$B$1),MID(I$1,2,2)&amp;"-"&amp;LEFT($B10,2)&amp;"*",INDIRECT(Formulas!$B$5)),0)</f>
        <v>0</v>
      </c>
      <c r="J10" s="465">
        <f ca="1">ROUND(SUMIF(INDIRECT(Formulas!$B$1),MID(J$1,2,2)&amp;"-"&amp;LEFT($B10,2)&amp;"*",INDIRECT(Formulas!$B$5)),0)</f>
        <v>0</v>
      </c>
      <c r="K10" s="465">
        <f ca="1">ROUND(SUMIF(INDIRECT(Formulas!$B$1),MID(K$1,2,2)&amp;"-"&amp;LEFT($B10,2)&amp;"*",INDIRECT(Formulas!$B$5)),0)</f>
        <v>0</v>
      </c>
      <c r="L10" s="480"/>
      <c r="M10" s="469"/>
      <c r="N10" s="469"/>
    </row>
    <row r="11" spans="1:14" ht="13.5" customHeight="1" x14ac:dyDescent="0.2">
      <c r="A11" s="473" t="s">
        <v>271</v>
      </c>
      <c r="B11" s="470">
        <v>180</v>
      </c>
      <c r="C11" s="465">
        <f ca="1">ROUND(SUMIF(INDIRECT(Formulas!$B$1),MID(C$1,2,2)&amp;"-"&amp;LEFT($B11,2)&amp;"*",INDIRECT(Formulas!$B$5)),0)</f>
        <v>0</v>
      </c>
      <c r="D11" s="465">
        <f ca="1">ROUND(SUMIF(INDIRECT(Formulas!$B$1),MID(D$1,2,2)&amp;"-"&amp;LEFT($B11,2)&amp;"*",INDIRECT(Formulas!$B$5)),0)</f>
        <v>0</v>
      </c>
      <c r="E11" s="465">
        <f ca="1">ROUND(SUMIF(INDIRECT(Formulas!$B$1),MID(E$1,2,2)&amp;"-"&amp;LEFT($B11,2)&amp;"*",INDIRECT(Formulas!$B$5)),0)</f>
        <v>0</v>
      </c>
      <c r="F11" s="465">
        <f ca="1">ROUND(SUMIF(INDIRECT(Formulas!$B$1),MID(F$1,2,2)&amp;"-"&amp;LEFT($B11,2)&amp;"*",INDIRECT(Formulas!$B$5)),0)</f>
        <v>0</v>
      </c>
      <c r="G11" s="465">
        <f ca="1">ROUND(SUMIF(INDIRECT(Formulas!$B$1),MID(G$1,2,2)&amp;"-"&amp;LEFT($B11,2)&amp;"*",INDIRECT(Formulas!$B$5)),0)</f>
        <v>0</v>
      </c>
      <c r="H11" s="465">
        <f ca="1">ROUND(SUMIF(INDIRECT(Formulas!$B$1),MID(H$1,2,2)&amp;"-"&amp;LEFT($B11,2)&amp;"*",INDIRECT(Formulas!$B$5)),0)</f>
        <v>0</v>
      </c>
      <c r="I11" s="465">
        <f ca="1">ROUND(SUMIF(INDIRECT(Formulas!$B$1),MID(I$1,2,2)&amp;"-"&amp;LEFT($B11,2)&amp;"*",INDIRECT(Formulas!$B$5)),0)</f>
        <v>0</v>
      </c>
      <c r="J11" s="465">
        <f ca="1">ROUND(SUMIF(INDIRECT(Formulas!$B$1),MID(J$1,2,2)&amp;"-"&amp;LEFT($B11,2)&amp;"*",INDIRECT(Formulas!$B$5)),0)</f>
        <v>2028</v>
      </c>
      <c r="K11" s="465">
        <f ca="1">ROUND(SUMIF(INDIRECT(Formulas!$B$1),MID(K$1,2,2)&amp;"-"&amp;LEFT($B11,2)&amp;"*",INDIRECT(Formulas!$B$5)),0)</f>
        <v>0</v>
      </c>
      <c r="L11" s="467"/>
      <c r="M11" s="469"/>
      <c r="N11" s="469"/>
    </row>
    <row r="12" spans="1:14" ht="13.5" customHeight="1" x14ac:dyDescent="0.2">
      <c r="A12" s="473" t="s">
        <v>419</v>
      </c>
      <c r="B12" s="470">
        <v>190</v>
      </c>
      <c r="C12" s="465">
        <f ca="1">ROUND(SUMIF(INDIRECT(Formulas!$B$1),MID(C$1,2,2)&amp;"-"&amp;LEFT($B12,2)&amp;"*",INDIRECT(Formulas!$B$5)),0)</f>
        <v>0</v>
      </c>
      <c r="D12" s="465">
        <f ca="1">ROUND(SUMIF(INDIRECT(Formulas!$B$1),MID(D$1,2,2)&amp;"-"&amp;LEFT($B12,2)&amp;"*",INDIRECT(Formulas!$B$5)),0)</f>
        <v>0</v>
      </c>
      <c r="E12" s="465">
        <f ca="1">ROUND(SUMIF(INDIRECT(Formulas!$B$1),MID(E$1,2,2)&amp;"-"&amp;LEFT($B12,2)&amp;"*",INDIRECT(Formulas!$B$5)),0)</f>
        <v>0</v>
      </c>
      <c r="F12" s="465">
        <f ca="1">ROUND(SUMIF(INDIRECT(Formulas!$B$1),MID(F$1,2,2)&amp;"-"&amp;LEFT($B12,2)&amp;"*",INDIRECT(Formulas!$B$5)),0)</f>
        <v>0</v>
      </c>
      <c r="G12" s="465">
        <f ca="1">ROUND(SUMIF(INDIRECT(Formulas!$B$1),MID(G$1,2,2)&amp;"-"&amp;LEFT($B12,2)&amp;"*",INDIRECT(Formulas!$B$5)),0)</f>
        <v>0</v>
      </c>
      <c r="H12" s="465">
        <f ca="1">ROUND(SUMIF(INDIRECT(Formulas!$B$1),MID(H$1,2,2)&amp;"-"&amp;LEFT($B12,2)&amp;"*",INDIRECT(Formulas!$B$5)),0)</f>
        <v>0</v>
      </c>
      <c r="I12" s="465">
        <f ca="1">ROUND(SUMIF(INDIRECT(Formulas!$B$1),MID(I$1,2,2)&amp;"-"&amp;LEFT($B12,2)&amp;"*",INDIRECT(Formulas!$B$5)),0)</f>
        <v>0</v>
      </c>
      <c r="J12" s="465">
        <f ca="1">ROUND(SUMIF(INDIRECT(Formulas!$B$1),MID(J$1,2,2)&amp;"-"&amp;LEFT($B12,2)&amp;"*",INDIRECT(Formulas!$B$5)),0)</f>
        <v>0</v>
      </c>
      <c r="K12" s="465">
        <f ca="1">ROUND(SUMIF(INDIRECT(Formulas!$B$1),MID(K$1,2,2)&amp;"-"&amp;LEFT($B12,2)&amp;"*",INDIRECT(Formulas!$B$5)),0)</f>
        <v>0</v>
      </c>
      <c r="L12" s="466"/>
      <c r="M12" s="469"/>
      <c r="N12" s="469"/>
    </row>
    <row r="13" spans="1:14" ht="13.5" customHeight="1" thickBot="1" x14ac:dyDescent="0.25">
      <c r="A13" s="1719" t="s">
        <v>644</v>
      </c>
      <c r="B13" s="1692"/>
      <c r="C13" s="1720">
        <f ca="1">SUM(C4:C12)</f>
        <v>2231891</v>
      </c>
      <c r="D13" s="1720">
        <f t="shared" ref="D13:L13" ca="1" si="0">SUM(D4:D12)</f>
        <v>611534</v>
      </c>
      <c r="E13" s="1720">
        <f t="shared" ca="1" si="0"/>
        <v>0</v>
      </c>
      <c r="F13" s="1720">
        <f t="shared" ca="1" si="0"/>
        <v>586911</v>
      </c>
      <c r="G13" s="1720">
        <f t="shared" ca="1" si="0"/>
        <v>102107</v>
      </c>
      <c r="H13" s="1720">
        <f t="shared" ca="1" si="0"/>
        <v>148455</v>
      </c>
      <c r="I13" s="1720">
        <f t="shared" ca="1" si="0"/>
        <v>141317</v>
      </c>
      <c r="J13" s="1720">
        <f t="shared" ca="1" si="0"/>
        <v>104494</v>
      </c>
      <c r="K13" s="1720">
        <f t="shared" ca="1" si="0"/>
        <v>0</v>
      </c>
      <c r="L13" s="1720">
        <f t="shared" si="0"/>
        <v>16283</v>
      </c>
      <c r="M13" s="468"/>
      <c r="N13" s="469"/>
    </row>
    <row r="14" spans="1:14" ht="18" customHeight="1" thickTop="1" x14ac:dyDescent="0.2">
      <c r="A14" s="2171" t="s">
        <v>147</v>
      </c>
      <c r="B14" s="2172"/>
      <c r="C14" s="1546"/>
      <c r="D14" s="1547"/>
      <c r="E14" s="1547"/>
      <c r="F14" s="1547"/>
      <c r="G14" s="1547"/>
      <c r="H14" s="1547"/>
      <c r="I14" s="1547"/>
      <c r="J14" s="1547"/>
      <c r="K14" s="1547"/>
      <c r="L14" s="1547"/>
      <c r="M14" s="1548"/>
      <c r="N14" s="1549"/>
    </row>
    <row r="15" spans="1:14" s="484" customFormat="1" ht="12.75" customHeight="1" x14ac:dyDescent="0.2">
      <c r="A15" s="481" t="s">
        <v>1401</v>
      </c>
      <c r="B15" s="482">
        <v>210</v>
      </c>
      <c r="C15" s="476"/>
      <c r="D15" s="476"/>
      <c r="E15" s="476"/>
      <c r="F15" s="476"/>
      <c r="G15" s="476"/>
      <c r="H15" s="476"/>
      <c r="I15" s="476"/>
      <c r="J15" s="476"/>
      <c r="K15" s="476"/>
      <c r="L15" s="476"/>
      <c r="M15" s="477"/>
      <c r="N15" s="483"/>
    </row>
    <row r="16" spans="1:14" s="484" customFormat="1" ht="12.75" customHeight="1" x14ac:dyDescent="0.2">
      <c r="A16" s="481" t="s">
        <v>1402</v>
      </c>
      <c r="B16" s="482">
        <v>220</v>
      </c>
      <c r="C16" s="476"/>
      <c r="D16" s="476"/>
      <c r="E16" s="476"/>
      <c r="F16" s="476"/>
      <c r="G16" s="476"/>
      <c r="H16" s="476"/>
      <c r="I16" s="476"/>
      <c r="J16" s="476"/>
      <c r="K16" s="476"/>
      <c r="L16" s="476"/>
      <c r="M16" s="467">
        <f>'Cap Outlay Deprec 26'!L5</f>
        <v>166496</v>
      </c>
      <c r="N16" s="483"/>
    </row>
    <row r="17" spans="1:14" s="484" customFormat="1" ht="12.75" customHeight="1" x14ac:dyDescent="0.2">
      <c r="A17" s="481" t="s">
        <v>1403</v>
      </c>
      <c r="B17" s="482">
        <v>230</v>
      </c>
      <c r="C17" s="476"/>
      <c r="D17" s="476"/>
      <c r="E17" s="476"/>
      <c r="F17" s="476"/>
      <c r="G17" s="476"/>
      <c r="H17" s="476"/>
      <c r="I17" s="476"/>
      <c r="J17" s="476"/>
      <c r="K17" s="476"/>
      <c r="L17" s="476"/>
      <c r="M17" s="467">
        <f>'Cap Outlay Deprec 26'!L8</f>
        <v>2014086</v>
      </c>
      <c r="N17" s="483"/>
    </row>
    <row r="18" spans="1:14" s="484" customFormat="1" ht="12.75" customHeight="1" x14ac:dyDescent="0.2">
      <c r="A18" s="481" t="s">
        <v>1404</v>
      </c>
      <c r="B18" s="482">
        <v>240</v>
      </c>
      <c r="C18" s="476"/>
      <c r="D18" s="476"/>
      <c r="E18" s="476"/>
      <c r="F18" s="476"/>
      <c r="G18" s="476"/>
      <c r="H18" s="476"/>
      <c r="I18" s="476"/>
      <c r="J18" s="476"/>
      <c r="K18" s="476"/>
      <c r="L18" s="476"/>
      <c r="M18" s="467">
        <f>'Cap Outlay Deprec 26'!L10</f>
        <v>40937</v>
      </c>
      <c r="N18" s="483"/>
    </row>
    <row r="19" spans="1:14" s="484" customFormat="1" ht="12.75" customHeight="1" x14ac:dyDescent="0.2">
      <c r="A19" s="481" t="s">
        <v>1405</v>
      </c>
      <c r="B19" s="482">
        <v>250</v>
      </c>
      <c r="C19" s="476"/>
      <c r="D19" s="476"/>
      <c r="E19" s="476"/>
      <c r="F19" s="476"/>
      <c r="G19" s="476"/>
      <c r="H19" s="476"/>
      <c r="I19" s="476"/>
      <c r="J19" s="476"/>
      <c r="K19" s="476"/>
      <c r="L19" s="476"/>
      <c r="M19" s="467">
        <f>'Cap Outlay Deprec 26'!L12+'Cap Outlay Deprec 26'!L13</f>
        <v>200675</v>
      </c>
      <c r="N19" s="483"/>
    </row>
    <row r="20" spans="1:14" s="484" customFormat="1" ht="12.75" customHeight="1" x14ac:dyDescent="0.2">
      <c r="A20" s="481" t="s">
        <v>1406</v>
      </c>
      <c r="B20" s="482">
        <v>260</v>
      </c>
      <c r="C20" s="476"/>
      <c r="D20" s="476"/>
      <c r="E20" s="476"/>
      <c r="F20" s="476"/>
      <c r="G20" s="476"/>
      <c r="H20" s="476"/>
      <c r="I20" s="476"/>
      <c r="J20" s="476"/>
      <c r="K20" s="476"/>
      <c r="L20" s="476"/>
      <c r="M20" s="467"/>
      <c r="N20" s="483"/>
    </row>
    <row r="21" spans="1:14" s="484" customFormat="1" ht="12.75" customHeight="1" x14ac:dyDescent="0.2">
      <c r="A21" s="481" t="s">
        <v>1407</v>
      </c>
      <c r="B21" s="482">
        <v>340</v>
      </c>
      <c r="C21" s="476"/>
      <c r="D21" s="476"/>
      <c r="E21" s="476"/>
      <c r="F21" s="476"/>
      <c r="G21" s="476"/>
      <c r="H21" s="476"/>
      <c r="I21" s="476"/>
      <c r="J21" s="476"/>
      <c r="K21" s="476"/>
      <c r="L21" s="476"/>
      <c r="M21" s="485"/>
      <c r="N21" s="467"/>
    </row>
    <row r="22" spans="1:14" s="484" customFormat="1" ht="12.75" customHeight="1" x14ac:dyDescent="0.2">
      <c r="A22" s="481" t="s">
        <v>1408</v>
      </c>
      <c r="B22" s="482">
        <v>350</v>
      </c>
      <c r="C22" s="476"/>
      <c r="D22" s="476"/>
      <c r="E22" s="476"/>
      <c r="F22" s="476"/>
      <c r="G22" s="476"/>
      <c r="H22" s="476"/>
      <c r="I22" s="476"/>
      <c r="J22" s="476"/>
      <c r="K22" s="476"/>
      <c r="L22" s="476"/>
      <c r="M22" s="485"/>
      <c r="N22" s="486">
        <f>'Short-Term Long-Term Debt 24'!J49</f>
        <v>43865</v>
      </c>
    </row>
    <row r="23" spans="1:14" ht="13.5" customHeight="1" thickBot="1" x14ac:dyDescent="0.25">
      <c r="A23" s="1719" t="s">
        <v>643</v>
      </c>
      <c r="B23" s="1724"/>
      <c r="C23" s="468"/>
      <c r="D23" s="468"/>
      <c r="E23" s="468"/>
      <c r="F23" s="468"/>
      <c r="G23" s="468"/>
      <c r="H23" s="468"/>
      <c r="I23" s="468"/>
      <c r="J23" s="468"/>
      <c r="K23" s="468"/>
      <c r="L23" s="468"/>
      <c r="M23" s="1671">
        <f>SUM(M15:M22)</f>
        <v>2422194</v>
      </c>
      <c r="N23" s="1671">
        <f>SUM(N21:N22)</f>
        <v>43865</v>
      </c>
    </row>
    <row r="24" spans="1:14" ht="18" customHeight="1" thickTop="1" x14ac:dyDescent="0.2">
      <c r="A24" s="2173" t="s">
        <v>598</v>
      </c>
      <c r="B24" s="2174"/>
      <c r="C24" s="1551"/>
      <c r="D24" s="1548"/>
      <c r="E24" s="1548"/>
      <c r="F24" s="1548"/>
      <c r="G24" s="1548"/>
      <c r="H24" s="1548"/>
      <c r="I24" s="1548"/>
      <c r="J24" s="1548"/>
      <c r="K24" s="1548"/>
      <c r="L24" s="1548"/>
      <c r="M24" s="1547"/>
      <c r="N24" s="1552"/>
    </row>
    <row r="25" spans="1:14" x14ac:dyDescent="0.2">
      <c r="A25" s="473" t="s">
        <v>645</v>
      </c>
      <c r="B25" s="470">
        <v>410</v>
      </c>
      <c r="C25" s="477">
        <f ca="1">-ROUND(SUMIF(INDIRECT(Formulas!$B$1),MID(C$1,2,2)&amp;"-"&amp;LEFT($B25,2)&amp;"*",INDIRECT(Formulas!$B$5)),0)</f>
        <v>0</v>
      </c>
      <c r="D25" s="477">
        <f ca="1">-ROUND(SUMIF(INDIRECT(Formulas!$B$1),MID(D$1,2,2)&amp;"-"&amp;LEFT($B25,2)&amp;"*",INDIRECT(Formulas!$B$5)),0)</f>
        <v>0</v>
      </c>
      <c r="E25" s="477">
        <f ca="1">-ROUND(SUMIF(INDIRECT(Formulas!$B$1),MID(E$1,2,2)&amp;"-"&amp;LEFT($B25,2)&amp;"*",INDIRECT(Formulas!$B$5)),0)</f>
        <v>0</v>
      </c>
      <c r="F25" s="477">
        <f ca="1">-ROUND(SUMIF(INDIRECT(Formulas!$B$1),MID(F$1,2,2)&amp;"-"&amp;LEFT($B25,2)&amp;"*",INDIRECT(Formulas!$B$5)),0)</f>
        <v>0</v>
      </c>
      <c r="G25" s="477">
        <v>37130</v>
      </c>
      <c r="H25" s="477">
        <f ca="1">-ROUND(SUMIF(INDIRECT(Formulas!$B$1),MID(H$1,2,2)&amp;"-"&amp;LEFT($B25,2)&amp;"*",INDIRECT(Formulas!$B$5)),0)</f>
        <v>0</v>
      </c>
      <c r="I25" s="468"/>
      <c r="J25" s="477">
        <f ca="1">-ROUND(SUMIF(INDIRECT(Formulas!$B$1),MID(J$1,2,2)&amp;"-"&amp;LEFT($B25,2)&amp;"*",INDIRECT(Formulas!$B$5)),0)</f>
        <v>0</v>
      </c>
      <c r="K25" s="477">
        <f ca="1">-ROUND(SUMIF(INDIRECT(Formulas!$B$1),MID(K$1,2,2)&amp;"-"&amp;LEFT($B25,2)&amp;"*",INDIRECT(Formulas!$B$5)),0)</f>
        <v>0</v>
      </c>
      <c r="L25" s="468"/>
      <c r="M25" s="468"/>
      <c r="N25" s="468"/>
    </row>
    <row r="26" spans="1:14" x14ac:dyDescent="0.2">
      <c r="A26" s="473" t="s">
        <v>646</v>
      </c>
      <c r="B26" s="470">
        <v>420</v>
      </c>
      <c r="C26" s="477">
        <f ca="1">-ROUND(SUMIF(INDIRECT(Formulas!$B$1),MID(C$1,2,2)&amp;"-"&amp;LEFT($B26,2)&amp;"*",INDIRECT(Formulas!$B$5)),0)</f>
        <v>0</v>
      </c>
      <c r="D26" s="477">
        <f ca="1">-ROUND(SUMIF(INDIRECT(Formulas!$B$1),MID(D$1,2,2)&amp;"-"&amp;LEFT($B26,2)&amp;"*",INDIRECT(Formulas!$B$5)),0)</f>
        <v>0</v>
      </c>
      <c r="E26" s="477">
        <f ca="1">-ROUND(SUMIF(INDIRECT(Formulas!$B$1),MID(E$1,2,2)&amp;"-"&amp;LEFT($B26,2)&amp;"*",INDIRECT(Formulas!$B$5)),0)</f>
        <v>0</v>
      </c>
      <c r="F26" s="477">
        <f ca="1">-ROUND(SUMIF(INDIRECT(Formulas!$B$1),MID(F$1,2,2)&amp;"-"&amp;LEFT($B26,2)&amp;"*",INDIRECT(Formulas!$B$5)),0)</f>
        <v>0</v>
      </c>
      <c r="G26" s="477">
        <f ca="1">-ROUND(SUMIF(INDIRECT(Formulas!$B$1),MID(G$1,2,2)&amp;"-"&amp;LEFT($B26,2)&amp;"*",INDIRECT(Formulas!$B$5)),0)</f>
        <v>0</v>
      </c>
      <c r="H26" s="477">
        <f ca="1">-ROUND(SUMIF(INDIRECT(Formulas!$B$1),MID(H$1,2,2)&amp;"-"&amp;LEFT($B26,2)&amp;"*",INDIRECT(Formulas!$B$5)),0)</f>
        <v>0</v>
      </c>
      <c r="I26" s="477">
        <f ca="1">-ROUND(SUMIF(INDIRECT(Formulas!$B$1),MID(I$1,2,2)&amp;"-"&amp;LEFT($B26,2)&amp;"*",INDIRECT(Formulas!$B$5)),0)</f>
        <v>0</v>
      </c>
      <c r="J26" s="477">
        <f ca="1">-ROUND(SUMIF(INDIRECT(Formulas!$B$1),MID(J$1,2,2)&amp;"-"&amp;LEFT($B26,2)&amp;"*",INDIRECT(Formulas!$B$5)),0)</f>
        <v>0</v>
      </c>
      <c r="K26" s="477">
        <f ca="1">-ROUND(SUMIF(INDIRECT(Formulas!$B$1),MID(K$1,2,2)&amp;"-"&amp;LEFT($B26,2)&amp;"*",INDIRECT(Formulas!$B$5)),0)</f>
        <v>0</v>
      </c>
      <c r="L26" s="468"/>
      <c r="M26" s="468"/>
      <c r="N26" s="468"/>
    </row>
    <row r="27" spans="1:14" ht="13.5" customHeight="1" x14ac:dyDescent="0.2">
      <c r="A27" s="473" t="s">
        <v>647</v>
      </c>
      <c r="B27" s="470">
        <v>430</v>
      </c>
      <c r="C27" s="477">
        <f ca="1">-ROUND(SUMIF(INDIRECT(Formulas!$B$1),MID(C$1,2,2)&amp;"-"&amp;LEFT($B27,2)&amp;"*",INDIRECT(Formulas!$B$5)),0)</f>
        <v>0</v>
      </c>
      <c r="D27" s="477">
        <f ca="1">-ROUND(SUMIF(INDIRECT(Formulas!$B$1),MID(D$1,2,2)&amp;"-"&amp;LEFT($B27,2)&amp;"*",INDIRECT(Formulas!$B$5)),0)</f>
        <v>0</v>
      </c>
      <c r="E27" s="477">
        <f ca="1">-ROUND(SUMIF(INDIRECT(Formulas!$B$1),MID(E$1,2,2)&amp;"-"&amp;LEFT($B27,2)&amp;"*",INDIRECT(Formulas!$B$5)),0)</f>
        <v>0</v>
      </c>
      <c r="F27" s="477">
        <f ca="1">-ROUND(SUMIF(INDIRECT(Formulas!$B$1),MID(F$1,2,2)&amp;"-"&amp;LEFT($B27,2)&amp;"*",INDIRECT(Formulas!$B$5)),0)</f>
        <v>0</v>
      </c>
      <c r="G27" s="477">
        <f ca="1">-ROUND(SUMIF(INDIRECT(Formulas!$B$1),MID(G$1,2,2)&amp;"-"&amp;LEFT($B27,2)&amp;"*",INDIRECT(Formulas!$B$5)),0)</f>
        <v>0</v>
      </c>
      <c r="H27" s="477">
        <f ca="1">-ROUND(SUMIF(INDIRECT(Formulas!$B$1),MID(H$1,2,2)&amp;"-"&amp;LEFT($B27,2)&amp;"*",INDIRECT(Formulas!$B$5)),0)</f>
        <v>0</v>
      </c>
      <c r="I27" s="477">
        <f ca="1">-ROUND(SUMIF(INDIRECT(Formulas!$B$1),MID(I$1,2,2)&amp;"-"&amp;LEFT($B27,2)&amp;"*",INDIRECT(Formulas!$B$5)),0)</f>
        <v>0</v>
      </c>
      <c r="J27" s="477">
        <f ca="1">-ROUND(SUMIF(INDIRECT(Formulas!$B$1),MID(J$1,2,2)&amp;"-"&amp;LEFT($B27,2)&amp;"*",INDIRECT(Formulas!$B$5)),0)</f>
        <v>0</v>
      </c>
      <c r="K27" s="477">
        <f ca="1">-ROUND(SUMIF(INDIRECT(Formulas!$B$1),MID(K$1,2,2)&amp;"-"&amp;LEFT($B27,2)&amp;"*",INDIRECT(Formulas!$B$5)),0)</f>
        <v>0</v>
      </c>
      <c r="L27" s="468"/>
      <c r="M27" s="468"/>
      <c r="N27" s="468"/>
    </row>
    <row r="28" spans="1:14" ht="13.5" customHeight="1" x14ac:dyDescent="0.2">
      <c r="A28" s="473" t="s">
        <v>648</v>
      </c>
      <c r="B28" s="470">
        <v>440</v>
      </c>
      <c r="C28" s="477">
        <f ca="1">-ROUND(SUMIF(INDIRECT(Formulas!$B$1),MID(C$1,2,2)&amp;"-"&amp;LEFT($B28,2)&amp;"*",INDIRECT(Formulas!$B$5)),0)</f>
        <v>0</v>
      </c>
      <c r="D28" s="477">
        <f ca="1">-ROUND(SUMIF(INDIRECT(Formulas!$B$1),MID(D$1,2,2)&amp;"-"&amp;LEFT($B28,2)&amp;"*",INDIRECT(Formulas!$B$5)),0)</f>
        <v>0</v>
      </c>
      <c r="E28" s="477">
        <f ca="1">-ROUND(SUMIF(INDIRECT(Formulas!$B$1),MID(E$1,2,2)&amp;"-"&amp;LEFT($B28,2)&amp;"*",INDIRECT(Formulas!$B$5)),0)</f>
        <v>0</v>
      </c>
      <c r="F28" s="477">
        <f ca="1">-ROUND(SUMIF(INDIRECT(Formulas!$B$1),MID(F$1,2,2)&amp;"-"&amp;LEFT($B28,2)&amp;"*",INDIRECT(Formulas!$B$5)),0)</f>
        <v>0</v>
      </c>
      <c r="G28" s="477">
        <f ca="1">-ROUND(SUMIF(INDIRECT(Formulas!$B$1),MID(G$1,2,2)&amp;"-"&amp;LEFT($B28,2)&amp;"*",INDIRECT(Formulas!$B$5)),0)</f>
        <v>0</v>
      </c>
      <c r="H28" s="477">
        <f ca="1">-ROUND(SUMIF(INDIRECT(Formulas!$B$1),MID(H$1,2,2)&amp;"-"&amp;LEFT($B28,2)&amp;"*",INDIRECT(Formulas!$B$5)),0)</f>
        <v>0</v>
      </c>
      <c r="I28" s="477">
        <f ca="1">-ROUND(SUMIF(INDIRECT(Formulas!$B$1),MID(I$1,2,2)&amp;"-"&amp;LEFT($B28,2)&amp;"*",INDIRECT(Formulas!$B$5)),0)</f>
        <v>0</v>
      </c>
      <c r="J28" s="477">
        <f ca="1">-ROUND(SUMIF(INDIRECT(Formulas!$B$1),MID(J$1,2,2)&amp;"-"&amp;LEFT($B28,2)&amp;"*",INDIRECT(Formulas!$B$5)),0)</f>
        <v>0</v>
      </c>
      <c r="K28" s="477">
        <f ca="1">-ROUND(SUMIF(INDIRECT(Formulas!$B$1),MID(K$1,2,2)&amp;"-"&amp;LEFT($B28,2)&amp;"*",INDIRECT(Formulas!$B$5)),0)</f>
        <v>0</v>
      </c>
      <c r="L28" s="468"/>
      <c r="M28" s="468"/>
      <c r="N28" s="468"/>
    </row>
    <row r="29" spans="1:14" ht="13.5" customHeight="1" x14ac:dyDescent="0.2">
      <c r="A29" s="473" t="s">
        <v>649</v>
      </c>
      <c r="B29" s="470">
        <v>460</v>
      </c>
      <c r="C29" s="477">
        <f ca="1">-ROUND(SUMIF(INDIRECT(Formulas!$B$1),MID(C$1,2,2)&amp;"-"&amp;LEFT($B29,2)&amp;"*",INDIRECT(Formulas!$B$5)),0)</f>
        <v>0</v>
      </c>
      <c r="D29" s="477">
        <f ca="1">-ROUND(SUMIF(INDIRECT(Formulas!$B$1),MID(D$1,2,2)&amp;"-"&amp;LEFT($B29,2)&amp;"*",INDIRECT(Formulas!$B$5)),0)</f>
        <v>0</v>
      </c>
      <c r="E29" s="477">
        <f ca="1">-ROUND(SUMIF(INDIRECT(Formulas!$B$1),MID(E$1,2,2)&amp;"-"&amp;LEFT($B29,2)&amp;"*",INDIRECT(Formulas!$B$5)),0)</f>
        <v>0</v>
      </c>
      <c r="F29" s="477">
        <f ca="1">-ROUND(SUMIF(INDIRECT(Formulas!$B$1),MID(F$1,2,2)&amp;"-"&amp;LEFT($B29,2)&amp;"*",INDIRECT(Formulas!$B$5)),0)</f>
        <v>0</v>
      </c>
      <c r="G29" s="477">
        <f ca="1">-ROUND(SUMIF(INDIRECT(Formulas!$B$1),MID(G$1,2,2)&amp;"-"&amp;LEFT($B29,2)&amp;"*",INDIRECT(Formulas!$B$5)),0)</f>
        <v>0</v>
      </c>
      <c r="H29" s="477">
        <f ca="1">-ROUND(SUMIF(INDIRECT(Formulas!$B$1),MID(H$1,2,2)&amp;"-"&amp;LEFT($B29,2)&amp;"*",INDIRECT(Formulas!$B$5)),0)</f>
        <v>0</v>
      </c>
      <c r="I29" s="477">
        <f ca="1">-ROUND(SUMIF(INDIRECT(Formulas!$B$1),MID(I$1,2,2)&amp;"-"&amp;LEFT($B29,2)&amp;"*",INDIRECT(Formulas!$B$5)),0)</f>
        <v>0</v>
      </c>
      <c r="J29" s="477">
        <f ca="1">-ROUND(SUMIF(INDIRECT(Formulas!$B$1),MID(J$1,2,2)&amp;"-"&amp;LEFT($B29,2)&amp;"*",INDIRECT(Formulas!$B$5)),0)</f>
        <v>0</v>
      </c>
      <c r="K29" s="477">
        <f ca="1">-ROUND(SUMIF(INDIRECT(Formulas!$B$1),MID(K$1,2,2)&amp;"-"&amp;LEFT($B29,2)&amp;"*",INDIRECT(Formulas!$B$5)),0)</f>
        <v>0</v>
      </c>
      <c r="L29" s="468"/>
      <c r="M29" s="468"/>
      <c r="N29" s="468"/>
    </row>
    <row r="30" spans="1:14" ht="13.5" customHeight="1" x14ac:dyDescent="0.2">
      <c r="A30" s="473" t="s">
        <v>650</v>
      </c>
      <c r="B30" s="470">
        <v>470</v>
      </c>
      <c r="C30" s="477">
        <f ca="1">-ROUND(SUMIF(INDIRECT(Formulas!$B$1),MID(C$1,2,2)&amp;"-"&amp;LEFT($B30,2)&amp;"*",INDIRECT(Formulas!$B$5)),0)</f>
        <v>0</v>
      </c>
      <c r="D30" s="477">
        <f ca="1">-ROUND(SUMIF(INDIRECT(Formulas!$B$1),MID(D$1,2,2)&amp;"-"&amp;LEFT($B30,2)&amp;"*",INDIRECT(Formulas!$B$5)),0)</f>
        <v>0</v>
      </c>
      <c r="E30" s="477">
        <f ca="1">-ROUND(SUMIF(INDIRECT(Formulas!$B$1),MID(E$1,2,2)&amp;"-"&amp;LEFT($B30,2)&amp;"*",INDIRECT(Formulas!$B$5)),0)</f>
        <v>0</v>
      </c>
      <c r="F30" s="477">
        <f ca="1">-ROUND(SUMIF(INDIRECT(Formulas!$B$1),MID(F$1,2,2)&amp;"-"&amp;LEFT($B30,2)&amp;"*",INDIRECT(Formulas!$B$5)),0)</f>
        <v>0</v>
      </c>
      <c r="G30" s="477">
        <f ca="1">-ROUND(SUMIF(INDIRECT(Formulas!$B$1),MID(G$1,2,2)&amp;"-"&amp;LEFT($B30,2)&amp;"*",INDIRECT(Formulas!$B$5)),0)</f>
        <v>0</v>
      </c>
      <c r="H30" s="477">
        <f ca="1">-ROUND(SUMIF(INDIRECT(Formulas!$B$1),MID(H$1,2,2)&amp;"-"&amp;LEFT($B30,2)&amp;"*",INDIRECT(Formulas!$B$5)),0)</f>
        <v>0</v>
      </c>
      <c r="I30" s="477">
        <f ca="1">-ROUND(SUMIF(INDIRECT(Formulas!$B$1),MID(I$1,2,2)&amp;"-"&amp;LEFT($B30,2)&amp;"*",INDIRECT(Formulas!$B$5)),0)</f>
        <v>0</v>
      </c>
      <c r="J30" s="477">
        <f ca="1">-ROUND(SUMIF(INDIRECT(Formulas!$B$1),MID(J$1,2,2)&amp;"-"&amp;LEFT($B30,2)&amp;"*",INDIRECT(Formulas!$B$5)),0)</f>
        <v>0</v>
      </c>
      <c r="K30" s="477">
        <f ca="1">-ROUND(SUMIF(INDIRECT(Formulas!$B$1),MID(K$1,2,2)&amp;"-"&amp;LEFT($B30,2)&amp;"*",INDIRECT(Formulas!$B$5)),0)</f>
        <v>0</v>
      </c>
      <c r="L30" s="468"/>
      <c r="M30" s="468"/>
      <c r="N30" s="468"/>
    </row>
    <row r="31" spans="1:14" ht="13.5" customHeight="1" x14ac:dyDescent="0.2">
      <c r="A31" s="473" t="s">
        <v>651</v>
      </c>
      <c r="B31" s="470">
        <v>480</v>
      </c>
      <c r="C31" s="477">
        <f ca="1">-ROUND(SUMIF(INDIRECT(Formulas!$B$1),MID(C$1,2,2)&amp;"-"&amp;LEFT($B31,2)&amp;"*",INDIRECT(Formulas!$B$5)),0)</f>
        <v>-349</v>
      </c>
      <c r="D31" s="477">
        <f ca="1">-ROUND(SUMIF(INDIRECT(Formulas!$B$1),MID(D$1,2,2)&amp;"-"&amp;LEFT($B31,2)&amp;"*",INDIRECT(Formulas!$B$5)),0)</f>
        <v>0</v>
      </c>
      <c r="E31" s="477">
        <f ca="1">-ROUND(SUMIF(INDIRECT(Formulas!$B$1),MID(E$1,2,2)&amp;"-"&amp;LEFT($B31,2)&amp;"*",INDIRECT(Formulas!$B$5)),0)</f>
        <v>0</v>
      </c>
      <c r="F31" s="477">
        <f ca="1">-ROUND(SUMIF(INDIRECT(Formulas!$B$1),MID(F$1,2,2)&amp;"-"&amp;LEFT($B31,2)&amp;"*",INDIRECT(Formulas!$B$5)),0)</f>
        <v>0</v>
      </c>
      <c r="G31" s="477">
        <f ca="1">-ROUND(SUMIF(INDIRECT(Formulas!$B$1),MID(G$1,2,2)&amp;"-"&amp;LEFT($B31,2)&amp;"*",INDIRECT(Formulas!$B$5)),0)</f>
        <v>0</v>
      </c>
      <c r="H31" s="477">
        <f ca="1">-ROUND(SUMIF(INDIRECT(Formulas!$B$1),MID(H$1,2,2)&amp;"-"&amp;LEFT($B31,2)&amp;"*",INDIRECT(Formulas!$B$5)),0)</f>
        <v>0</v>
      </c>
      <c r="I31" s="477">
        <f ca="1">-ROUND(SUMIF(INDIRECT(Formulas!$B$1),MID(I$1,2,2)&amp;"-"&amp;LEFT($B31,2)&amp;"*",INDIRECT(Formulas!$B$5)),0)</f>
        <v>0</v>
      </c>
      <c r="J31" s="477">
        <f ca="1">-ROUND(SUMIF(INDIRECT(Formulas!$B$1),MID(J$1,2,2)&amp;"-"&amp;LEFT($B31,2)&amp;"*",INDIRECT(Formulas!$B$5)),0)</f>
        <v>0</v>
      </c>
      <c r="K31" s="477">
        <f ca="1">-ROUND(SUMIF(INDIRECT(Formulas!$B$1),MID(K$1,2,2)&amp;"-"&amp;LEFT($B31,2)&amp;"*",INDIRECT(Formulas!$B$5)),0)</f>
        <v>0</v>
      </c>
      <c r="L31" s="468"/>
      <c r="M31" s="468"/>
      <c r="N31" s="468"/>
    </row>
    <row r="32" spans="1:14" ht="13.5" customHeight="1" x14ac:dyDescent="0.2">
      <c r="A32" s="487" t="s">
        <v>652</v>
      </c>
      <c r="B32" s="488">
        <v>490</v>
      </c>
      <c r="C32" s="477">
        <f ca="1">-ROUND(SUMIF(INDIRECT(Formulas!$B$1),MID(C$1,2,2)&amp;"-"&amp;LEFT($B32,2)&amp;"*",INDIRECT(Formulas!$B$5)),0)</f>
        <v>0</v>
      </c>
      <c r="D32" s="477">
        <f ca="1">-ROUND(SUMIF(INDIRECT(Formulas!$B$1),MID(D$1,2,2)&amp;"-"&amp;LEFT($B32,2)&amp;"*",INDIRECT(Formulas!$B$5)),0)</f>
        <v>0</v>
      </c>
      <c r="E32" s="477">
        <f ca="1">-ROUND(SUMIF(INDIRECT(Formulas!$B$1),MID(E$1,2,2)&amp;"-"&amp;LEFT($B32,2)&amp;"*",INDIRECT(Formulas!$B$5)),0)</f>
        <v>0</v>
      </c>
      <c r="F32" s="477">
        <f ca="1">-ROUND(SUMIF(INDIRECT(Formulas!$B$1),MID(F$1,2,2)&amp;"-"&amp;LEFT($B32,2)&amp;"*",INDIRECT(Formulas!$B$5)),0)</f>
        <v>0</v>
      </c>
      <c r="G32" s="477">
        <f ca="1">-ROUND(SUMIF(INDIRECT(Formulas!$B$1),MID(G$1,2,2)&amp;"-"&amp;LEFT($B32,2)&amp;"*",INDIRECT(Formulas!$B$5)),0)</f>
        <v>0</v>
      </c>
      <c r="H32" s="477">
        <f ca="1">-ROUND(SUMIF(INDIRECT(Formulas!$B$1),MID(H$1,2,2)&amp;"-"&amp;LEFT($B32,2)&amp;"*",INDIRECT(Formulas!$B$5)),0)</f>
        <v>0</v>
      </c>
      <c r="I32" s="477">
        <f ca="1">-ROUND(SUMIF(INDIRECT(Formulas!$B$1),MID(I$1,2,2)&amp;"-"&amp;LEFT($B32,2)&amp;"*",INDIRECT(Formulas!$B$5)),0)</f>
        <v>0</v>
      </c>
      <c r="J32" s="477">
        <f ca="1">-ROUND(SUMIF(INDIRECT(Formulas!$B$1),MID(J$1,2,2)&amp;"-"&amp;LEFT($B32,2)&amp;"*",INDIRECT(Formulas!$B$5)),0)</f>
        <v>0</v>
      </c>
      <c r="K32" s="477">
        <f ca="1">-ROUND(SUMIF(INDIRECT(Formulas!$B$1),MID(K$1,2,2)&amp;"-"&amp;LEFT($B32,2)&amp;"*",INDIRECT(Formulas!$B$5)),0)</f>
        <v>0</v>
      </c>
      <c r="L32" s="468"/>
      <c r="M32" s="468"/>
      <c r="N32" s="468"/>
    </row>
    <row r="33" spans="1:14" ht="13.5" customHeight="1" x14ac:dyDescent="0.2">
      <c r="A33" s="490" t="s">
        <v>303</v>
      </c>
      <c r="B33" s="488">
        <v>493</v>
      </c>
      <c r="C33" s="477">
        <f ca="1">-ROUND(SUMIF(INDIRECT(Formulas!$B$1),MID(C$1,2,2)&amp;"-"&amp;LEFT($B33,2)&amp;"*",INDIRECT(Formulas!$B$5)),0)</f>
        <v>0</v>
      </c>
      <c r="D33" s="477">
        <f ca="1">-ROUND(SUMIF(INDIRECT(Formulas!$B$1),MID(D$1,2,2)&amp;"-"&amp;LEFT($B33,2)&amp;"*",INDIRECT(Formulas!$B$5)),0)</f>
        <v>0</v>
      </c>
      <c r="E33" s="477">
        <f ca="1">-ROUND(SUMIF(INDIRECT(Formulas!$B$1),MID(E$1,2,2)&amp;"-"&amp;LEFT($B33,2)&amp;"*",INDIRECT(Formulas!$B$5)),0)</f>
        <v>0</v>
      </c>
      <c r="F33" s="477">
        <f ca="1">-ROUND(SUMIF(INDIRECT(Formulas!$B$1),MID(F$1,2,2)&amp;"-"&amp;LEFT($B33,2)&amp;"*",INDIRECT(Formulas!$B$5)),0)</f>
        <v>0</v>
      </c>
      <c r="G33" s="477">
        <f ca="1">-ROUND(SUMIF(INDIRECT(Formulas!$B$1),MID(G$1,2,2)&amp;"-"&amp;LEFT($B33,2)&amp;"*",INDIRECT(Formulas!$B$5)),0)</f>
        <v>0</v>
      </c>
      <c r="H33" s="477">
        <f ca="1">-ROUND(SUMIF(INDIRECT(Formulas!$B$1),MID(H$1,2,2)&amp;"-"&amp;LEFT($B33,2)&amp;"*",INDIRECT(Formulas!$B$5)),0)</f>
        <v>0</v>
      </c>
      <c r="I33" s="477">
        <f ca="1">-ROUND(SUMIF(INDIRECT(Formulas!$B$1),MID(I$1,2,2)&amp;"-"&amp;LEFT($B33,2)&amp;"*",INDIRECT(Formulas!$B$5)),0)</f>
        <v>0</v>
      </c>
      <c r="J33" s="477">
        <f ca="1">-ROUND(SUMIF(INDIRECT(Formulas!$B$1),MID(J$1,2,2)&amp;"-"&amp;LEFT($B33,2)&amp;"*",INDIRECT(Formulas!$B$5)),0)</f>
        <v>0</v>
      </c>
      <c r="K33" s="477">
        <f ca="1">-ROUND(SUMIF(INDIRECT(Formulas!$B$1),MID(K$1,2,2)&amp;"-"&amp;LEFT($B33,2)&amp;"*",INDIRECT(Formulas!$B$5)),0)</f>
        <v>0</v>
      </c>
      <c r="L33" s="467">
        <f>L4</f>
        <v>16283</v>
      </c>
      <c r="M33" s="468"/>
      <c r="N33" s="469"/>
    </row>
    <row r="34" spans="1:14" ht="13.5" customHeight="1" thickBot="1" x14ac:dyDescent="0.25">
      <c r="A34" s="1721" t="s">
        <v>654</v>
      </c>
      <c r="B34" s="1722"/>
      <c r="C34" s="1723">
        <f ca="1">SUM(C25:C33)</f>
        <v>-349</v>
      </c>
      <c r="D34" s="1723">
        <f t="shared" ref="D34:K34" ca="1" si="1">SUM(D25:D33)</f>
        <v>0</v>
      </c>
      <c r="E34" s="1723">
        <f t="shared" ca="1" si="1"/>
        <v>0</v>
      </c>
      <c r="F34" s="1723">
        <f t="shared" ca="1" si="1"/>
        <v>0</v>
      </c>
      <c r="G34" s="1723">
        <f t="shared" ca="1" si="1"/>
        <v>37130</v>
      </c>
      <c r="H34" s="1723">
        <f t="shared" ca="1" si="1"/>
        <v>0</v>
      </c>
      <c r="I34" s="1723">
        <f t="shared" ca="1" si="1"/>
        <v>0</v>
      </c>
      <c r="J34" s="1723">
        <f t="shared" ca="1" si="1"/>
        <v>0</v>
      </c>
      <c r="K34" s="1723">
        <f t="shared" ca="1" si="1"/>
        <v>0</v>
      </c>
      <c r="L34" s="1704">
        <f>SUM(L33)</f>
        <v>16283</v>
      </c>
      <c r="M34" s="468"/>
      <c r="N34" s="479"/>
    </row>
    <row r="35" spans="1:14" ht="18" customHeight="1" thickTop="1" x14ac:dyDescent="0.2">
      <c r="A35" s="2175" t="s">
        <v>529</v>
      </c>
      <c r="B35" s="2176"/>
      <c r="C35" s="1553"/>
      <c r="D35" s="1554"/>
      <c r="E35" s="1554"/>
      <c r="F35" s="1554"/>
      <c r="G35" s="1554"/>
      <c r="H35" s="1554"/>
      <c r="I35" s="1554"/>
      <c r="J35" s="1554"/>
      <c r="K35" s="1554"/>
      <c r="L35" s="1554"/>
      <c r="M35" s="1548"/>
      <c r="N35" s="1552"/>
    </row>
    <row r="36" spans="1:14" x14ac:dyDescent="0.2">
      <c r="A36" s="491" t="s">
        <v>1</v>
      </c>
      <c r="B36" s="470">
        <v>511</v>
      </c>
      <c r="C36" s="476"/>
      <c r="D36" s="476"/>
      <c r="E36" s="476"/>
      <c r="F36" s="476"/>
      <c r="G36" s="476"/>
      <c r="H36" s="476"/>
      <c r="I36" s="476"/>
      <c r="J36" s="476"/>
      <c r="K36" s="476"/>
      <c r="L36" s="468"/>
      <c r="M36" s="468"/>
      <c r="N36" s="492">
        <f>'Short-Term Long-Term Debt 24'!I49</f>
        <v>43865</v>
      </c>
    </row>
    <row r="37" spans="1:14" ht="13.5" thickBot="1" x14ac:dyDescent="0.25">
      <c r="A37" s="1719" t="s">
        <v>653</v>
      </c>
      <c r="B37" s="1724"/>
      <c r="C37" s="476"/>
      <c r="D37" s="476"/>
      <c r="E37" s="476"/>
      <c r="F37" s="476"/>
      <c r="G37" s="476"/>
      <c r="H37" s="476"/>
      <c r="I37" s="476"/>
      <c r="J37" s="476"/>
      <c r="K37" s="476"/>
      <c r="L37" s="479"/>
      <c r="M37" s="468"/>
      <c r="N37" s="1671">
        <f>SUM(N36:N36)</f>
        <v>43865</v>
      </c>
    </row>
    <row r="38" spans="1:14" s="329" customFormat="1" ht="13.5" customHeight="1" thickTop="1" x14ac:dyDescent="0.2">
      <c r="A38" s="493" t="s">
        <v>420</v>
      </c>
      <c r="B38" s="482">
        <v>714</v>
      </c>
      <c r="C38" s="466"/>
      <c r="D38" s="466"/>
      <c r="E38" s="466"/>
      <c r="F38" s="466"/>
      <c r="G38" s="466">
        <v>23855</v>
      </c>
      <c r="H38" s="466"/>
      <c r="I38" s="466"/>
      <c r="J38" s="467"/>
      <c r="K38" s="466"/>
      <c r="L38" s="480"/>
      <c r="M38" s="494"/>
      <c r="N38" s="494"/>
    </row>
    <row r="39" spans="1:14" s="329" customFormat="1" ht="13.5" customHeight="1" x14ac:dyDescent="0.2">
      <c r="A39" s="493" t="s">
        <v>342</v>
      </c>
      <c r="B39" s="482">
        <v>730</v>
      </c>
      <c r="C39" s="466">
        <v>2232240</v>
      </c>
      <c r="D39" s="466">
        <v>611534</v>
      </c>
      <c r="E39" s="466">
        <v>0</v>
      </c>
      <c r="F39" s="466">
        <v>586911</v>
      </c>
      <c r="G39" s="466">
        <v>41122</v>
      </c>
      <c r="H39" s="466">
        <v>148455</v>
      </c>
      <c r="I39" s="466">
        <v>141317</v>
      </c>
      <c r="J39" s="467">
        <v>104494</v>
      </c>
      <c r="K39" s="466">
        <v>0</v>
      </c>
      <c r="L39" s="466"/>
      <c r="M39" s="494"/>
      <c r="N39" s="494"/>
    </row>
    <row r="40" spans="1:14" s="329" customFormat="1" ht="13.5" customHeight="1" x14ac:dyDescent="0.2">
      <c r="A40" s="495" t="s">
        <v>148</v>
      </c>
      <c r="B40" s="496"/>
      <c r="C40" s="497"/>
      <c r="D40" s="497"/>
      <c r="E40" s="497"/>
      <c r="F40" s="497"/>
      <c r="G40" s="497"/>
      <c r="H40" s="497"/>
      <c r="I40" s="497"/>
      <c r="J40" s="497"/>
      <c r="K40" s="497"/>
      <c r="L40" s="497"/>
      <c r="M40" s="467">
        <f>M23</f>
        <v>2422194</v>
      </c>
      <c r="N40" s="494"/>
    </row>
    <row r="41" spans="1:14" ht="13.5" customHeight="1" thickBot="1" x14ac:dyDescent="0.25">
      <c r="A41" s="1719" t="s">
        <v>655</v>
      </c>
      <c r="B41" s="1689"/>
      <c r="C41" s="1671">
        <f ca="1">(SUM(C34,C37,C38,C39))</f>
        <v>2231891</v>
      </c>
      <c r="D41" s="1671">
        <f t="shared" ref="D41:L41" ca="1" si="2">SUM(D34,D37,D38:D39)</f>
        <v>611534</v>
      </c>
      <c r="E41" s="1671">
        <f t="shared" ca="1" si="2"/>
        <v>0</v>
      </c>
      <c r="F41" s="1671">
        <f t="shared" ca="1" si="2"/>
        <v>586911</v>
      </c>
      <c r="G41" s="1671">
        <f t="shared" ca="1" si="2"/>
        <v>102107</v>
      </c>
      <c r="H41" s="1671">
        <f t="shared" ca="1" si="2"/>
        <v>148455</v>
      </c>
      <c r="I41" s="1671">
        <f t="shared" ca="1" si="2"/>
        <v>141317</v>
      </c>
      <c r="J41" s="1671">
        <f t="shared" ca="1" si="2"/>
        <v>104494</v>
      </c>
      <c r="K41" s="1671">
        <f t="shared" ca="1" si="2"/>
        <v>0</v>
      </c>
      <c r="L41" s="1671">
        <f t="shared" si="2"/>
        <v>16283</v>
      </c>
      <c r="M41" s="1671">
        <f>SUM(M40)</f>
        <v>2422194</v>
      </c>
      <c r="N41" s="1671">
        <f>SUM(N37)</f>
        <v>43865</v>
      </c>
    </row>
    <row r="42" spans="1:14" ht="13.5" thickTop="1" x14ac:dyDescent="0.2"/>
    <row r="43" spans="1:14" x14ac:dyDescent="0.2">
      <c r="A43" s="247"/>
      <c r="C43" s="500"/>
    </row>
    <row r="44" spans="1:14" x14ac:dyDescent="0.2">
      <c r="A44" s="247"/>
      <c r="C44" s="500"/>
    </row>
  </sheetData>
  <sheetProtection password="F60E" sheet="1" objects="1" scenarios="1"/>
  <mergeCells count="5">
    <mergeCell ref="A1:A2"/>
    <mergeCell ref="A3:B3"/>
    <mergeCell ref="A14:B14"/>
    <mergeCell ref="A24:B24"/>
    <mergeCell ref="A35:B35"/>
  </mergeCells>
  <phoneticPr fontId="20"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&amp;CSee Notes to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view="pageLayout" colorId="8" zoomScaleNormal="110" zoomScaleSheetLayoutView="100" workbookViewId="0">
      <selection activeCell="B14" sqref="B14"/>
    </sheetView>
  </sheetViews>
  <sheetFormatPr defaultColWidth="9.140625" defaultRowHeight="12.75" x14ac:dyDescent="0.2"/>
  <cols>
    <col min="1" max="1" width="55.85546875" style="498" customWidth="1"/>
    <col min="2" max="2" width="4.7109375" style="499" customWidth="1"/>
    <col min="3" max="11" width="13.7109375" style="457" customWidth="1"/>
    <col min="12" max="12" width="2" style="457" customWidth="1"/>
    <col min="13" max="16384" width="9.140625" style="457"/>
  </cols>
  <sheetData>
    <row r="1" spans="1:13" ht="12.75" customHeight="1" x14ac:dyDescent="0.2">
      <c r="A1" s="2185" t="s">
        <v>1652</v>
      </c>
      <c r="B1" s="452"/>
      <c r="C1" s="501" t="s">
        <v>425</v>
      </c>
      <c r="D1" s="501" t="s">
        <v>426</v>
      </c>
      <c r="E1" s="501" t="s">
        <v>427</v>
      </c>
      <c r="F1" s="501" t="s">
        <v>428</v>
      </c>
      <c r="G1" s="501" t="s">
        <v>429</v>
      </c>
      <c r="H1" s="501" t="s">
        <v>430</v>
      </c>
      <c r="I1" s="501" t="s">
        <v>431</v>
      </c>
      <c r="J1" s="501" t="s">
        <v>432</v>
      </c>
      <c r="K1" s="501" t="s">
        <v>756</v>
      </c>
      <c r="L1" s="498"/>
    </row>
    <row r="2" spans="1:13" s="502" customFormat="1" ht="37.5" customHeight="1" x14ac:dyDescent="0.2">
      <c r="A2" s="2186"/>
      <c r="B2" s="458" t="s">
        <v>378</v>
      </c>
      <c r="C2" s="459" t="s">
        <v>1155</v>
      </c>
      <c r="D2" s="459" t="s">
        <v>870</v>
      </c>
      <c r="E2" s="459" t="s">
        <v>438</v>
      </c>
      <c r="F2" s="459" t="s">
        <v>155</v>
      </c>
      <c r="G2" s="459" t="s">
        <v>989</v>
      </c>
      <c r="H2" s="459" t="s">
        <v>437</v>
      </c>
      <c r="I2" s="459" t="s">
        <v>407</v>
      </c>
      <c r="J2" s="459" t="s">
        <v>436</v>
      </c>
      <c r="K2" s="459" t="s">
        <v>157</v>
      </c>
      <c r="L2" s="499"/>
    </row>
    <row r="3" spans="1:13" s="504" customFormat="1" ht="16.7" customHeight="1" x14ac:dyDescent="0.2">
      <c r="A3" s="2197" t="s">
        <v>1175</v>
      </c>
      <c r="B3" s="2198"/>
      <c r="C3" s="1556"/>
      <c r="D3" s="1557"/>
      <c r="E3" s="1557"/>
      <c r="F3" s="1557"/>
      <c r="G3" s="1557"/>
      <c r="H3" s="1557"/>
      <c r="I3" s="1557"/>
      <c r="J3" s="1557"/>
      <c r="K3" s="1558"/>
      <c r="L3" s="503"/>
    </row>
    <row r="4" spans="1:13" ht="15.75" customHeight="1" x14ac:dyDescent="0.2">
      <c r="A4" s="1911" t="s">
        <v>1499</v>
      </c>
      <c r="B4" s="1912">
        <v>1000</v>
      </c>
      <c r="C4" s="1725">
        <f ca="1">'Revenues 9-14'!C109</f>
        <v>1115652</v>
      </c>
      <c r="D4" s="1725">
        <f ca="1">'Revenues 9-14'!D109</f>
        <v>166541</v>
      </c>
      <c r="E4" s="1725">
        <f ca="1">'Revenues 9-14'!E109</f>
        <v>0</v>
      </c>
      <c r="F4" s="1725">
        <f ca="1">'Revenues 9-14'!F109</f>
        <v>38426</v>
      </c>
      <c r="G4" s="1725">
        <f ca="1">'Revenues 9-14'!G109</f>
        <v>17784</v>
      </c>
      <c r="H4" s="1725">
        <f ca="1">'Revenues 9-14'!H109</f>
        <v>0</v>
      </c>
      <c r="I4" s="1725">
        <f ca="1">'Revenues 9-14'!I109</f>
        <v>11495</v>
      </c>
      <c r="J4" s="1725">
        <f ca="1">'Revenues 9-14'!J109</f>
        <v>10912</v>
      </c>
      <c r="K4" s="1725">
        <f ca="1">'Revenues 9-14'!K109</f>
        <v>0</v>
      </c>
      <c r="L4" s="347"/>
    </row>
    <row r="5" spans="1:13" ht="15.75" customHeight="1" x14ac:dyDescent="0.2">
      <c r="A5" s="1559" t="s">
        <v>1500</v>
      </c>
      <c r="B5" s="1560">
        <v>2000</v>
      </c>
      <c r="C5" s="1726">
        <f ca="1">'Revenues 9-14'!C114</f>
        <v>87</v>
      </c>
      <c r="D5" s="1726">
        <f ca="1">'Revenues 9-14'!D114</f>
        <v>0</v>
      </c>
      <c r="E5" s="505"/>
      <c r="F5" s="1726">
        <f ca="1">'Revenues 9-14'!F114</f>
        <v>0</v>
      </c>
      <c r="G5" s="1726">
        <f ca="1">'Revenues 9-14'!G114</f>
        <v>0</v>
      </c>
      <c r="H5" s="506" t="s">
        <v>1169</v>
      </c>
      <c r="I5" s="507" t="s">
        <v>1169</v>
      </c>
      <c r="J5" s="508" t="s">
        <v>1169</v>
      </c>
      <c r="K5" s="509" t="s">
        <v>1169</v>
      </c>
      <c r="L5" s="347"/>
    </row>
    <row r="6" spans="1:13" ht="15.75" customHeight="1" x14ac:dyDescent="0.2">
      <c r="A6" s="1559" t="s">
        <v>1501</v>
      </c>
      <c r="B6" s="1561">
        <v>3000</v>
      </c>
      <c r="C6" s="1726">
        <f ca="1">'Revenues 9-14'!C170</f>
        <v>432605</v>
      </c>
      <c r="D6" s="1726">
        <f ca="1">'Revenues 9-14'!D170</f>
        <v>81801</v>
      </c>
      <c r="E6" s="1726">
        <f ca="1">'Revenues 9-14'!E170</f>
        <v>0</v>
      </c>
      <c r="F6" s="1726">
        <f ca="1">'Revenues 9-14'!F170</f>
        <v>163385</v>
      </c>
      <c r="G6" s="1726">
        <f ca="1">'Revenues 9-14'!G170</f>
        <v>0</v>
      </c>
      <c r="H6" s="1726">
        <f ca="1">'Revenues 9-14'!H170</f>
        <v>53964</v>
      </c>
      <c r="I6" s="1726">
        <f ca="1">'Revenues 9-14'!I170</f>
        <v>0</v>
      </c>
      <c r="J6" s="1726">
        <f ca="1">'Revenues 9-14'!J170</f>
        <v>79094</v>
      </c>
      <c r="K6" s="1726">
        <f ca="1">'Revenues 9-14'!K170</f>
        <v>0</v>
      </c>
      <c r="L6" s="347"/>
      <c r="M6" s="510"/>
    </row>
    <row r="7" spans="1:13" ht="15.75" customHeight="1" x14ac:dyDescent="0.2">
      <c r="A7" s="1559" t="s">
        <v>1502</v>
      </c>
      <c r="B7" s="1561">
        <v>4000</v>
      </c>
      <c r="C7" s="1726">
        <f ca="1">'Revenues 9-14'!C267</f>
        <v>120811</v>
      </c>
      <c r="D7" s="1726">
        <f ca="1">'Revenues 9-14'!D267</f>
        <v>0</v>
      </c>
      <c r="E7" s="1726">
        <f ca="1">'Revenues 9-14'!E267</f>
        <v>0</v>
      </c>
      <c r="F7" s="1726">
        <f ca="1">'Revenues 9-14'!F267</f>
        <v>0</v>
      </c>
      <c r="G7" s="1726">
        <f ca="1">'Revenues 9-14'!G267</f>
        <v>0</v>
      </c>
      <c r="H7" s="1726">
        <f ca="1">'Revenues 9-14'!H267</f>
        <v>0</v>
      </c>
      <c r="I7" s="1726">
        <f ca="1">'Revenues 9-14'!I267</f>
        <v>0</v>
      </c>
      <c r="J7" s="1726">
        <f ca="1">'Revenues 9-14'!J267</f>
        <v>0</v>
      </c>
      <c r="K7" s="1726">
        <f ca="1">'Revenues 9-14'!K267</f>
        <v>0</v>
      </c>
      <c r="L7" s="347"/>
      <c r="M7" s="510"/>
    </row>
    <row r="8" spans="1:13" ht="13.5" thickBot="1" x14ac:dyDescent="0.25">
      <c r="A8" s="1719" t="s">
        <v>1172</v>
      </c>
      <c r="B8" s="1692"/>
      <c r="C8" s="1671">
        <f ca="1">SUM(C4:C7)</f>
        <v>1669155</v>
      </c>
      <c r="D8" s="1671">
        <f t="shared" ref="D8:K8" ca="1" si="0">SUM(D4:D7)</f>
        <v>248342</v>
      </c>
      <c r="E8" s="1671">
        <f t="shared" ca="1" si="0"/>
        <v>0</v>
      </c>
      <c r="F8" s="1671">
        <f t="shared" ca="1" si="0"/>
        <v>201811</v>
      </c>
      <c r="G8" s="1671">
        <f t="shared" ca="1" si="0"/>
        <v>17784</v>
      </c>
      <c r="H8" s="1671">
        <f t="shared" ca="1" si="0"/>
        <v>53964</v>
      </c>
      <c r="I8" s="1671">
        <f t="shared" ca="1" si="0"/>
        <v>11495</v>
      </c>
      <c r="J8" s="1671">
        <f t="shared" ca="1" si="0"/>
        <v>90006</v>
      </c>
      <c r="K8" s="1671">
        <f t="shared" ca="1" si="0"/>
        <v>0</v>
      </c>
      <c r="L8" s="347"/>
    </row>
    <row r="9" spans="1:13" ht="15.75" thickTop="1" x14ac:dyDescent="0.2">
      <c r="A9" s="511" t="s">
        <v>1653</v>
      </c>
      <c r="B9" s="512">
        <v>3998</v>
      </c>
      <c r="C9" s="480">
        <f>10178+496427</f>
        <v>506605</v>
      </c>
      <c r="D9" s="513"/>
      <c r="E9" s="480"/>
      <c r="F9" s="480"/>
      <c r="G9" s="514"/>
      <c r="H9" s="480"/>
      <c r="I9" s="506" t="s">
        <v>1169</v>
      </c>
      <c r="J9" s="477"/>
      <c r="K9" s="480"/>
      <c r="L9" s="347"/>
    </row>
    <row r="10" spans="1:13" s="516" customFormat="1" ht="13.5" thickBot="1" x14ac:dyDescent="0.25">
      <c r="A10" s="1719" t="s">
        <v>1173</v>
      </c>
      <c r="B10" s="1692"/>
      <c r="C10" s="1671">
        <f ca="1">SUM(C8:C9)</f>
        <v>2175760</v>
      </c>
      <c r="D10" s="1671">
        <f t="shared" ref="D10:K10" ca="1" si="1">SUM(D8:D9)</f>
        <v>248342</v>
      </c>
      <c r="E10" s="1671">
        <f t="shared" ca="1" si="1"/>
        <v>0</v>
      </c>
      <c r="F10" s="1671">
        <f t="shared" ca="1" si="1"/>
        <v>201811</v>
      </c>
      <c r="G10" s="1671">
        <f t="shared" ca="1" si="1"/>
        <v>17784</v>
      </c>
      <c r="H10" s="1671">
        <f t="shared" ca="1" si="1"/>
        <v>53964</v>
      </c>
      <c r="I10" s="1671">
        <f t="shared" ca="1" si="1"/>
        <v>11495</v>
      </c>
      <c r="J10" s="1671">
        <f t="shared" ca="1" si="1"/>
        <v>90006</v>
      </c>
      <c r="K10" s="1671">
        <f t="shared" ca="1" si="1"/>
        <v>0</v>
      </c>
      <c r="L10" s="515"/>
    </row>
    <row r="11" spans="1:13" s="516" customFormat="1" ht="16.7" customHeight="1" thickTop="1" x14ac:dyDescent="0.2">
      <c r="A11" s="2171" t="s">
        <v>1176</v>
      </c>
      <c r="B11" s="2172"/>
      <c r="C11" s="1553"/>
      <c r="D11" s="1554"/>
      <c r="E11" s="1554"/>
      <c r="F11" s="1554"/>
      <c r="G11" s="1554"/>
      <c r="H11" s="1554"/>
      <c r="I11" s="1554"/>
      <c r="J11" s="1554"/>
      <c r="K11" s="1555"/>
      <c r="L11" s="515"/>
    </row>
    <row r="12" spans="1:13" ht="15.75" customHeight="1" x14ac:dyDescent="0.2">
      <c r="A12" s="1559" t="s">
        <v>456</v>
      </c>
      <c r="B12" s="1561">
        <v>1000</v>
      </c>
      <c r="C12" s="1725">
        <f ca="1">'Expenditures 15-22'!K33</f>
        <v>1170722</v>
      </c>
      <c r="D12" s="517" t="s">
        <v>1169</v>
      </c>
      <c r="E12" s="468" t="s">
        <v>1169</v>
      </c>
      <c r="F12" s="468" t="s">
        <v>1169</v>
      </c>
      <c r="G12" s="1725">
        <f ca="1">'Expenditures 15-22'!K229</f>
        <v>25655</v>
      </c>
      <c r="H12" s="518"/>
      <c r="I12" s="468" t="s">
        <v>1169</v>
      </c>
      <c r="J12" s="468" t="s">
        <v>1169</v>
      </c>
      <c r="K12" s="518" t="s">
        <v>1169</v>
      </c>
      <c r="L12" s="347"/>
    </row>
    <row r="13" spans="1:13" ht="15.75" customHeight="1" x14ac:dyDescent="0.2">
      <c r="A13" s="1559" t="s">
        <v>457</v>
      </c>
      <c r="B13" s="1561">
        <v>2000</v>
      </c>
      <c r="C13" s="1726">
        <f ca="1">'Expenditures 15-22'!K74</f>
        <v>551753</v>
      </c>
      <c r="D13" s="1726">
        <f ca="1">'Expenditures 15-22'!K129</f>
        <v>221857</v>
      </c>
      <c r="E13" s="469" t="s">
        <v>1169</v>
      </c>
      <c r="F13" s="1726">
        <f ca="1">'Expenditures 15-22'!K184</f>
        <v>114144</v>
      </c>
      <c r="G13" s="1726">
        <f ca="1">'Expenditures 15-22'!K279</f>
        <v>28101</v>
      </c>
      <c r="H13" s="1726">
        <f ca="1">'Expenditures 15-22'!K303</f>
        <v>46149</v>
      </c>
      <c r="I13" s="468" t="s">
        <v>1169</v>
      </c>
      <c r="J13" s="1726">
        <f ca="1">'Expenditures 15-22'!K330</f>
        <v>38115</v>
      </c>
      <c r="K13" s="1730">
        <f ca="1">'Expenditures 15-22'!K352</f>
        <v>0</v>
      </c>
      <c r="L13" s="347"/>
    </row>
    <row r="14" spans="1:13" ht="15.75" customHeight="1" x14ac:dyDescent="0.2">
      <c r="A14" s="1559" t="s">
        <v>449</v>
      </c>
      <c r="B14" s="1561">
        <v>3000</v>
      </c>
      <c r="C14" s="1726">
        <f ca="1">'Expenditures 15-22'!K75</f>
        <v>0</v>
      </c>
      <c r="D14" s="1726">
        <f ca="1">'Expenditures 15-22'!K130</f>
        <v>19198</v>
      </c>
      <c r="E14" s="517" t="s">
        <v>1169</v>
      </c>
      <c r="F14" s="1726">
        <f ca="1">'Expenditures 15-22'!K185</f>
        <v>0</v>
      </c>
      <c r="G14" s="1726">
        <f ca="1">'Expenditures 15-22'!K280</f>
        <v>1599</v>
      </c>
      <c r="H14" s="509"/>
      <c r="I14" s="468" t="s">
        <v>1169</v>
      </c>
      <c r="J14" s="468" t="s">
        <v>1169</v>
      </c>
      <c r="K14" s="509" t="s">
        <v>1169</v>
      </c>
      <c r="L14" s="347"/>
    </row>
    <row r="15" spans="1:13" ht="15.75" customHeight="1" x14ac:dyDescent="0.2">
      <c r="A15" s="1559" t="s">
        <v>107</v>
      </c>
      <c r="B15" s="1561">
        <v>4000</v>
      </c>
      <c r="C15" s="1726">
        <f ca="1">'Expenditures 15-22'!K102</f>
        <v>34422</v>
      </c>
      <c r="D15" s="1726">
        <f ca="1">'Expenditures 15-22'!K139</f>
        <v>0</v>
      </c>
      <c r="E15" s="1726">
        <f ca="1">'Expenditures 15-22'!K160</f>
        <v>0</v>
      </c>
      <c r="F15" s="1726">
        <f ca="1">'Expenditures 15-22'!K196</f>
        <v>0</v>
      </c>
      <c r="G15" s="1726">
        <f ca="1">'Expenditures 15-22'!K285</f>
        <v>0</v>
      </c>
      <c r="H15" s="1726">
        <f ca="1">'Expenditures 15-22'!K310</f>
        <v>0</v>
      </c>
      <c r="I15" s="468" t="s">
        <v>1169</v>
      </c>
      <c r="J15" s="1818">
        <f ca="1">'Expenditures 15-22'!K334</f>
        <v>0</v>
      </c>
      <c r="K15" s="1726">
        <f ca="1">'Expenditures 15-22'!K357</f>
        <v>0</v>
      </c>
      <c r="L15" s="347"/>
    </row>
    <row r="16" spans="1:13" ht="15.75" customHeight="1" x14ac:dyDescent="0.2">
      <c r="A16" s="1559" t="s">
        <v>450</v>
      </c>
      <c r="B16" s="1561">
        <v>5000</v>
      </c>
      <c r="C16" s="1726">
        <f ca="1">'Expenditures 15-22'!K112</f>
        <v>0</v>
      </c>
      <c r="D16" s="1726">
        <f ca="1">'Expenditures 15-22'!K149</f>
        <v>0</v>
      </c>
      <c r="E16" s="1726">
        <f ca="1">'Expenditures 15-22'!K172</f>
        <v>0</v>
      </c>
      <c r="F16" s="1726">
        <f ca="1">'Expenditures 15-22'!K208</f>
        <v>7690</v>
      </c>
      <c r="G16" s="1726">
        <f ca="1">'Expenditures 15-22'!K293</f>
        <v>0</v>
      </c>
      <c r="H16" s="520"/>
      <c r="I16" s="468" t="s">
        <v>1169</v>
      </c>
      <c r="J16" s="1731">
        <f ca="1">'Expenditures 15-22'!K340</f>
        <v>0</v>
      </c>
      <c r="K16" s="1726">
        <f ca="1">'Expenditures 15-22'!K365</f>
        <v>0</v>
      </c>
      <c r="L16" s="347"/>
    </row>
    <row r="17" spans="1:12" ht="13.5" thickBot="1" x14ac:dyDescent="0.25">
      <c r="A17" s="1691" t="s">
        <v>48</v>
      </c>
      <c r="B17" s="1692"/>
      <c r="C17" s="1671">
        <f t="shared" ref="C17:H17" ca="1" si="2">SUM(C12:C16)</f>
        <v>1756897</v>
      </c>
      <c r="D17" s="1671">
        <f t="shared" ca="1" si="2"/>
        <v>241055</v>
      </c>
      <c r="E17" s="1671">
        <f t="shared" ca="1" si="2"/>
        <v>0</v>
      </c>
      <c r="F17" s="1671">
        <f t="shared" ca="1" si="2"/>
        <v>121834</v>
      </c>
      <c r="G17" s="1671">
        <f t="shared" ca="1" si="2"/>
        <v>55355</v>
      </c>
      <c r="H17" s="1671">
        <f t="shared" ca="1" si="2"/>
        <v>46149</v>
      </c>
      <c r="I17" s="468"/>
      <c r="J17" s="1671">
        <f ca="1">SUM(J12:J16)</f>
        <v>38115</v>
      </c>
      <c r="K17" s="1671">
        <f ca="1">SUM(K12:K16)</f>
        <v>0</v>
      </c>
      <c r="L17" s="347"/>
    </row>
    <row r="18" spans="1:12" ht="15" customHeight="1" thickTop="1" x14ac:dyDescent="0.2">
      <c r="A18" s="1727" t="s">
        <v>1654</v>
      </c>
      <c r="B18" s="1728">
        <v>4180</v>
      </c>
      <c r="C18" s="1725">
        <f t="shared" ref="C18:H18" si="3">C9</f>
        <v>506605</v>
      </c>
      <c r="D18" s="1725">
        <f t="shared" si="3"/>
        <v>0</v>
      </c>
      <c r="E18" s="1725">
        <f t="shared" si="3"/>
        <v>0</v>
      </c>
      <c r="F18" s="1725">
        <f t="shared" si="3"/>
        <v>0</v>
      </c>
      <c r="G18" s="1725">
        <f t="shared" si="3"/>
        <v>0</v>
      </c>
      <c r="H18" s="1725">
        <f t="shared" si="3"/>
        <v>0</v>
      </c>
      <c r="I18" s="468"/>
      <c r="J18" s="1725">
        <f>J9</f>
        <v>0</v>
      </c>
      <c r="K18" s="1725">
        <f>K9</f>
        <v>0</v>
      </c>
      <c r="L18" s="347"/>
    </row>
    <row r="19" spans="1:12" ht="13.5" thickBot="1" x14ac:dyDescent="0.25">
      <c r="A19" s="1691" t="s">
        <v>505</v>
      </c>
      <c r="B19" s="1692"/>
      <c r="C19" s="1671">
        <f t="shared" ref="C19:H19" ca="1" si="4">SUM(C17:C18)</f>
        <v>2263502</v>
      </c>
      <c r="D19" s="1671">
        <f t="shared" ca="1" si="4"/>
        <v>241055</v>
      </c>
      <c r="E19" s="1671">
        <f t="shared" ca="1" si="4"/>
        <v>0</v>
      </c>
      <c r="F19" s="1671">
        <f t="shared" ca="1" si="4"/>
        <v>121834</v>
      </c>
      <c r="G19" s="1671">
        <f t="shared" ca="1" si="4"/>
        <v>55355</v>
      </c>
      <c r="H19" s="1671">
        <f t="shared" ca="1" si="4"/>
        <v>46149</v>
      </c>
      <c r="I19" s="468"/>
      <c r="J19" s="1671">
        <f ca="1">SUM(J17:J18)</f>
        <v>38115</v>
      </c>
      <c r="K19" s="1671">
        <f ca="1">SUM(K17:K18)</f>
        <v>0</v>
      </c>
      <c r="L19" s="347"/>
    </row>
    <row r="20" spans="1:12" ht="16.5" thickTop="1" thickBot="1" x14ac:dyDescent="0.25">
      <c r="A20" s="2187" t="s">
        <v>1655</v>
      </c>
      <c r="B20" s="2188"/>
      <c r="C20" s="1729">
        <f ca="1">C8-C17</f>
        <v>-87742</v>
      </c>
      <c r="D20" s="1729">
        <f t="shared" ref="D20:K20" ca="1" si="5">D8-D17</f>
        <v>7287</v>
      </c>
      <c r="E20" s="1729">
        <f t="shared" ca="1" si="5"/>
        <v>0</v>
      </c>
      <c r="F20" s="1729">
        <f t="shared" ca="1" si="5"/>
        <v>79977</v>
      </c>
      <c r="G20" s="1729">
        <f t="shared" ca="1" si="5"/>
        <v>-37571</v>
      </c>
      <c r="H20" s="1729">
        <f t="shared" ca="1" si="5"/>
        <v>7815</v>
      </c>
      <c r="I20" s="1729">
        <f t="shared" ca="1" si="5"/>
        <v>11495</v>
      </c>
      <c r="J20" s="1729">
        <f t="shared" ca="1" si="5"/>
        <v>51891</v>
      </c>
      <c r="K20" s="1729">
        <f t="shared" ca="1" si="5"/>
        <v>0</v>
      </c>
      <c r="L20" s="347"/>
    </row>
    <row r="21" spans="1:12" ht="16.7" customHeight="1" thickTop="1" x14ac:dyDescent="0.2">
      <c r="A21" s="2199" t="s">
        <v>595</v>
      </c>
      <c r="B21" s="2200"/>
      <c r="C21" s="1553"/>
      <c r="D21" s="1554"/>
      <c r="E21" s="1554"/>
      <c r="F21" s="1554"/>
      <c r="G21" s="1554"/>
      <c r="H21" s="1554"/>
      <c r="I21" s="1554"/>
      <c r="J21" s="1554"/>
      <c r="K21" s="1555"/>
      <c r="L21" s="521"/>
    </row>
    <row r="22" spans="1:12" ht="15.75" customHeight="1" collapsed="1" x14ac:dyDescent="0.2">
      <c r="A22" s="2195" t="s">
        <v>596</v>
      </c>
      <c r="B22" s="2196"/>
      <c r="C22" s="476"/>
      <c r="D22" s="476"/>
      <c r="E22" s="476"/>
      <c r="F22" s="476"/>
      <c r="G22" s="476"/>
      <c r="H22" s="476"/>
      <c r="I22" s="476"/>
      <c r="J22" s="476"/>
      <c r="K22" s="476"/>
      <c r="L22" s="347"/>
    </row>
    <row r="23" spans="1:12" s="484" customFormat="1" ht="15.75" customHeight="1" x14ac:dyDescent="0.2">
      <c r="A23" s="2191" t="s">
        <v>293</v>
      </c>
      <c r="B23" s="2192"/>
      <c r="C23" s="479"/>
      <c r="D23" s="476"/>
      <c r="E23" s="476"/>
      <c r="F23" s="476"/>
      <c r="G23" s="476"/>
      <c r="H23" s="476"/>
      <c r="I23" s="476"/>
      <c r="J23" s="476"/>
      <c r="K23" s="476"/>
      <c r="L23" s="521"/>
    </row>
    <row r="24" spans="1:12" s="484" customFormat="1" ht="13.5" customHeight="1" x14ac:dyDescent="0.2">
      <c r="A24" s="1472" t="s">
        <v>1656</v>
      </c>
      <c r="B24" s="522">
        <v>7110</v>
      </c>
      <c r="C24" s="466">
        <f>0</f>
        <v>0</v>
      </c>
      <c r="D24" s="476"/>
      <c r="E24" s="476"/>
      <c r="F24" s="476"/>
      <c r="G24" s="476"/>
      <c r="H24" s="476"/>
      <c r="I24" s="476"/>
      <c r="J24" s="476"/>
      <c r="K24" s="476"/>
      <c r="L24" s="521"/>
    </row>
    <row r="25" spans="1:12" s="484" customFormat="1" ht="13.5" customHeight="1" x14ac:dyDescent="0.2">
      <c r="A25" s="1472" t="s">
        <v>1657</v>
      </c>
      <c r="B25" s="522">
        <v>7110</v>
      </c>
      <c r="C25" s="466">
        <f ca="1">ROUND(SUMIF(INDIRECT(Formulas!$B$1),MID(C$1,2,2)&amp;"-"&amp;LEFT($B25,4)&amp;"*-0*",INDIRECT(Formulas!$B$3)),0)</f>
        <v>0</v>
      </c>
      <c r="D25" s="466">
        <f ca="1">ROUND(SUMIF(INDIRECT(Formulas!$B$1),MID(D$1,2,2)&amp;"-"&amp;LEFT($B25,4)&amp;"*-0*",INDIRECT(Formulas!$B$3)),0)</f>
        <v>0</v>
      </c>
      <c r="E25" s="466">
        <f ca="1">ROUND(SUMIF(INDIRECT(Formulas!$B$1),MID(E$1,2,2)&amp;"-"&amp;LEFT($B25,4)&amp;"*-0*",INDIRECT(Formulas!$B$3)),0)</f>
        <v>0</v>
      </c>
      <c r="F25" s="466">
        <f ca="1">ROUND(SUMIF(INDIRECT(Formulas!$B$1),MID(F$1,2,2)&amp;"-"&amp;LEFT($B25,4)&amp;"*-0*",INDIRECT(Formulas!$B$3)),0)</f>
        <v>0</v>
      </c>
      <c r="G25" s="466">
        <f ca="1">ROUND(SUMIF(INDIRECT(Formulas!$B$1),MID(G$1,2,2)&amp;"-"&amp;LEFT($B25,4)&amp;"*-0*",INDIRECT(Formulas!$B$3)),0)</f>
        <v>0</v>
      </c>
      <c r="H25" s="466">
        <f ca="1">ROUND(SUMIF(INDIRECT(Formulas!$B$1),MID(H$1,2,2)&amp;"-"&amp;LEFT($B25,4)&amp;"*-0*",INDIRECT(Formulas!$B$3)),0)</f>
        <v>0</v>
      </c>
      <c r="I25" s="476"/>
      <c r="J25" s="466">
        <f ca="1">ROUND(SUMIF(INDIRECT(Formulas!$B$1),MID(J$1,2,2)&amp;"-"&amp;LEFT($B25,4)&amp;"*-0*",INDIRECT(Formulas!$B$3)),0)</f>
        <v>0</v>
      </c>
      <c r="K25" s="466">
        <f ca="1">ROUND(SUMIF(INDIRECT(Formulas!$B$1),MID(K$1,2,2)&amp;"-"&amp;LEFT($B25,4)&amp;"*-0*",INDIRECT(Formulas!$B$3)),0)</f>
        <v>0</v>
      </c>
      <c r="L25" s="521"/>
    </row>
    <row r="26" spans="1:12" s="484" customFormat="1" ht="13.5" customHeight="1" x14ac:dyDescent="0.2">
      <c r="A26" s="1472" t="s">
        <v>184</v>
      </c>
      <c r="B26" s="482">
        <v>7120</v>
      </c>
      <c r="C26" s="466">
        <f ca="1">ROUND(SUMIF(INDIRECT(Formulas!$B$1),MID(C$1,2,2)&amp;"-"&amp;LEFT($B26,4)&amp;"*-0*",INDIRECT(Formulas!$B$3)),0)</f>
        <v>0</v>
      </c>
      <c r="D26" s="466">
        <f ca="1">ROUND(SUMIF(INDIRECT(Formulas!$B$1),MID(D$1,2,2)&amp;"-"&amp;LEFT($B26,4)&amp;"*-0*",INDIRECT(Formulas!$B$3)),0)</f>
        <v>0</v>
      </c>
      <c r="E26" s="466">
        <f ca="1">ROUND(SUMIF(INDIRECT(Formulas!$B$1),MID(E$1,2,2)&amp;"-"&amp;LEFT($B26,4)&amp;"*-0*",INDIRECT(Formulas!$B$3)),0)</f>
        <v>0</v>
      </c>
      <c r="F26" s="466">
        <f ca="1">ROUND(SUMIF(INDIRECT(Formulas!$B$1),MID(F$1,2,2)&amp;"-"&amp;LEFT($B26,4)&amp;"*-0*",INDIRECT(Formulas!$B$3)),0)</f>
        <v>0</v>
      </c>
      <c r="G26" s="466">
        <f ca="1">ROUND(SUMIF(INDIRECT(Formulas!$B$1),MID(G$1,2,2)&amp;"-"&amp;LEFT($B26,4)&amp;"*-0*",INDIRECT(Formulas!$B$3)),0)</f>
        <v>0</v>
      </c>
      <c r="H26" s="466">
        <f ca="1">ROUND(SUMIF(INDIRECT(Formulas!$B$1),MID(H$1,2,2)&amp;"-"&amp;LEFT($B26,4)&amp;"*-0*",INDIRECT(Formulas!$B$3)),0)</f>
        <v>0</v>
      </c>
      <c r="I26" s="476"/>
      <c r="J26" s="466">
        <f ca="1">ROUND(SUMIF(INDIRECT(Formulas!$B$1),MID(J$1,2,2)&amp;"-"&amp;LEFT($B26,4)&amp;"*-0*",INDIRECT(Formulas!$B$3)),0)</f>
        <v>0</v>
      </c>
      <c r="K26" s="466">
        <f ca="1">ROUND(SUMIF(INDIRECT(Formulas!$B$1),MID(K$1,2,2)&amp;"-"&amp;LEFT($B26,4)&amp;"*-0*",INDIRECT(Formulas!$B$3)),0)</f>
        <v>0</v>
      </c>
      <c r="L26" s="521"/>
    </row>
    <row r="27" spans="1:12" s="484" customFormat="1" ht="13.5" customHeight="1" x14ac:dyDescent="0.2">
      <c r="A27" s="1472" t="s">
        <v>185</v>
      </c>
      <c r="B27" s="482">
        <v>7130</v>
      </c>
      <c r="C27" s="466">
        <f ca="1">ROUND(SUMIF(INDIRECT(Formulas!$B$1),MID(C$1,2,2)&amp;"-"&amp;LEFT($B27,4)&amp;"*-0*",INDIRECT(Formulas!$B$3)),0)</f>
        <v>0</v>
      </c>
      <c r="D27" s="466">
        <f ca="1">ROUND(SUMIF(INDIRECT(Formulas!$B$1),MID(D$1,2,2)&amp;"-"&amp;LEFT($B27,4)&amp;"*-0*",INDIRECT(Formulas!$B$3)),0)</f>
        <v>0</v>
      </c>
      <c r="E27" s="523"/>
      <c r="F27" s="466">
        <f ca="1">ROUND(SUMIF(INDIRECT(Formulas!$B$1),MID(F$1,2,2)&amp;"-"&amp;LEFT($B27,4)&amp;"*-0*",INDIRECT(Formulas!$B$3)),0)</f>
        <v>0</v>
      </c>
      <c r="G27" s="479"/>
      <c r="H27" s="479"/>
      <c r="I27" s="479"/>
      <c r="J27" s="479"/>
      <c r="K27" s="479"/>
      <c r="L27" s="521"/>
    </row>
    <row r="28" spans="1:12" s="484" customFormat="1" ht="13.5" customHeight="1" x14ac:dyDescent="0.2">
      <c r="A28" s="1472" t="s">
        <v>1398</v>
      </c>
      <c r="B28" s="482">
        <v>7140</v>
      </c>
      <c r="C28" s="466">
        <f ca="1">ROUND(SUMIF(INDIRECT(Formulas!$B$1),MID(C$1,2,2)&amp;"-"&amp;LEFT($B28,4)&amp;"*-0*",INDIRECT(Formulas!$B$3)),0)</f>
        <v>0</v>
      </c>
      <c r="D28" s="466">
        <f ca="1">ROUND(SUMIF(INDIRECT(Formulas!$B$1),MID(D$1,2,2)&amp;"-"&amp;LEFT($B28,4)&amp;"*-0*",INDIRECT(Formulas!$B$3)),0)</f>
        <v>0</v>
      </c>
      <c r="E28" s="466">
        <f ca="1">ROUND(SUMIF(INDIRECT(Formulas!$B$1),MID(E$1,2,2)&amp;"-"&amp;LEFT($B28,4)&amp;"*-0*",INDIRECT(Formulas!$B$3)),0)</f>
        <v>0</v>
      </c>
      <c r="F28" s="466">
        <f ca="1">ROUND(SUMIF(INDIRECT(Formulas!$B$1),MID(F$1,2,2)&amp;"-"&amp;LEFT($B28,4)&amp;"*-0*",INDIRECT(Formulas!$B$3)),0)</f>
        <v>0</v>
      </c>
      <c r="G28" s="466">
        <f ca="1">ROUND(SUMIF(INDIRECT(Formulas!$B$1),MID(G$1,2,2)&amp;"-"&amp;LEFT($B28,4)&amp;"*-0*",INDIRECT(Formulas!$B$3)),0)</f>
        <v>0</v>
      </c>
      <c r="H28" s="466">
        <f ca="1">ROUND(SUMIF(INDIRECT(Formulas!$B$1),MID(H$1,2,2)&amp;"-"&amp;LEFT($B28,4)&amp;"*-0*",INDIRECT(Formulas!$B$3)),0)</f>
        <v>0</v>
      </c>
      <c r="I28" s="466">
        <f ca="1">ROUND(SUMIF(INDIRECT(Formulas!$B$1),MID(I$1,2,2)&amp;"-"&amp;LEFT($B28,4)&amp;"*-0*",INDIRECT(Formulas!$B$3)),0)</f>
        <v>0</v>
      </c>
      <c r="J28" s="466">
        <f ca="1">ROUND(SUMIF(INDIRECT(Formulas!$B$1),MID(J$1,2,2)&amp;"-"&amp;LEFT($B28,4)&amp;"*-0*",INDIRECT(Formulas!$B$3)),0)</f>
        <v>0</v>
      </c>
      <c r="K28" s="466">
        <f ca="1">ROUND(SUMIF(INDIRECT(Formulas!$B$1),MID(K$1,2,2)&amp;"-"&amp;LEFT($B28,4)&amp;"*-0*",INDIRECT(Formulas!$B$3)),0)</f>
        <v>0</v>
      </c>
      <c r="L28" s="521"/>
    </row>
    <row r="29" spans="1:12" s="484" customFormat="1" ht="13.5" customHeight="1" x14ac:dyDescent="0.2">
      <c r="A29" s="1472" t="s">
        <v>294</v>
      </c>
      <c r="B29" s="482">
        <v>7150</v>
      </c>
      <c r="C29" s="475"/>
      <c r="D29" s="466">
        <f ca="1">ROUND(SUMIF(INDIRECT(Formulas!$B$1),MID(D$1,2,2)&amp;"-"&amp;LEFT($B29,4)&amp;"*-0*",INDIRECT(Formulas!$B$3)),0)</f>
        <v>0</v>
      </c>
      <c r="E29" s="475"/>
      <c r="F29" s="475"/>
      <c r="G29" s="475"/>
      <c r="H29" s="475"/>
      <c r="I29" s="475"/>
      <c r="J29" s="475"/>
      <c r="K29" s="475"/>
      <c r="L29" s="521"/>
    </row>
    <row r="30" spans="1:12" s="484" customFormat="1" ht="26.25" x14ac:dyDescent="0.2">
      <c r="A30" s="1472" t="s">
        <v>1793</v>
      </c>
      <c r="B30" s="524">
        <v>7160</v>
      </c>
      <c r="C30" s="476"/>
      <c r="D30" s="466">
        <f ca="1">ROUND(SUMIF(INDIRECT(Formulas!$B$1),MID(D$1,2,2)&amp;"-"&amp;LEFT($B30,4)&amp;"*-0*",INDIRECT(Formulas!$B$3)),0)</f>
        <v>0</v>
      </c>
      <c r="E30" s="476"/>
      <c r="F30" s="476"/>
      <c r="G30" s="476"/>
      <c r="H30" s="476"/>
      <c r="I30" s="476"/>
      <c r="J30" s="476"/>
      <c r="K30" s="476"/>
      <c r="L30" s="521"/>
    </row>
    <row r="31" spans="1:12" s="484" customFormat="1" ht="26.25" x14ac:dyDescent="0.2">
      <c r="A31" s="1472" t="s">
        <v>1797</v>
      </c>
      <c r="B31" s="524">
        <v>7170</v>
      </c>
      <c r="C31" s="476"/>
      <c r="D31" s="476"/>
      <c r="E31" s="466">
        <f ca="1">ROUND(SUMIF(INDIRECT(Formulas!$B$1),MID(E$1,2,2)&amp;"-"&amp;LEFT($B31,4)&amp;"*-0*",INDIRECT(Formulas!$B$3)),0)</f>
        <v>0</v>
      </c>
      <c r="F31" s="476"/>
      <c r="G31" s="476"/>
      <c r="H31" s="476"/>
      <c r="I31" s="476"/>
      <c r="J31" s="476"/>
      <c r="K31" s="476"/>
      <c r="L31" s="521"/>
    </row>
    <row r="32" spans="1:12" s="484" customFormat="1" ht="15.75" customHeight="1" x14ac:dyDescent="0.2">
      <c r="A32" s="2193" t="s">
        <v>981</v>
      </c>
      <c r="B32" s="2194"/>
      <c r="C32" s="476"/>
      <c r="D32" s="476"/>
      <c r="E32" s="475"/>
      <c r="F32" s="476"/>
      <c r="G32" s="476"/>
      <c r="H32" s="476"/>
      <c r="I32" s="476"/>
      <c r="J32" s="476"/>
      <c r="K32" s="476"/>
      <c r="L32" s="521"/>
    </row>
    <row r="33" spans="1:12" s="484" customFormat="1" x14ac:dyDescent="0.2">
      <c r="A33" s="1472" t="s">
        <v>412</v>
      </c>
      <c r="B33" s="522">
        <v>7210</v>
      </c>
      <c r="C33" s="466">
        <f ca="1">ROUND(SUMIF(INDIRECT(Formulas!$B$1),MID(C$1,2,2)&amp;"-"&amp;LEFT($B33,4)&amp;"*-0*",INDIRECT(Formulas!$B$3)),0)</f>
        <v>0</v>
      </c>
      <c r="D33" s="466">
        <f ca="1">ROUND(SUMIF(INDIRECT(Formulas!$B$1),MID(D$1,2,2)&amp;"-"&amp;LEFT($B33,4)&amp;"*-0*",INDIRECT(Formulas!$B$3)),0)</f>
        <v>0</v>
      </c>
      <c r="E33" s="466">
        <f ca="1">ROUND(SUMIF(INDIRECT(Formulas!$B$1),MID(E$1,2,2)&amp;"-"&amp;LEFT($B33,4)&amp;"*-0*",INDIRECT(Formulas!$B$3)),0)</f>
        <v>0</v>
      </c>
      <c r="F33" s="466">
        <f ca="1">ROUND(SUMIF(INDIRECT(Formulas!$B$1),MID(F$1,2,2)&amp;"-"&amp;LEFT($B33,4)&amp;"*-0*",INDIRECT(Formulas!$B$3)),0)</f>
        <v>0</v>
      </c>
      <c r="G33" s="476"/>
      <c r="H33" s="466">
        <f ca="1">ROUND(SUMIF(INDIRECT(Formulas!$B$1),MID(H$1,2,2)&amp;"-"&amp;LEFT($B33,4)&amp;"*-0*",INDIRECT(Formulas!$B$3)),0)</f>
        <v>0</v>
      </c>
      <c r="I33" s="466">
        <f ca="1">ROUND(SUMIF(INDIRECT(Formulas!$B$1),MID(I$1,2,2)&amp;"-"&amp;LEFT($B33,4)&amp;"*-0*",INDIRECT(Formulas!$B$3)),0)</f>
        <v>0</v>
      </c>
      <c r="J33" s="466">
        <f ca="1">ROUND(SUMIF(INDIRECT(Formulas!$B$1),MID(J$1,2,2)&amp;"-"&amp;LEFT($B33,4)&amp;"*-0*",INDIRECT(Formulas!$B$3)),0)</f>
        <v>0</v>
      </c>
      <c r="K33" s="466">
        <f ca="1">ROUND(SUMIF(INDIRECT(Formulas!$B$1),MID(K$1,2,2)&amp;"-"&amp;LEFT($B33,4)&amp;"*-0*",INDIRECT(Formulas!$B$3)),0)</f>
        <v>0</v>
      </c>
      <c r="L33" s="521"/>
    </row>
    <row r="34" spans="1:12" s="484" customFormat="1" x14ac:dyDescent="0.2">
      <c r="A34" s="1472" t="s">
        <v>1001</v>
      </c>
      <c r="B34" s="522">
        <v>7220</v>
      </c>
      <c r="C34" s="466">
        <f ca="1">ROUND(SUMIF(INDIRECT(Formulas!$B$1),MID(C$1,2,2)&amp;"-"&amp;LEFT($B34,4)&amp;"*-0*",INDIRECT(Formulas!$B$3)),0)</f>
        <v>0</v>
      </c>
      <c r="D34" s="466">
        <f ca="1">ROUND(SUMIF(INDIRECT(Formulas!$B$1),MID(D$1,2,2)&amp;"-"&amp;LEFT($B34,4)&amp;"*-0*",INDIRECT(Formulas!$B$3)),0)</f>
        <v>0</v>
      </c>
      <c r="E34" s="466">
        <f ca="1">ROUND(SUMIF(INDIRECT(Formulas!$B$1),MID(E$1,2,2)&amp;"-"&amp;LEFT($B34,4)&amp;"*-0*",INDIRECT(Formulas!$B$3)),0)</f>
        <v>0</v>
      </c>
      <c r="F34" s="466">
        <f ca="1">ROUND(SUMIF(INDIRECT(Formulas!$B$1),MID(F$1,2,2)&amp;"-"&amp;LEFT($B34,4)&amp;"*-0*",INDIRECT(Formulas!$B$3)),0)</f>
        <v>0</v>
      </c>
      <c r="G34" s="476"/>
      <c r="H34" s="466">
        <f ca="1">ROUND(SUMIF(INDIRECT(Formulas!$B$1),MID(H$1,2,2)&amp;"-"&amp;LEFT($B34,4)&amp;"*-0*",INDIRECT(Formulas!$B$3)),0)</f>
        <v>0</v>
      </c>
      <c r="I34" s="466">
        <f ca="1">ROUND(SUMIF(INDIRECT(Formulas!$B$1),MID(I$1,2,2)&amp;"-"&amp;LEFT($B34,4)&amp;"*-0*",INDIRECT(Formulas!$B$3)),0)</f>
        <v>0</v>
      </c>
      <c r="J34" s="466">
        <f ca="1">ROUND(SUMIF(INDIRECT(Formulas!$B$1),MID(J$1,2,2)&amp;"-"&amp;LEFT($B34,4)&amp;"*-0*",INDIRECT(Formulas!$B$3)),0)</f>
        <v>0</v>
      </c>
      <c r="K34" s="466">
        <f ca="1">ROUND(SUMIF(INDIRECT(Formulas!$B$1),MID(K$1,2,2)&amp;"-"&amp;LEFT($B34,4)&amp;"*-0*",INDIRECT(Formulas!$B$3)),0)</f>
        <v>0</v>
      </c>
      <c r="L34" s="521"/>
    </row>
    <row r="35" spans="1:12" s="484" customFormat="1" x14ac:dyDescent="0.2">
      <c r="A35" s="1472" t="s">
        <v>990</v>
      </c>
      <c r="B35" s="522">
        <v>7230</v>
      </c>
      <c r="C35" s="466">
        <f ca="1">ROUND(SUMIF(INDIRECT(Formulas!$B$1),MID(C$1,2,2)&amp;"-"&amp;LEFT($B35,4)&amp;"*-0*",INDIRECT(Formulas!$B$3)),0)</f>
        <v>0</v>
      </c>
      <c r="D35" s="466">
        <f ca="1">ROUND(SUMIF(INDIRECT(Formulas!$B$1),MID(D$1,2,2)&amp;"-"&amp;LEFT($B35,4)&amp;"*-0*",INDIRECT(Formulas!$B$3)),0)</f>
        <v>0</v>
      </c>
      <c r="E35" s="466">
        <f ca="1">ROUND(SUMIF(INDIRECT(Formulas!$B$1),MID(E$1,2,2)&amp;"-"&amp;LEFT($B35,4)&amp;"*-0*",INDIRECT(Formulas!$B$3)),0)</f>
        <v>0</v>
      </c>
      <c r="F35" s="466">
        <f ca="1">ROUND(SUMIF(INDIRECT(Formulas!$B$1),MID(F$1,2,2)&amp;"-"&amp;LEFT($B35,4)&amp;"*-0*",INDIRECT(Formulas!$B$3)),0)</f>
        <v>0</v>
      </c>
      <c r="G35" s="479"/>
      <c r="H35" s="466">
        <f ca="1">ROUND(SUMIF(INDIRECT(Formulas!$B$1),MID(H$1,2,2)&amp;"-"&amp;LEFT($B35,4)&amp;"*-0*",INDIRECT(Formulas!$B$3)),0)</f>
        <v>0</v>
      </c>
      <c r="I35" s="466">
        <f ca="1">ROUND(SUMIF(INDIRECT(Formulas!$B$1),MID(I$1,2,2)&amp;"-"&amp;LEFT($B35,4)&amp;"*-0*",INDIRECT(Formulas!$B$3)),0)</f>
        <v>0</v>
      </c>
      <c r="J35" s="466">
        <f ca="1">ROUND(SUMIF(INDIRECT(Formulas!$B$1),MID(J$1,2,2)&amp;"-"&amp;LEFT($B35,4)&amp;"*-0*",INDIRECT(Formulas!$B$3)),0)</f>
        <v>0</v>
      </c>
      <c r="K35" s="466">
        <f ca="1">ROUND(SUMIF(INDIRECT(Formulas!$B$1),MID(K$1,2,2)&amp;"-"&amp;LEFT($B35,4)&amp;"*-0*",INDIRECT(Formulas!$B$3)),0)</f>
        <v>0</v>
      </c>
      <c r="L35" s="521"/>
    </row>
    <row r="36" spans="1:12" s="484" customFormat="1" ht="15" x14ac:dyDescent="0.2">
      <c r="A36" s="1472" t="s">
        <v>1658</v>
      </c>
      <c r="B36" s="522">
        <v>7300</v>
      </c>
      <c r="C36" s="466">
        <f ca="1">ROUND(SUMIF(INDIRECT(Formulas!$B$1),MID(C$1,2,2)&amp;"-"&amp;LEFT($B36,4)&amp;"*-0*",INDIRECT(Formulas!$B$3)),0)</f>
        <v>0</v>
      </c>
      <c r="D36" s="466">
        <f ca="1">ROUND(SUMIF(INDIRECT(Formulas!$B$1),MID(D$1,2,2)&amp;"-"&amp;LEFT($B36,4)&amp;"*-0*",INDIRECT(Formulas!$B$3)),0)</f>
        <v>0</v>
      </c>
      <c r="E36" s="466">
        <f ca="1">ROUND(SUMIF(INDIRECT(Formulas!$B$1),MID(E$1,2,2)&amp;"-"&amp;LEFT($B36,4)&amp;"*-0*",INDIRECT(Formulas!$B$3)),0)</f>
        <v>0</v>
      </c>
      <c r="F36" s="466">
        <f ca="1">ROUND(SUMIF(INDIRECT(Formulas!$B$1),MID(F$1,2,2)&amp;"-"&amp;LEFT($B36,4)&amp;"*-0*",INDIRECT(Formulas!$B$3)),0)</f>
        <v>0</v>
      </c>
      <c r="G36" s="466">
        <f ca="1">ROUND(SUMIF(INDIRECT(Formulas!$B$1),MID(G$1,2,2)&amp;"-"&amp;LEFT($B36,4)&amp;"*-0*",INDIRECT(Formulas!$B$3)),0)</f>
        <v>0</v>
      </c>
      <c r="H36" s="466">
        <f ca="1">ROUND(SUMIF(INDIRECT(Formulas!$B$1),MID(H$1,2,2)&amp;"-"&amp;LEFT($B36,4)&amp;"*-0*",INDIRECT(Formulas!$B$3)),0)</f>
        <v>0</v>
      </c>
      <c r="I36" s="475"/>
      <c r="J36" s="466">
        <f ca="1">ROUND(SUMIF(INDIRECT(Formulas!$B$1),MID(J$1,2,2)&amp;"-"&amp;LEFT($B36,4)&amp;"*-0*",INDIRECT(Formulas!$B$3)),0)</f>
        <v>0</v>
      </c>
      <c r="K36" s="466">
        <f ca="1">ROUND(SUMIF(INDIRECT(Formulas!$B$1),MID(K$1,2,2)&amp;"-"&amp;LEFT($B36,4)&amp;"*-0*",INDIRECT(Formulas!$B$3)),0)</f>
        <v>0</v>
      </c>
      <c r="L36" s="521"/>
    </row>
    <row r="37" spans="1:12" s="484" customFormat="1" x14ac:dyDescent="0.2">
      <c r="A37" s="1472" t="s">
        <v>441</v>
      </c>
      <c r="B37" s="522">
        <v>7400</v>
      </c>
      <c r="C37" s="475"/>
      <c r="D37" s="475"/>
      <c r="E37" s="1726">
        <f ca="1">SUM(C54:D57,H54:H57)</f>
        <v>0</v>
      </c>
      <c r="F37" s="475"/>
      <c r="G37" s="475"/>
      <c r="H37" s="475"/>
      <c r="I37" s="476"/>
      <c r="J37" s="475"/>
      <c r="K37" s="475"/>
      <c r="L37" s="521"/>
    </row>
    <row r="38" spans="1:12" s="484" customFormat="1" x14ac:dyDescent="0.2">
      <c r="A38" s="1472" t="s">
        <v>442</v>
      </c>
      <c r="B38" s="522">
        <v>7500</v>
      </c>
      <c r="C38" s="476"/>
      <c r="D38" s="476"/>
      <c r="E38" s="1726">
        <f ca="1">SUM(C58:D61,H58:H61)</f>
        <v>0</v>
      </c>
      <c r="F38" s="476"/>
      <c r="G38" s="476"/>
      <c r="H38" s="476"/>
      <c r="I38" s="476"/>
      <c r="J38" s="476"/>
      <c r="K38" s="476"/>
      <c r="L38" s="521"/>
    </row>
    <row r="39" spans="1:12" s="484" customFormat="1" x14ac:dyDescent="0.2">
      <c r="A39" s="1472" t="s">
        <v>443</v>
      </c>
      <c r="B39" s="522">
        <v>7600</v>
      </c>
      <c r="C39" s="476"/>
      <c r="D39" s="476"/>
      <c r="E39" s="1726">
        <f ca="1">SUM(C62:D65)</f>
        <v>0</v>
      </c>
      <c r="F39" s="476"/>
      <c r="G39" s="476"/>
      <c r="H39" s="476"/>
      <c r="I39" s="476"/>
      <c r="J39" s="476"/>
      <c r="K39" s="476"/>
      <c r="L39" s="521"/>
    </row>
    <row r="40" spans="1:12" s="484" customFormat="1" ht="13.5" customHeight="1" x14ac:dyDescent="0.2">
      <c r="A40" s="1472" t="s">
        <v>642</v>
      </c>
      <c r="B40" s="482">
        <v>7700</v>
      </c>
      <c r="C40" s="476"/>
      <c r="D40" s="476"/>
      <c r="E40" s="1726">
        <f ca="1">SUM(C66:D69)</f>
        <v>0</v>
      </c>
      <c r="F40" s="476"/>
      <c r="G40" s="476"/>
      <c r="H40" s="479"/>
      <c r="I40" s="476"/>
      <c r="J40" s="476"/>
      <c r="K40" s="476"/>
      <c r="L40" s="521"/>
    </row>
    <row r="41" spans="1:12" s="484" customFormat="1" ht="13.5" customHeight="1" x14ac:dyDescent="0.2">
      <c r="A41" s="1472" t="s">
        <v>640</v>
      </c>
      <c r="B41" s="482">
        <v>7800</v>
      </c>
      <c r="C41" s="479"/>
      <c r="D41" s="479"/>
      <c r="E41" s="523"/>
      <c r="F41" s="479"/>
      <c r="G41" s="479"/>
      <c r="H41" s="1726">
        <f ca="1">SUM(C70:D73)</f>
        <v>0</v>
      </c>
      <c r="I41" s="476"/>
      <c r="J41" s="476"/>
      <c r="K41" s="479"/>
      <c r="L41" s="521"/>
    </row>
    <row r="42" spans="1:12" s="484" customFormat="1" ht="13.5" customHeight="1" x14ac:dyDescent="0.2">
      <c r="A42" s="1472" t="s">
        <v>641</v>
      </c>
      <c r="B42" s="482">
        <v>7900</v>
      </c>
      <c r="C42" s="466">
        <f ca="1">ROUND(SUMIF(INDIRECT(Formulas!$B$1),MID(C$1,2,2)&amp;"-"&amp;LEFT($B42,4)&amp;"*-0*",INDIRECT(Formulas!$B$3)),0)</f>
        <v>0</v>
      </c>
      <c r="D42" s="466">
        <f ca="1">ROUND(SUMIF(INDIRECT(Formulas!$B$1),MID(D$1,2,2)&amp;"-"&amp;LEFT($B42,4)&amp;"*-0*",INDIRECT(Formulas!$B$3)),0)</f>
        <v>0</v>
      </c>
      <c r="E42" s="466">
        <f ca="1">ROUND(SUMIF(INDIRECT(Formulas!$B$1),MID(E$1,2,2)&amp;"-"&amp;LEFT($B42,4)&amp;"*-0*",INDIRECT(Formulas!$B$3)),0)</f>
        <v>0</v>
      </c>
      <c r="F42" s="466">
        <f ca="1">ROUND(SUMIF(INDIRECT(Formulas!$B$1),MID(F$1,2,2)&amp;"-"&amp;LEFT($B42,4)&amp;"*-0*",INDIRECT(Formulas!$B$3)),0)</f>
        <v>0</v>
      </c>
      <c r="G42" s="466">
        <f ca="1">ROUND(SUMIF(INDIRECT(Formulas!$B$1),MID(G$1,2,2)&amp;"-"&amp;LEFT($B42,4)&amp;"*-0*",INDIRECT(Formulas!$B$3)),0)</f>
        <v>0</v>
      </c>
      <c r="H42" s="466">
        <f ca="1">ROUND(SUMIF(INDIRECT(Formulas!$B$1),MID(H$1,2,2)&amp;"-"&amp;LEFT($B42,4)&amp;"*-0*",INDIRECT(Formulas!$B$3)),0)</f>
        <v>0</v>
      </c>
      <c r="I42" s="479"/>
      <c r="J42" s="479"/>
      <c r="K42" s="466">
        <f ca="1">ROUND(SUMIF(INDIRECT(Formulas!$B$1),MID(K$1,2,2)&amp;"-"&amp;LEFT($B42,4)&amp;"*-0*",INDIRECT(Formulas!$B$3)),0)</f>
        <v>0</v>
      </c>
      <c r="L42" s="521"/>
    </row>
    <row r="43" spans="1:12" s="484" customFormat="1" ht="13.5" customHeight="1" x14ac:dyDescent="0.2">
      <c r="A43" s="1472" t="s">
        <v>373</v>
      </c>
      <c r="B43" s="482">
        <v>7990</v>
      </c>
      <c r="C43" s="466">
        <f ca="1">ROUND(SUMIF(INDIRECT(Formulas!$B$1),MID(C$1,2,2)&amp;"-"&amp;LEFT($B43,4)&amp;"*-0*",INDIRECT(Formulas!$B$3)),0)</f>
        <v>0</v>
      </c>
      <c r="D43" s="466">
        <f ca="1">ROUND(SUMIF(INDIRECT(Formulas!$B$1),MID(D$1,2,2)&amp;"-"&amp;LEFT($B43,4)&amp;"*-0*",INDIRECT(Formulas!$B$3)),0)</f>
        <v>0</v>
      </c>
      <c r="E43" s="466">
        <f ca="1">ROUND(SUMIF(INDIRECT(Formulas!$B$1),MID(E$1,2,2)&amp;"-"&amp;LEFT($B43,4)&amp;"*-0*",INDIRECT(Formulas!$B$3)),0)</f>
        <v>0</v>
      </c>
      <c r="F43" s="466">
        <f ca="1">ROUND(SUMIF(INDIRECT(Formulas!$B$1),MID(F$1,2,2)&amp;"-"&amp;LEFT($B43,4)&amp;"*-0*",INDIRECT(Formulas!$B$3)),0)</f>
        <v>0</v>
      </c>
      <c r="G43" s="466">
        <f ca="1">ROUND(SUMIF(INDIRECT(Formulas!$B$1),MID(G$1,2,2)&amp;"-"&amp;LEFT($B43,4)&amp;"*-0*",INDIRECT(Formulas!$B$3)),0)</f>
        <v>0</v>
      </c>
      <c r="H43" s="466">
        <f ca="1">ROUND(SUMIF(INDIRECT(Formulas!$B$1),MID(H$1,2,2)&amp;"-"&amp;LEFT($B43,4)&amp;"*-0*",INDIRECT(Formulas!$B$3)),0)</f>
        <v>0</v>
      </c>
      <c r="I43" s="466">
        <f ca="1">ROUND(SUMIF(INDIRECT(Formulas!$B$1),MID(I$1,2,2)&amp;"-"&amp;LEFT($B43,4)&amp;"*-0*",INDIRECT(Formulas!$B$3)),0)</f>
        <v>0</v>
      </c>
      <c r="J43" s="466">
        <f ca="1">ROUND(SUMIF(INDIRECT(Formulas!$B$1),MID(J$1,2,2)&amp;"-"&amp;LEFT($B43,4)&amp;"*-0*",INDIRECT(Formulas!$B$3)),0)</f>
        <v>0</v>
      </c>
      <c r="K43" s="466">
        <f ca="1">ROUND(SUMIF(INDIRECT(Formulas!$B$1),MID(K$1,2,2)&amp;"-"&amp;LEFT($B43,4)&amp;"*-0*",INDIRECT(Formulas!$B$3)),0)</f>
        <v>0</v>
      </c>
      <c r="L43" s="521"/>
    </row>
    <row r="44" spans="1:12" s="484" customFormat="1" ht="13.5" customHeight="1" thickBot="1" x14ac:dyDescent="0.25">
      <c r="A44" s="2201" t="s">
        <v>374</v>
      </c>
      <c r="B44" s="2202"/>
      <c r="C44" s="1686">
        <f ca="1">SUM(C24:C43)</f>
        <v>0</v>
      </c>
      <c r="D44" s="1686">
        <f t="shared" ref="D44:K44" ca="1" si="6">SUM(D24:D43)</f>
        <v>0</v>
      </c>
      <c r="E44" s="1686">
        <f t="shared" ca="1" si="6"/>
        <v>0</v>
      </c>
      <c r="F44" s="1686">
        <f t="shared" ca="1" si="6"/>
        <v>0</v>
      </c>
      <c r="G44" s="1686">
        <f t="shared" ca="1" si="6"/>
        <v>0</v>
      </c>
      <c r="H44" s="1686">
        <f t="shared" ca="1" si="6"/>
        <v>0</v>
      </c>
      <c r="I44" s="1686">
        <f t="shared" ca="1" si="6"/>
        <v>0</v>
      </c>
      <c r="J44" s="1686">
        <f t="shared" ca="1" si="6"/>
        <v>0</v>
      </c>
      <c r="K44" s="1686">
        <f t="shared" ca="1" si="6"/>
        <v>0</v>
      </c>
      <c r="L44" s="521"/>
    </row>
    <row r="45" spans="1:12" ht="15.75" customHeight="1" thickTop="1" x14ac:dyDescent="0.2">
      <c r="A45" s="2195" t="s">
        <v>108</v>
      </c>
      <c r="B45" s="2196"/>
      <c r="C45" s="525"/>
      <c r="D45" s="525"/>
      <c r="E45" s="525"/>
      <c r="F45" s="525"/>
      <c r="G45" s="525"/>
      <c r="H45" s="525"/>
      <c r="I45" s="525"/>
      <c r="J45" s="525"/>
      <c r="K45" s="525"/>
      <c r="L45" s="347"/>
    </row>
    <row r="46" spans="1:12" s="484" customFormat="1" ht="15.75" customHeight="1" x14ac:dyDescent="0.2">
      <c r="A46" s="2203" t="s">
        <v>109</v>
      </c>
      <c r="B46" s="2204"/>
      <c r="C46" s="476"/>
      <c r="D46" s="476"/>
      <c r="E46" s="476"/>
      <c r="F46" s="476"/>
      <c r="G46" s="476"/>
      <c r="H46" s="476"/>
      <c r="I46" s="479"/>
      <c r="J46" s="476"/>
      <c r="K46" s="476"/>
      <c r="L46" s="526"/>
    </row>
    <row r="47" spans="1:12" s="484" customFormat="1" ht="15" x14ac:dyDescent="0.2">
      <c r="A47" s="1473" t="s">
        <v>1659</v>
      </c>
      <c r="B47" s="482">
        <v>8110</v>
      </c>
      <c r="C47" s="476"/>
      <c r="D47" s="476"/>
      <c r="E47" s="476"/>
      <c r="F47" s="476"/>
      <c r="G47" s="476"/>
      <c r="H47" s="476"/>
      <c r="I47" s="1726">
        <f ca="1">SUM(C24,C25:H25,J25:K25)</f>
        <v>0</v>
      </c>
      <c r="J47" s="476"/>
      <c r="K47" s="476"/>
      <c r="L47" s="526"/>
    </row>
    <row r="48" spans="1:12" s="484" customFormat="1" ht="15" x14ac:dyDescent="0.2">
      <c r="A48" s="1473" t="s">
        <v>1660</v>
      </c>
      <c r="B48" s="482">
        <v>8120</v>
      </c>
      <c r="C48" s="479"/>
      <c r="D48" s="479"/>
      <c r="E48" s="476"/>
      <c r="F48" s="479"/>
      <c r="G48" s="476"/>
      <c r="H48" s="476"/>
      <c r="I48" s="1726">
        <f ca="1">SUM(C26:H26,J26,K26)</f>
        <v>0</v>
      </c>
      <c r="J48" s="476"/>
      <c r="K48" s="476"/>
      <c r="L48" s="526"/>
    </row>
    <row r="49" spans="1:12" s="484" customFormat="1" x14ac:dyDescent="0.2">
      <c r="A49" s="1473" t="s">
        <v>185</v>
      </c>
      <c r="B49" s="482">
        <v>8130</v>
      </c>
      <c r="C49" s="466">
        <f ca="1">ROUND(SUMIF(INDIRECT(Formulas!$B$1),MID(C$1,2,2)&amp;"-"&amp;LEFT($B49,4)&amp;"*-0*",INDIRECT(Formulas!$B$3)),0)</f>
        <v>0</v>
      </c>
      <c r="D49" s="466">
        <f ca="1">ROUND(SUMIF(INDIRECT(Formulas!$B$1),MID(D$1,2,2)&amp;"-"&amp;LEFT($B49,4)&amp;"*-0*",INDIRECT(Formulas!$B$3)),0)</f>
        <v>0</v>
      </c>
      <c r="E49" s="479"/>
      <c r="F49" s="466">
        <f ca="1">ROUND(SUMIF(INDIRECT(Formulas!$B$1),MID(F$1,2,2)&amp;"-"&amp;LEFT($B49,4)&amp;"*-0*",INDIRECT(Formulas!$B$3)),0)</f>
        <v>0</v>
      </c>
      <c r="G49" s="479"/>
      <c r="H49" s="479"/>
      <c r="I49" s="476"/>
      <c r="J49" s="479"/>
      <c r="K49" s="476"/>
      <c r="L49" s="521"/>
    </row>
    <row r="50" spans="1:12" s="484" customFormat="1" x14ac:dyDescent="0.2">
      <c r="A50" s="1473" t="s">
        <v>1398</v>
      </c>
      <c r="B50" s="482">
        <v>8140</v>
      </c>
      <c r="C50" s="466">
        <f ca="1">ROUND(SUMIF(INDIRECT(Formulas!$B$1),MID(C$1,2,2)&amp;"-"&amp;LEFT($B50,4)&amp;"*-0*",INDIRECT(Formulas!$B$3)),0)</f>
        <v>0</v>
      </c>
      <c r="D50" s="466">
        <f ca="1">ROUND(SUMIF(INDIRECT(Formulas!$B$1),MID(D$1,2,2)&amp;"-"&amp;LEFT($B50,4)&amp;"*-0*",INDIRECT(Formulas!$B$3)),0)</f>
        <v>0</v>
      </c>
      <c r="E50" s="466">
        <f ca="1">ROUND(SUMIF(INDIRECT(Formulas!$B$1),MID(E$1,2,2)&amp;"-"&amp;LEFT($B50,4)&amp;"*-0*",INDIRECT(Formulas!$B$3)),0)</f>
        <v>0</v>
      </c>
      <c r="F50" s="466">
        <f ca="1">ROUND(SUMIF(INDIRECT(Formulas!$B$1),MID(F$1,2,2)&amp;"-"&amp;LEFT($B50,4)&amp;"*-0*",INDIRECT(Formulas!$B$3)),0)</f>
        <v>0</v>
      </c>
      <c r="G50" s="466">
        <f ca="1">ROUND(SUMIF(INDIRECT(Formulas!$B$1),MID(G$1,2,2)&amp;"-"&amp;LEFT($B50,4)&amp;"*-0*",INDIRECT(Formulas!$B$3)),0)</f>
        <v>0</v>
      </c>
      <c r="H50" s="466">
        <f ca="1">ROUND(SUMIF(INDIRECT(Formulas!$B$1),MID(H$1,2,2)&amp;"-"&amp;LEFT($B50,4)&amp;"*-0*",INDIRECT(Formulas!$B$3)),0)</f>
        <v>0</v>
      </c>
      <c r="I50" s="476"/>
      <c r="J50" s="466">
        <f ca="1">ROUND(SUMIF(INDIRECT(Formulas!$B$1),MID(J$1,2,2)&amp;"-"&amp;LEFT($B50,4)&amp;"*-0*",INDIRECT(Formulas!$B$3)),0)</f>
        <v>0</v>
      </c>
      <c r="K50" s="476"/>
      <c r="L50" s="521"/>
    </row>
    <row r="51" spans="1:12" s="484" customFormat="1" x14ac:dyDescent="0.2">
      <c r="A51" s="1473" t="s">
        <v>294</v>
      </c>
      <c r="B51" s="482">
        <v>8150</v>
      </c>
      <c r="C51" s="475"/>
      <c r="D51" s="475"/>
      <c r="E51" s="475"/>
      <c r="F51" s="475"/>
      <c r="G51" s="475"/>
      <c r="H51" s="1726">
        <f ca="1">SUM(D29)</f>
        <v>0</v>
      </c>
      <c r="I51" s="476"/>
      <c r="J51" s="475"/>
      <c r="K51" s="479"/>
      <c r="L51" s="521"/>
    </row>
    <row r="52" spans="1:12" s="484" customFormat="1" ht="26.25" x14ac:dyDescent="0.2">
      <c r="A52" s="1473" t="s">
        <v>1796</v>
      </c>
      <c r="B52" s="482">
        <v>8160</v>
      </c>
      <c r="C52" s="476"/>
      <c r="D52" s="476"/>
      <c r="E52" s="476"/>
      <c r="F52" s="476"/>
      <c r="G52" s="476"/>
      <c r="H52" s="476"/>
      <c r="I52" s="476"/>
      <c r="J52" s="476"/>
      <c r="K52" s="1726">
        <f ca="1">D30</f>
        <v>0</v>
      </c>
      <c r="L52" s="521"/>
    </row>
    <row r="53" spans="1:12" s="484" customFormat="1" ht="26.25" x14ac:dyDescent="0.2">
      <c r="A53" s="1473" t="s">
        <v>1795</v>
      </c>
      <c r="B53" s="482">
        <v>8170</v>
      </c>
      <c r="C53" s="479"/>
      <c r="D53" s="479"/>
      <c r="E53" s="476"/>
      <c r="F53" s="476"/>
      <c r="G53" s="476"/>
      <c r="H53" s="479"/>
      <c r="I53" s="476"/>
      <c r="J53" s="476"/>
      <c r="K53" s="1726">
        <f ca="1">E31</f>
        <v>0</v>
      </c>
      <c r="L53" s="521"/>
    </row>
    <row r="54" spans="1:12" s="484" customFormat="1" x14ac:dyDescent="0.2">
      <c r="A54" s="1473" t="s">
        <v>692</v>
      </c>
      <c r="B54" s="482">
        <v>8410</v>
      </c>
      <c r="C54" s="466">
        <f ca="1">ROUND(SUMIF(INDIRECT(Formulas!$B$1),MID(C$1,2,2)&amp;"-"&amp;LEFT($B54,4)&amp;"*-0*",INDIRECT(Formulas!$B$3)),0)</f>
        <v>0</v>
      </c>
      <c r="D54" s="466">
        <f ca="1">ROUND(SUMIF(INDIRECT(Formulas!$B$1),MID(D$1,2,2)&amp;"-"&amp;LEFT($B54,4)&amp;"*-0*",INDIRECT(Formulas!$B$3)),0)</f>
        <v>0</v>
      </c>
      <c r="E54" s="476"/>
      <c r="F54" s="476"/>
      <c r="G54" s="476"/>
      <c r="H54" s="466">
        <f ca="1">ROUND(SUMIF(INDIRECT(Formulas!$B$1),MID(H$1,2,2)&amp;"-"&amp;LEFT($B54,4)&amp;"*-0*",INDIRECT(Formulas!$B$3)),0)</f>
        <v>0</v>
      </c>
      <c r="I54" s="476"/>
      <c r="J54" s="476"/>
      <c r="K54" s="475"/>
      <c r="L54" s="521"/>
    </row>
    <row r="55" spans="1:12" s="484" customFormat="1" x14ac:dyDescent="0.2">
      <c r="A55" s="1474" t="s">
        <v>693</v>
      </c>
      <c r="B55" s="482">
        <v>8420</v>
      </c>
      <c r="C55" s="466">
        <f ca="1">ROUND(SUMIF(INDIRECT(Formulas!$B$1),MID(C$1,2,2)&amp;"-"&amp;LEFT($B55,4)&amp;"*-0*",INDIRECT(Formulas!$B$3)),0)</f>
        <v>0</v>
      </c>
      <c r="D55" s="466">
        <f ca="1">ROUND(SUMIF(INDIRECT(Formulas!$B$1),MID(D$1,2,2)&amp;"-"&amp;LEFT($B55,4)&amp;"*-0*",INDIRECT(Formulas!$B$3)),0)</f>
        <v>0</v>
      </c>
      <c r="E55" s="476"/>
      <c r="F55" s="476"/>
      <c r="G55" s="476"/>
      <c r="H55" s="466">
        <f ca="1">ROUND(SUMIF(INDIRECT(Formulas!$B$1),MID(H$1,2,2)&amp;"-"&amp;LEFT($B55,4)&amp;"*-0*",INDIRECT(Formulas!$B$3)),0)</f>
        <v>0</v>
      </c>
      <c r="I55" s="476"/>
      <c r="J55" s="476"/>
      <c r="K55" s="476"/>
      <c r="L55" s="521"/>
    </row>
    <row r="56" spans="1:12" s="484" customFormat="1" x14ac:dyDescent="0.2">
      <c r="A56" s="1473" t="s">
        <v>581</v>
      </c>
      <c r="B56" s="482">
        <v>8430</v>
      </c>
      <c r="C56" s="466">
        <f ca="1">ROUND(SUMIF(INDIRECT(Formulas!$B$1),MID(C$1,2,2)&amp;"-"&amp;LEFT($B56,4)&amp;"*-0*",INDIRECT(Formulas!$B$3)),0)</f>
        <v>0</v>
      </c>
      <c r="D56" s="466">
        <f ca="1">ROUND(SUMIF(INDIRECT(Formulas!$B$1),MID(D$1,2,2)&amp;"-"&amp;LEFT($B56,4)&amp;"*-0*",INDIRECT(Formulas!$B$3)),0)</f>
        <v>0</v>
      </c>
      <c r="E56" s="476"/>
      <c r="F56" s="476"/>
      <c r="G56" s="476"/>
      <c r="H56" s="466">
        <f ca="1">ROUND(SUMIF(INDIRECT(Formulas!$B$1),MID(H$1,2,2)&amp;"-"&amp;LEFT($B56,4)&amp;"*-0*",INDIRECT(Formulas!$B$3)),0)</f>
        <v>0</v>
      </c>
      <c r="I56" s="476"/>
      <c r="J56" s="476"/>
      <c r="K56" s="476"/>
      <c r="L56" s="521"/>
    </row>
    <row r="57" spans="1:12" s="484" customFormat="1" x14ac:dyDescent="0.2">
      <c r="A57" s="1474" t="s">
        <v>578</v>
      </c>
      <c r="B57" s="482">
        <v>8440</v>
      </c>
      <c r="C57" s="466">
        <f ca="1">ROUND(SUMIF(INDIRECT(Formulas!$B$1),MID(C$1,2,2)&amp;"-"&amp;LEFT($B57,4)&amp;"*-0*",INDIRECT(Formulas!$B$3)),0)</f>
        <v>0</v>
      </c>
      <c r="D57" s="466">
        <f ca="1">ROUND(SUMIF(INDIRECT(Formulas!$B$1),MID(D$1,2,2)&amp;"-"&amp;LEFT($B57,4)&amp;"*-0*",INDIRECT(Formulas!$B$3)),0)</f>
        <v>0</v>
      </c>
      <c r="E57" s="476"/>
      <c r="F57" s="476"/>
      <c r="G57" s="476"/>
      <c r="H57" s="466">
        <f ca="1">ROUND(SUMIF(INDIRECT(Formulas!$B$1),MID(H$1,2,2)&amp;"-"&amp;LEFT($B57,4)&amp;"*-0*",INDIRECT(Formulas!$B$3)),0)</f>
        <v>0</v>
      </c>
      <c r="I57" s="476"/>
      <c r="J57" s="476"/>
      <c r="K57" s="476"/>
      <c r="L57" s="521"/>
    </row>
    <row r="58" spans="1:12" s="484" customFormat="1" x14ac:dyDescent="0.2">
      <c r="A58" s="1473" t="s">
        <v>579</v>
      </c>
      <c r="B58" s="482">
        <v>8510</v>
      </c>
      <c r="C58" s="466">
        <f ca="1">ROUND(SUMIF(INDIRECT(Formulas!$B$1),MID(C$1,2,2)&amp;"-"&amp;LEFT($B58,4)&amp;"*-0*",INDIRECT(Formulas!$B$3)),0)</f>
        <v>0</v>
      </c>
      <c r="D58" s="466">
        <f ca="1">ROUND(SUMIF(INDIRECT(Formulas!$B$1),MID(D$1,2,2)&amp;"-"&amp;LEFT($B58,4)&amp;"*-0*",INDIRECT(Formulas!$B$3)),0)</f>
        <v>0</v>
      </c>
      <c r="E58" s="476"/>
      <c r="F58" s="476"/>
      <c r="G58" s="476"/>
      <c r="H58" s="466">
        <f ca="1">ROUND(SUMIF(INDIRECT(Formulas!$B$1),MID(H$1,2,2)&amp;"-"&amp;LEFT($B58,4)&amp;"*-0*",INDIRECT(Formulas!$B$3)),0)</f>
        <v>0</v>
      </c>
      <c r="I58" s="476"/>
      <c r="J58" s="476"/>
      <c r="K58" s="476"/>
      <c r="L58" s="521"/>
    </row>
    <row r="59" spans="1:12" s="484" customFormat="1" x14ac:dyDescent="0.2">
      <c r="A59" s="1475" t="s">
        <v>694</v>
      </c>
      <c r="B59" s="482">
        <v>8520</v>
      </c>
      <c r="C59" s="466">
        <f ca="1">ROUND(SUMIF(INDIRECT(Formulas!$B$1),MID(C$1,2,2)&amp;"-"&amp;LEFT($B59,4)&amp;"*-0*",INDIRECT(Formulas!$B$3)),0)</f>
        <v>0</v>
      </c>
      <c r="D59" s="466">
        <f ca="1">ROUND(SUMIF(INDIRECT(Formulas!$B$1),MID(D$1,2,2)&amp;"-"&amp;LEFT($B59,4)&amp;"*-0*",INDIRECT(Formulas!$B$3)),0)</f>
        <v>0</v>
      </c>
      <c r="E59" s="476"/>
      <c r="F59" s="476"/>
      <c r="G59" s="476"/>
      <c r="H59" s="466">
        <f ca="1">ROUND(SUMIF(INDIRECT(Formulas!$B$1),MID(H$1,2,2)&amp;"-"&amp;LEFT($B59,4)&amp;"*-0*",INDIRECT(Formulas!$B$3)),0)</f>
        <v>0</v>
      </c>
      <c r="I59" s="476"/>
      <c r="J59" s="476"/>
      <c r="K59" s="476"/>
      <c r="L59" s="521"/>
    </row>
    <row r="60" spans="1:12" s="484" customFormat="1" x14ac:dyDescent="0.2">
      <c r="A60" s="1473" t="s">
        <v>580</v>
      </c>
      <c r="B60" s="482">
        <v>8530</v>
      </c>
      <c r="C60" s="466">
        <f ca="1">ROUND(SUMIF(INDIRECT(Formulas!$B$1),MID(C$1,2,2)&amp;"-"&amp;LEFT($B60,4)&amp;"*-0*",INDIRECT(Formulas!$B$3)),0)</f>
        <v>0</v>
      </c>
      <c r="D60" s="466">
        <f ca="1">ROUND(SUMIF(INDIRECT(Formulas!$B$1),MID(D$1,2,2)&amp;"-"&amp;LEFT($B60,4)&amp;"*-0*",INDIRECT(Formulas!$B$3)),0)</f>
        <v>0</v>
      </c>
      <c r="E60" s="476"/>
      <c r="F60" s="476"/>
      <c r="G60" s="476"/>
      <c r="H60" s="466">
        <f ca="1">ROUND(SUMIF(INDIRECT(Formulas!$B$1),MID(H$1,2,2)&amp;"-"&amp;LEFT($B60,4)&amp;"*-0*",INDIRECT(Formulas!$B$3)),0)</f>
        <v>0</v>
      </c>
      <c r="I60" s="476"/>
      <c r="J60" s="476"/>
      <c r="K60" s="476"/>
      <c r="L60" s="521"/>
    </row>
    <row r="61" spans="1:12" s="484" customFormat="1" x14ac:dyDescent="0.2">
      <c r="A61" s="1474" t="s">
        <v>743</v>
      </c>
      <c r="B61" s="482">
        <v>8540</v>
      </c>
      <c r="C61" s="466">
        <f ca="1">ROUND(SUMIF(INDIRECT(Formulas!$B$1),MID(C$1,2,2)&amp;"-"&amp;LEFT($B61,4)&amp;"*-0*",INDIRECT(Formulas!$B$3)),0)</f>
        <v>0</v>
      </c>
      <c r="D61" s="466">
        <f ca="1">ROUND(SUMIF(INDIRECT(Formulas!$B$1),MID(D$1,2,2)&amp;"-"&amp;LEFT($B61,4)&amp;"*-0*",INDIRECT(Formulas!$B$3)),0)</f>
        <v>0</v>
      </c>
      <c r="E61" s="476"/>
      <c r="F61" s="476"/>
      <c r="G61" s="476"/>
      <c r="H61" s="466">
        <f ca="1">ROUND(SUMIF(INDIRECT(Formulas!$B$1),MID(H$1,2,2)&amp;"-"&amp;LEFT($B61,4)&amp;"*-0*",INDIRECT(Formulas!$B$3)),0)</f>
        <v>0</v>
      </c>
      <c r="I61" s="476"/>
      <c r="J61" s="476"/>
      <c r="K61" s="476"/>
      <c r="L61" s="521"/>
    </row>
    <row r="62" spans="1:12" s="484" customFormat="1" ht="13.5" customHeight="1" x14ac:dyDescent="0.2">
      <c r="A62" s="1473" t="s">
        <v>744</v>
      </c>
      <c r="B62" s="482">
        <v>8610</v>
      </c>
      <c r="C62" s="466">
        <f ca="1">ROUND(SUMIF(INDIRECT(Formulas!$B$1),MID(C$1,2,2)&amp;"-"&amp;LEFT($B62,4)&amp;"*-0*",INDIRECT(Formulas!$B$3)),0)</f>
        <v>0</v>
      </c>
      <c r="D62" s="466">
        <f ca="1">ROUND(SUMIF(INDIRECT(Formulas!$B$1),MID(D$1,2,2)&amp;"-"&amp;LEFT($B62,4)&amp;"*-0*",INDIRECT(Formulas!$B$3)),0)</f>
        <v>0</v>
      </c>
      <c r="E62" s="476"/>
      <c r="F62" s="476"/>
      <c r="G62" s="476"/>
      <c r="H62" s="476"/>
      <c r="I62" s="476"/>
      <c r="J62" s="476"/>
      <c r="K62" s="476"/>
      <c r="L62" s="521"/>
    </row>
    <row r="63" spans="1:12" s="484" customFormat="1" x14ac:dyDescent="0.2">
      <c r="A63" s="1474" t="s">
        <v>695</v>
      </c>
      <c r="B63" s="482">
        <v>8620</v>
      </c>
      <c r="C63" s="466">
        <f ca="1">ROUND(SUMIF(INDIRECT(Formulas!$B$1),MID(C$1,2,2)&amp;"-"&amp;LEFT($B63,4)&amp;"*-0*",INDIRECT(Formulas!$B$3)),0)</f>
        <v>0</v>
      </c>
      <c r="D63" s="466">
        <f ca="1">ROUND(SUMIF(INDIRECT(Formulas!$B$1),MID(D$1,2,2)&amp;"-"&amp;LEFT($B63,4)&amp;"*-0*",INDIRECT(Formulas!$B$3)),0)</f>
        <v>0</v>
      </c>
      <c r="E63" s="476"/>
      <c r="F63" s="476"/>
      <c r="G63" s="476"/>
      <c r="H63" s="476"/>
      <c r="I63" s="476"/>
      <c r="J63" s="476"/>
      <c r="K63" s="476"/>
      <c r="L63" s="521"/>
    </row>
    <row r="64" spans="1:12" s="484" customFormat="1" ht="13.5" customHeight="1" x14ac:dyDescent="0.2">
      <c r="A64" s="1473" t="s">
        <v>745</v>
      </c>
      <c r="B64" s="482">
        <v>8630</v>
      </c>
      <c r="C64" s="466">
        <f ca="1">ROUND(SUMIF(INDIRECT(Formulas!$B$1),MID(C$1,2,2)&amp;"-"&amp;LEFT($B64,4)&amp;"*-0*",INDIRECT(Formulas!$B$3)),0)</f>
        <v>0</v>
      </c>
      <c r="D64" s="466">
        <f ca="1">ROUND(SUMIF(INDIRECT(Formulas!$B$1),MID(D$1,2,2)&amp;"-"&amp;LEFT($B64,4)&amp;"*-0*",INDIRECT(Formulas!$B$3)),0)</f>
        <v>0</v>
      </c>
      <c r="E64" s="476"/>
      <c r="F64" s="476"/>
      <c r="G64" s="476"/>
      <c r="H64" s="476"/>
      <c r="I64" s="476"/>
      <c r="J64" s="476"/>
      <c r="K64" s="476"/>
      <c r="L64" s="521"/>
    </row>
    <row r="65" spans="1:12" s="484" customFormat="1" x14ac:dyDescent="0.2">
      <c r="A65" s="1474" t="s">
        <v>746</v>
      </c>
      <c r="B65" s="482">
        <v>8640</v>
      </c>
      <c r="C65" s="466">
        <f ca="1">ROUND(SUMIF(INDIRECT(Formulas!$B$1),MID(C$1,2,2)&amp;"-"&amp;LEFT($B65,4)&amp;"*-0*",INDIRECT(Formulas!$B$3)),0)</f>
        <v>0</v>
      </c>
      <c r="D65" s="466">
        <f ca="1">ROUND(SUMIF(INDIRECT(Formulas!$B$1),MID(D$1,2,2)&amp;"-"&amp;LEFT($B65,4)&amp;"*-0*",INDIRECT(Formulas!$B$3)),0)</f>
        <v>0</v>
      </c>
      <c r="E65" s="476"/>
      <c r="F65" s="476"/>
      <c r="G65" s="476"/>
      <c r="H65" s="476"/>
      <c r="I65" s="476"/>
      <c r="J65" s="476"/>
      <c r="K65" s="476"/>
      <c r="L65" s="521"/>
    </row>
    <row r="66" spans="1:12" s="484" customFormat="1" x14ac:dyDescent="0.2">
      <c r="A66" s="1473" t="s">
        <v>747</v>
      </c>
      <c r="B66" s="482">
        <v>8710</v>
      </c>
      <c r="C66" s="466">
        <f ca="1">ROUND(SUMIF(INDIRECT(Formulas!$B$1),MID(C$1,2,2)&amp;"-"&amp;LEFT($B66,4)&amp;"*-0*",INDIRECT(Formulas!$B$3)),0)</f>
        <v>0</v>
      </c>
      <c r="D66" s="466">
        <f ca="1">ROUND(SUMIF(INDIRECT(Formulas!$B$1),MID(D$1,2,2)&amp;"-"&amp;LEFT($B66,4)&amp;"*-0*",INDIRECT(Formulas!$B$3)),0)</f>
        <v>0</v>
      </c>
      <c r="E66" s="476"/>
      <c r="F66" s="476"/>
      <c r="G66" s="476"/>
      <c r="H66" s="476"/>
      <c r="I66" s="476"/>
      <c r="J66" s="476"/>
      <c r="K66" s="476"/>
      <c r="L66" s="521"/>
    </row>
    <row r="67" spans="1:12" s="484" customFormat="1" x14ac:dyDescent="0.2">
      <c r="A67" s="1474" t="s">
        <v>696</v>
      </c>
      <c r="B67" s="482">
        <v>8720</v>
      </c>
      <c r="C67" s="466">
        <f ca="1">ROUND(SUMIF(INDIRECT(Formulas!$B$1),MID(C$1,2,2)&amp;"-"&amp;LEFT($B67,4)&amp;"*-0*",INDIRECT(Formulas!$B$3)),0)</f>
        <v>0</v>
      </c>
      <c r="D67" s="466">
        <f ca="1">ROUND(SUMIF(INDIRECT(Formulas!$B$1),MID(D$1,2,2)&amp;"-"&amp;LEFT($B67,4)&amp;"*-0*",INDIRECT(Formulas!$B$3)),0)</f>
        <v>0</v>
      </c>
      <c r="E67" s="476"/>
      <c r="F67" s="476"/>
      <c r="G67" s="476"/>
      <c r="H67" s="476"/>
      <c r="I67" s="476"/>
      <c r="J67" s="476"/>
      <c r="K67" s="476"/>
      <c r="L67" s="521"/>
    </row>
    <row r="68" spans="1:12" s="484" customFormat="1" x14ac:dyDescent="0.2">
      <c r="A68" s="1475" t="s">
        <v>748</v>
      </c>
      <c r="B68" s="482">
        <v>8730</v>
      </c>
      <c r="C68" s="466">
        <f ca="1">ROUND(SUMIF(INDIRECT(Formulas!$B$1),MID(C$1,2,2)&amp;"-"&amp;LEFT($B68,4)&amp;"*-0*",INDIRECT(Formulas!$B$3)),0)</f>
        <v>0</v>
      </c>
      <c r="D68" s="466">
        <f ca="1">ROUND(SUMIF(INDIRECT(Formulas!$B$1),MID(D$1,2,2)&amp;"-"&amp;LEFT($B68,4)&amp;"*-0*",INDIRECT(Formulas!$B$3)),0)</f>
        <v>0</v>
      </c>
      <c r="E68" s="476"/>
      <c r="F68" s="476"/>
      <c r="G68" s="476"/>
      <c r="H68" s="476"/>
      <c r="I68" s="476"/>
      <c r="J68" s="476"/>
      <c r="K68" s="476"/>
      <c r="L68" s="521"/>
    </row>
    <row r="69" spans="1:12" s="484" customFormat="1" x14ac:dyDescent="0.2">
      <c r="A69" s="1474" t="s">
        <v>749</v>
      </c>
      <c r="B69" s="482">
        <v>8740</v>
      </c>
      <c r="C69" s="466">
        <f ca="1">ROUND(SUMIF(INDIRECT(Formulas!$B$1),MID(C$1,2,2)&amp;"-"&amp;LEFT($B69,4)&amp;"*-0*",INDIRECT(Formulas!$B$3)),0)</f>
        <v>0</v>
      </c>
      <c r="D69" s="466">
        <f ca="1">ROUND(SUMIF(INDIRECT(Formulas!$B$1),MID(D$1,2,2)&amp;"-"&amp;LEFT($B69,4)&amp;"*-0*",INDIRECT(Formulas!$B$3)),0)</f>
        <v>0</v>
      </c>
      <c r="E69" s="476"/>
      <c r="F69" s="476"/>
      <c r="G69" s="476"/>
      <c r="H69" s="476"/>
      <c r="I69" s="476"/>
      <c r="J69" s="476"/>
      <c r="K69" s="476"/>
      <c r="L69" s="521"/>
    </row>
    <row r="70" spans="1:12" s="484" customFormat="1" x14ac:dyDescent="0.2">
      <c r="A70" s="1473" t="s">
        <v>750</v>
      </c>
      <c r="B70" s="482">
        <v>8810</v>
      </c>
      <c r="C70" s="466">
        <f ca="1">ROUND(SUMIF(INDIRECT(Formulas!$B$1),MID(C$1,2,2)&amp;"-"&amp;LEFT($B70,4)&amp;"*-0*",INDIRECT(Formulas!$B$3)),0)</f>
        <v>0</v>
      </c>
      <c r="D70" s="466">
        <f ca="1">ROUND(SUMIF(INDIRECT(Formulas!$B$1),MID(D$1,2,2)&amp;"-"&amp;LEFT($B70,4)&amp;"*-0*",INDIRECT(Formulas!$B$3)),0)</f>
        <v>0</v>
      </c>
      <c r="E70" s="476"/>
      <c r="F70" s="476"/>
      <c r="G70" s="476"/>
      <c r="H70" s="476"/>
      <c r="I70" s="476"/>
      <c r="J70" s="476"/>
      <c r="K70" s="476"/>
      <c r="L70" s="521"/>
    </row>
    <row r="71" spans="1:12" s="484" customFormat="1" x14ac:dyDescent="0.2">
      <c r="A71" s="1473" t="s">
        <v>754</v>
      </c>
      <c r="B71" s="482">
        <v>8820</v>
      </c>
      <c r="C71" s="466">
        <f ca="1">ROUND(SUMIF(INDIRECT(Formulas!$B$1),MID(C$1,2,2)&amp;"-"&amp;LEFT($B71,4)&amp;"*-0*",INDIRECT(Formulas!$B$3)),0)</f>
        <v>0</v>
      </c>
      <c r="D71" s="466">
        <f ca="1">ROUND(SUMIF(INDIRECT(Formulas!$B$1),MID(D$1,2,2)&amp;"-"&amp;LEFT($B71,4)&amp;"*-0*",INDIRECT(Formulas!$B$3)),0)</f>
        <v>0</v>
      </c>
      <c r="E71" s="476"/>
      <c r="F71" s="476"/>
      <c r="G71" s="476"/>
      <c r="H71" s="476"/>
      <c r="I71" s="476"/>
      <c r="J71" s="476"/>
      <c r="K71" s="476"/>
      <c r="L71" s="521"/>
    </row>
    <row r="72" spans="1:12" s="484" customFormat="1" x14ac:dyDescent="0.2">
      <c r="A72" s="1473" t="s">
        <v>751</v>
      </c>
      <c r="B72" s="482">
        <v>8830</v>
      </c>
      <c r="C72" s="466">
        <f ca="1">ROUND(SUMIF(INDIRECT(Formulas!$B$1),MID(C$1,2,2)&amp;"-"&amp;LEFT($B72,4)&amp;"*-0*",INDIRECT(Formulas!$B$3)),0)</f>
        <v>0</v>
      </c>
      <c r="D72" s="466">
        <f ca="1">ROUND(SUMIF(INDIRECT(Formulas!$B$1),MID(D$1,2,2)&amp;"-"&amp;LEFT($B72,4)&amp;"*-0*",INDIRECT(Formulas!$B$3)),0)</f>
        <v>0</v>
      </c>
      <c r="E72" s="476"/>
      <c r="F72" s="476"/>
      <c r="G72" s="476"/>
      <c r="H72" s="476"/>
      <c r="I72" s="476"/>
      <c r="J72" s="476"/>
      <c r="K72" s="476"/>
      <c r="L72" s="521"/>
    </row>
    <row r="73" spans="1:12" s="484" customFormat="1" x14ac:dyDescent="0.2">
      <c r="A73" s="1473" t="s">
        <v>752</v>
      </c>
      <c r="B73" s="482">
        <v>8840</v>
      </c>
      <c r="C73" s="466">
        <f ca="1">ROUND(SUMIF(INDIRECT(Formulas!$B$1),MID(C$1,2,2)&amp;"-"&amp;LEFT($B73,4)&amp;"*-0*",INDIRECT(Formulas!$B$3)),0)</f>
        <v>0</v>
      </c>
      <c r="D73" s="466">
        <f ca="1">ROUND(SUMIF(INDIRECT(Formulas!$B$1),MID(D$1,2,2)&amp;"-"&amp;LEFT($B73,4)&amp;"*-0*",INDIRECT(Formulas!$B$3)),0)</f>
        <v>0</v>
      </c>
      <c r="E73" s="476"/>
      <c r="F73" s="476"/>
      <c r="G73" s="476"/>
      <c r="H73" s="476"/>
      <c r="I73" s="476"/>
      <c r="J73" s="476"/>
      <c r="K73" s="479"/>
      <c r="L73" s="521"/>
    </row>
    <row r="74" spans="1:12" s="484" customFormat="1" x14ac:dyDescent="0.2">
      <c r="A74" s="1473" t="s">
        <v>375</v>
      </c>
      <c r="B74" s="482">
        <v>8910</v>
      </c>
      <c r="C74" s="466">
        <f ca="1">ROUND(SUMIF(INDIRECT(Formulas!$B$1),MID(C$1,2,2)&amp;"-"&amp;LEFT($B74,4)&amp;"*-0*",INDIRECT(Formulas!$B$3)),0)</f>
        <v>0</v>
      </c>
      <c r="D74" s="466">
        <f ca="1">ROUND(SUMIF(INDIRECT(Formulas!$B$1),MID(D$1,2,2)&amp;"-"&amp;LEFT($B74,4)&amp;"*-0*",INDIRECT(Formulas!$B$3)),0)</f>
        <v>0</v>
      </c>
      <c r="E74" s="479"/>
      <c r="F74" s="466">
        <f ca="1">ROUND(SUMIF(INDIRECT(Formulas!$B$1),MID(F$1,2,2)&amp;"-"&amp;LEFT($B74,4)&amp;"*-0*",INDIRECT(Formulas!$B$3)),0)</f>
        <v>0</v>
      </c>
      <c r="G74" s="466">
        <f ca="1">ROUND(SUMIF(INDIRECT(Formulas!$B$1),MID(G$1,2,2)&amp;"-"&amp;LEFT($B74,4)&amp;"*-0*",INDIRECT(Formulas!$B$3)),0)</f>
        <v>0</v>
      </c>
      <c r="H74" s="466">
        <f ca="1">ROUND(SUMIF(INDIRECT(Formulas!$B$1),MID(H$1,2,2)&amp;"-"&amp;LEFT($B74,4)&amp;"*-0*",INDIRECT(Formulas!$B$3)),0)</f>
        <v>0</v>
      </c>
      <c r="I74" s="479"/>
      <c r="J74" s="479"/>
      <c r="K74" s="466">
        <f ca="1">ROUND(SUMIF(INDIRECT(Formulas!$B$1),MID(K$1,2,2)&amp;"-"&amp;LEFT($B74,4)&amp;"*-0*",INDIRECT(Formulas!$B$3)),0)</f>
        <v>0</v>
      </c>
      <c r="L74" s="521"/>
    </row>
    <row r="75" spans="1:12" s="484" customFormat="1" x14ac:dyDescent="0.2">
      <c r="A75" s="1476" t="s">
        <v>439</v>
      </c>
      <c r="B75" s="482">
        <v>8990</v>
      </c>
      <c r="C75" s="466">
        <f ca="1">ROUND(SUMIF(INDIRECT(Formulas!$B$1),MID(C$1,2,2)&amp;"-"&amp;LEFT($B75,4)&amp;"*-0*",INDIRECT(Formulas!$B$3)),0)</f>
        <v>0</v>
      </c>
      <c r="D75" s="466">
        <f ca="1">ROUND(SUMIF(INDIRECT(Formulas!$B$1),MID(D$1,2,2)&amp;"-"&amp;LEFT($B75,4)&amp;"*-0*",INDIRECT(Formulas!$B$3)),0)</f>
        <v>0</v>
      </c>
      <c r="E75" s="466">
        <f ca="1">ROUND(SUMIF(INDIRECT(Formulas!$B$1),MID(E$1,2,2)&amp;"-"&amp;LEFT($B75,4)&amp;"*-0*",INDIRECT(Formulas!$B$3)),0)</f>
        <v>0</v>
      </c>
      <c r="F75" s="466">
        <f ca="1">ROUND(SUMIF(INDIRECT(Formulas!$B$1),MID(F$1,2,2)&amp;"-"&amp;LEFT($B75,4)&amp;"*-0*",INDIRECT(Formulas!$B$3)),0)</f>
        <v>0</v>
      </c>
      <c r="G75" s="466">
        <f ca="1">ROUND(SUMIF(INDIRECT(Formulas!$B$1),MID(G$1,2,2)&amp;"-"&amp;LEFT($B75,4)&amp;"*-0*",INDIRECT(Formulas!$B$3)),0)</f>
        <v>0</v>
      </c>
      <c r="H75" s="466">
        <f ca="1">ROUND(SUMIF(INDIRECT(Formulas!$B$1),MID(H$1,2,2)&amp;"-"&amp;LEFT($B75,4)&amp;"*-0*",INDIRECT(Formulas!$B$3)),0)</f>
        <v>0</v>
      </c>
      <c r="I75" s="466">
        <f ca="1">ROUND(SUMIF(INDIRECT(Formulas!$B$1),MID(I$1,2,2)&amp;"-"&amp;LEFT($B75,4)&amp;"*-0*",INDIRECT(Formulas!$B$3)),0)</f>
        <v>0</v>
      </c>
      <c r="J75" s="466">
        <f ca="1">ROUND(SUMIF(INDIRECT(Formulas!$B$1),MID(J$1,2,2)&amp;"-"&amp;LEFT($B75,4)&amp;"*-0*",INDIRECT(Formulas!$B$3)),0)</f>
        <v>0</v>
      </c>
      <c r="K75" s="466">
        <f ca="1">ROUND(SUMIF(INDIRECT(Formulas!$B$1),MID(K$1,2,2)&amp;"-"&amp;LEFT($B75,4)&amp;"*-0*",INDIRECT(Formulas!$B$3)),0)</f>
        <v>0</v>
      </c>
      <c r="L75" s="521"/>
    </row>
    <row r="76" spans="1:12" s="484" customFormat="1" ht="13.5" thickBot="1" x14ac:dyDescent="0.25">
      <c r="A76" s="2177" t="s">
        <v>440</v>
      </c>
      <c r="B76" s="2178"/>
      <c r="C76" s="1686">
        <f t="shared" ref="C76:K76" ca="1" si="7">SUM(C47:C75)</f>
        <v>0</v>
      </c>
      <c r="D76" s="1686">
        <f t="shared" ca="1" si="7"/>
        <v>0</v>
      </c>
      <c r="E76" s="1686">
        <f t="shared" ca="1" si="7"/>
        <v>0</v>
      </c>
      <c r="F76" s="1686">
        <f t="shared" ca="1" si="7"/>
        <v>0</v>
      </c>
      <c r="G76" s="1686">
        <f t="shared" ca="1" si="7"/>
        <v>0</v>
      </c>
      <c r="H76" s="1686">
        <f t="shared" ca="1" si="7"/>
        <v>0</v>
      </c>
      <c r="I76" s="1686">
        <f t="shared" ca="1" si="7"/>
        <v>0</v>
      </c>
      <c r="J76" s="1686">
        <f t="shared" ca="1" si="7"/>
        <v>0</v>
      </c>
      <c r="K76" s="1686">
        <f t="shared" ca="1" si="7"/>
        <v>0</v>
      </c>
      <c r="L76" s="521"/>
    </row>
    <row r="77" spans="1:12" ht="14.25" thickTop="1" thickBot="1" x14ac:dyDescent="0.25">
      <c r="A77" s="2179" t="s">
        <v>1177</v>
      </c>
      <c r="B77" s="2180"/>
      <c r="C77" s="1686">
        <f t="shared" ref="C77:K77" ca="1" si="8">C44-C76</f>
        <v>0</v>
      </c>
      <c r="D77" s="1686">
        <f t="shared" ca="1" si="8"/>
        <v>0</v>
      </c>
      <c r="E77" s="1686">
        <f t="shared" ca="1" si="8"/>
        <v>0</v>
      </c>
      <c r="F77" s="1686">
        <f t="shared" ca="1" si="8"/>
        <v>0</v>
      </c>
      <c r="G77" s="1686">
        <f t="shared" ca="1" si="8"/>
        <v>0</v>
      </c>
      <c r="H77" s="1686">
        <f t="shared" ca="1" si="8"/>
        <v>0</v>
      </c>
      <c r="I77" s="1686">
        <f t="shared" ca="1" si="8"/>
        <v>0</v>
      </c>
      <c r="J77" s="1686">
        <f t="shared" ca="1" si="8"/>
        <v>0</v>
      </c>
      <c r="K77" s="1686">
        <f t="shared" ca="1" si="8"/>
        <v>0</v>
      </c>
      <c r="L77" s="347"/>
    </row>
    <row r="78" spans="1:12" ht="21.75" customHeight="1" thickTop="1" thickBot="1" x14ac:dyDescent="0.25">
      <c r="A78" s="2183" t="s">
        <v>597</v>
      </c>
      <c r="B78" s="2184"/>
      <c r="C78" s="1685">
        <f t="shared" ref="C78:K78" ca="1" si="9">C20+C77</f>
        <v>-87742</v>
      </c>
      <c r="D78" s="1685">
        <f t="shared" ca="1" si="9"/>
        <v>7287</v>
      </c>
      <c r="E78" s="1685">
        <f t="shared" ca="1" si="9"/>
        <v>0</v>
      </c>
      <c r="F78" s="1685">
        <f t="shared" ca="1" si="9"/>
        <v>79977</v>
      </c>
      <c r="G78" s="1685">
        <f t="shared" ca="1" si="9"/>
        <v>-37571</v>
      </c>
      <c r="H78" s="1685">
        <f t="shared" ca="1" si="9"/>
        <v>7815</v>
      </c>
      <c r="I78" s="1685">
        <f t="shared" ca="1" si="9"/>
        <v>11495</v>
      </c>
      <c r="J78" s="1685">
        <f t="shared" ca="1" si="9"/>
        <v>51891</v>
      </c>
      <c r="K78" s="1685">
        <f t="shared" ca="1" si="9"/>
        <v>0</v>
      </c>
      <c r="L78" s="530"/>
    </row>
    <row r="79" spans="1:12" ht="13.5" thickTop="1" x14ac:dyDescent="0.2">
      <c r="A79" s="1477" t="s">
        <v>1948</v>
      </c>
      <c r="B79" s="531"/>
      <c r="C79" s="477">
        <v>2319982</v>
      </c>
      <c r="D79" s="532">
        <v>604247</v>
      </c>
      <c r="E79" s="532">
        <v>0</v>
      </c>
      <c r="F79" s="532">
        <v>506934</v>
      </c>
      <c r="G79" s="532">
        <v>102548</v>
      </c>
      <c r="H79" s="532">
        <v>140640</v>
      </c>
      <c r="I79" s="532">
        <v>129822</v>
      </c>
      <c r="J79" s="532">
        <v>52603</v>
      </c>
      <c r="K79" s="532">
        <v>0</v>
      </c>
      <c r="L79" s="347"/>
    </row>
    <row r="80" spans="1:12" x14ac:dyDescent="0.2">
      <c r="A80" s="2189" t="s">
        <v>1794</v>
      </c>
      <c r="B80" s="2190"/>
      <c r="C80" s="467"/>
      <c r="D80" s="467"/>
      <c r="E80" s="467"/>
      <c r="F80" s="467"/>
      <c r="G80" s="467"/>
      <c r="H80" s="467"/>
      <c r="I80" s="467"/>
      <c r="J80" s="467"/>
      <c r="K80" s="467"/>
      <c r="L80" s="347"/>
    </row>
    <row r="81" spans="1:12" ht="13.5" thickBot="1" x14ac:dyDescent="0.25">
      <c r="A81" s="2181" t="s">
        <v>1949</v>
      </c>
      <c r="B81" s="2182"/>
      <c r="C81" s="1671">
        <f ca="1">(SUM(C78:C80))</f>
        <v>2232240</v>
      </c>
      <c r="D81" s="1671">
        <f ca="1">SUM(D78:D80)</f>
        <v>611534</v>
      </c>
      <c r="E81" s="1671">
        <f t="shared" ref="E81:K81" ca="1" si="10">SUM(E78:E80)</f>
        <v>0</v>
      </c>
      <c r="F81" s="1671">
        <f t="shared" ca="1" si="10"/>
        <v>586911</v>
      </c>
      <c r="G81" s="1671">
        <f t="shared" ca="1" si="10"/>
        <v>64977</v>
      </c>
      <c r="H81" s="1671">
        <f t="shared" ca="1" si="10"/>
        <v>148455</v>
      </c>
      <c r="I81" s="1671">
        <f t="shared" ca="1" si="10"/>
        <v>141317</v>
      </c>
      <c r="J81" s="1671">
        <f t="shared" ca="1" si="10"/>
        <v>104494</v>
      </c>
      <c r="K81" s="1671">
        <f t="shared" ca="1" si="10"/>
        <v>0</v>
      </c>
      <c r="L81" s="347"/>
    </row>
    <row r="82" spans="1:12" ht="0.75" customHeight="1" thickTop="1" thickBot="1" x14ac:dyDescent="0.25">
      <c r="A82" s="533" t="s">
        <v>343</v>
      </c>
      <c r="B82" s="534"/>
      <c r="C82" s="535">
        <f ca="1">(C81-C79)</f>
        <v>-87742</v>
      </c>
      <c r="D82" s="535">
        <f t="shared" ref="D82:K82" ca="1" si="11">(D81-D79)</f>
        <v>7287</v>
      </c>
      <c r="E82" s="535">
        <f t="shared" ca="1" si="11"/>
        <v>0</v>
      </c>
      <c r="F82" s="535">
        <f t="shared" ca="1" si="11"/>
        <v>79977</v>
      </c>
      <c r="G82" s="535">
        <f t="shared" ca="1" si="11"/>
        <v>-37571</v>
      </c>
      <c r="H82" s="535">
        <f t="shared" ca="1" si="11"/>
        <v>7815</v>
      </c>
      <c r="I82" s="535">
        <f t="shared" ca="1" si="11"/>
        <v>11495</v>
      </c>
      <c r="J82" s="535">
        <f t="shared" ca="1" si="11"/>
        <v>51891</v>
      </c>
      <c r="K82" s="535">
        <f t="shared" ca="1" si="11"/>
        <v>0</v>
      </c>
    </row>
    <row r="83" spans="1:12" ht="14.25" hidden="1" thickTop="1" thickBot="1" x14ac:dyDescent="0.25">
      <c r="A83" s="536" t="s">
        <v>344</v>
      </c>
      <c r="B83" s="464"/>
      <c r="C83" s="537">
        <f ca="1">C82/C81</f>
        <v>-3.9306705372182206E-2</v>
      </c>
      <c r="D83" s="537">
        <f t="shared" ref="D83:K83" ca="1" si="12">D82/D81</f>
        <v>1.1915935990476408E-2</v>
      </c>
      <c r="E83" s="537" t="e">
        <f t="shared" ca="1" si="12"/>
        <v>#DIV/0!</v>
      </c>
      <c r="F83" s="537">
        <f t="shared" ca="1" si="12"/>
        <v>0.13626767942669332</v>
      </c>
      <c r="G83" s="537">
        <f t="shared" ca="1" si="12"/>
        <v>-0.57821998553334253</v>
      </c>
      <c r="H83" s="537">
        <f t="shared" ca="1" si="12"/>
        <v>5.2642214812569463E-2</v>
      </c>
      <c r="I83" s="537">
        <f t="shared" ca="1" si="12"/>
        <v>8.1341947536389819E-2</v>
      </c>
      <c r="J83" s="537">
        <f t="shared" ca="1" si="12"/>
        <v>0.49659310582425786</v>
      </c>
      <c r="K83" s="537" t="e">
        <f t="shared" ca="1" si="12"/>
        <v>#DIV/0!</v>
      </c>
    </row>
    <row r="84" spans="1:12" ht="13.5" thickTop="1" x14ac:dyDescent="0.2"/>
    <row r="86" spans="1:12" x14ac:dyDescent="0.2">
      <c r="C86" s="500"/>
      <c r="D86" s="500"/>
      <c r="E86" s="500"/>
      <c r="F86" s="500"/>
      <c r="G86" s="500"/>
      <c r="H86" s="500"/>
      <c r="I86" s="500"/>
      <c r="J86" s="500"/>
    </row>
    <row r="87" spans="1:12" x14ac:dyDescent="0.2">
      <c r="C87" s="500"/>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20"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&amp;CSee Notes to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view="pageLayout" colorId="8" zoomScale="80" zoomScaleNormal="110" zoomScaleSheetLayoutView="75" zoomScalePageLayoutView="80" workbookViewId="0">
      <selection activeCell="C7" sqref="C7:L7"/>
    </sheetView>
  </sheetViews>
  <sheetFormatPr defaultColWidth="9.140625" defaultRowHeight="12.75" x14ac:dyDescent="0.2"/>
  <cols>
    <col min="1" max="1" width="54.140625" style="580" customWidth="1"/>
    <col min="2" max="2" width="4.7109375" style="581" customWidth="1"/>
    <col min="3" max="11" width="13.7109375" style="384" customWidth="1"/>
    <col min="12" max="16384" width="9.140625" style="384"/>
  </cols>
  <sheetData>
    <row r="1" spans="1:12" x14ac:dyDescent="0.2">
      <c r="A1" s="2185" t="s">
        <v>1801</v>
      </c>
      <c r="B1" s="452"/>
      <c r="C1" s="453" t="s">
        <v>425</v>
      </c>
      <c r="D1" s="453" t="s">
        <v>426</v>
      </c>
      <c r="E1" s="453" t="s">
        <v>427</v>
      </c>
      <c r="F1" s="453" t="s">
        <v>428</v>
      </c>
      <c r="G1" s="453" t="s">
        <v>429</v>
      </c>
      <c r="H1" s="453" t="s">
        <v>430</v>
      </c>
      <c r="I1" s="453" t="s">
        <v>431</v>
      </c>
      <c r="J1" s="453" t="s">
        <v>432</v>
      </c>
      <c r="K1" s="453" t="s">
        <v>756</v>
      </c>
    </row>
    <row r="2" spans="1:12" ht="36" x14ac:dyDescent="0.2">
      <c r="A2" s="2186"/>
      <c r="B2" s="538" t="s">
        <v>378</v>
      </c>
      <c r="C2" s="539" t="s">
        <v>1155</v>
      </c>
      <c r="D2" s="539" t="s">
        <v>870</v>
      </c>
      <c r="E2" s="539" t="s">
        <v>438</v>
      </c>
      <c r="F2" s="539" t="s">
        <v>155</v>
      </c>
      <c r="G2" s="539" t="s">
        <v>989</v>
      </c>
      <c r="H2" s="539" t="s">
        <v>437</v>
      </c>
      <c r="I2" s="539" t="s">
        <v>407</v>
      </c>
      <c r="J2" s="539" t="s">
        <v>436</v>
      </c>
      <c r="K2" s="539" t="s">
        <v>157</v>
      </c>
    </row>
    <row r="3" spans="1:12" ht="16.7" customHeight="1" x14ac:dyDescent="0.2">
      <c r="A3" s="1562" t="s">
        <v>113</v>
      </c>
      <c r="B3" s="1563"/>
      <c r="C3" s="1564"/>
      <c r="D3" s="1564"/>
      <c r="E3" s="1564"/>
      <c r="F3" s="1565"/>
      <c r="G3" s="1566"/>
      <c r="H3" s="1565"/>
      <c r="I3" s="1565"/>
      <c r="J3" s="1565"/>
      <c r="K3" s="1567"/>
    </row>
    <row r="4" spans="1:12" ht="15.75" customHeight="1" x14ac:dyDescent="0.2">
      <c r="A4" s="1573" t="s">
        <v>379</v>
      </c>
      <c r="B4" s="1574">
        <v>1100</v>
      </c>
      <c r="C4" s="540"/>
      <c r="D4" s="540"/>
      <c r="E4" s="540"/>
      <c r="F4" s="541"/>
      <c r="G4" s="542"/>
      <c r="H4" s="543"/>
      <c r="I4" s="543"/>
      <c r="J4" s="543"/>
      <c r="K4" s="543"/>
    </row>
    <row r="5" spans="1:12" ht="15" x14ac:dyDescent="0.2">
      <c r="A5" s="490" t="s">
        <v>1661</v>
      </c>
      <c r="B5" s="544"/>
      <c r="C5" s="466">
        <f ca="1">ROUND(SUMIF(INDIRECT(Formulas!$B$1),MID(C$1,2,2)&amp;"-111*"&amp;"*-0*",INDIRECT(Formulas!$B$3)),0)+ROUND(SUMIF(INDIRECT(Formulas!$B$1),MID(C$1,2,2)&amp;"-112*"&amp;"*-0*",INDIRECT(Formulas!$B$3)),0)</f>
        <v>792409</v>
      </c>
      <c r="D5" s="466">
        <f ca="1">ROUND(SUMIF(INDIRECT(Formulas!$B$1),MID(D$1,2,2)&amp;"-111*"&amp;"*-0*",INDIRECT(Formulas!$B$3)),0)+ROUND(SUMIF(INDIRECT(Formulas!$B$1),MID(D$1,2,2)&amp;"-112*"&amp;"*-0*",INDIRECT(Formulas!$B$3)),0)</f>
        <v>101034</v>
      </c>
      <c r="E5" s="466">
        <f ca="1">ROUND(SUMIF(INDIRECT(Formulas!$B$1),MID(E$1,2,2)&amp;"-111*"&amp;"*-0*",INDIRECT(Formulas!$B$3)),0)+ROUND(SUMIF(INDIRECT(Formulas!$B$1),MID(E$1,2,2)&amp;"-112*"&amp;"*-0*",INDIRECT(Formulas!$B$3)),0)</f>
        <v>0</v>
      </c>
      <c r="F5" s="466">
        <f ca="1">ROUND(SUMIF(INDIRECT(Formulas!$B$1),MID(F$1,2,2)&amp;"-111*"&amp;"*-0*",INDIRECT(Formulas!$B$3)),0)+ROUND(SUMIF(INDIRECT(Formulas!$B$1),MID(F$1,2,2)&amp;"-112*"&amp;"*-0*",INDIRECT(Formulas!$B$3)),0)</f>
        <v>14364</v>
      </c>
      <c r="G5" s="466">
        <f ca="1">ROUND(SUMIF(INDIRECT(Formulas!$B$1),MID(G$1,2,2)&amp;"-111*"&amp;"*-0*",INDIRECT(Formulas!$B$3)),0)+ROUND(SUMIF(INDIRECT(Formulas!$B$1),MID(G$1,2,2)&amp;"-112*"&amp;"*-0*",INDIRECT(Formulas!$B$3)),0)</f>
        <v>4457</v>
      </c>
      <c r="H5" s="466">
        <f ca="1">ROUND(SUMIF(INDIRECT(Formulas!$B$1),MID(H$1,2,2)&amp;"-111*"&amp;"*-0*",INDIRECT(Formulas!$B$3)),0)+ROUND(SUMIF(INDIRECT(Formulas!$B$1),MID(H$1,2,2)&amp;"-112*"&amp;"*-0*",INDIRECT(Formulas!$B$3)),0)</f>
        <v>0</v>
      </c>
      <c r="I5" s="466">
        <f ca="1">ROUND(SUMIF(INDIRECT(Formulas!$B$1),MID(I$1,2,2)&amp;"-111*"&amp;"*-0*",INDIRECT(Formulas!$B$3)),0)+ROUND(SUMIF(INDIRECT(Formulas!$B$1),MID(I$1,2,2)&amp;"-112*"&amp;"*-0*",INDIRECT(Formulas!$B$3)),0)</f>
        <v>11244</v>
      </c>
      <c r="J5" s="466">
        <f ca="1">ROUND(SUMIF(INDIRECT(Formulas!$B$1),MID(J$1,2,2)&amp;"-111*"&amp;"*-0*",INDIRECT(Formulas!$B$3)),0)+ROUND(SUMIF(INDIRECT(Formulas!$B$1),MID(J$1,2,2)&amp;"-112*"&amp;"*-0*",INDIRECT(Formulas!$B$3)),0)</f>
        <v>10896</v>
      </c>
      <c r="K5" s="466">
        <f ca="1">ROUND(SUMIF(INDIRECT(Formulas!$B$1),MID(K$1,2,2)&amp;"-111*"&amp;"*-0*",INDIRECT(Formulas!$B$3)),0)+ROUND(SUMIF(INDIRECT(Formulas!$B$1),MID(K$1,2,2)&amp;"-112*"&amp;"*-0*",INDIRECT(Formulas!$B$3)),0)</f>
        <v>0</v>
      </c>
    </row>
    <row r="6" spans="1:12" ht="15" x14ac:dyDescent="0.2">
      <c r="A6" s="463" t="s">
        <v>1662</v>
      </c>
      <c r="B6" s="470">
        <v>1130</v>
      </c>
      <c r="C6" s="466">
        <f ca="1">ROUND(SUMIF(INDIRECT(Formulas!$B$1),MID(C$1,2,2)&amp;"-"&amp;LEFT($B6,3)&amp;"*-0*",INDIRECT(Formulas!$B$3)),0)</f>
        <v>0</v>
      </c>
      <c r="D6" s="466">
        <f ca="1">ROUND(SUMIF(INDIRECT(Formulas!$B$1),MID(D$1,2,2)&amp;"-"&amp;LEFT($B6,3)&amp;"*-0*",INDIRECT(Formulas!$B$3)),0)</f>
        <v>0</v>
      </c>
      <c r="E6" s="475"/>
      <c r="F6" s="475"/>
      <c r="G6" s="468"/>
      <c r="H6" s="468"/>
      <c r="I6" s="468"/>
      <c r="J6" s="468"/>
      <c r="K6" s="468"/>
    </row>
    <row r="7" spans="1:12" x14ac:dyDescent="0.2">
      <c r="A7" s="463" t="s">
        <v>110</v>
      </c>
      <c r="B7" s="545">
        <v>1140</v>
      </c>
      <c r="C7" s="466">
        <f ca="1">ROUND(SUMIF(INDIRECT(Formulas!$B$1),MID(C$1,2,2)&amp;"-"&amp;LEFT($B7,3)&amp;"*-0*",INDIRECT(Formulas!$B$3)),0)</f>
        <v>29720</v>
      </c>
      <c r="D7" s="466">
        <f ca="1">ROUND(SUMIF(INDIRECT(Formulas!$B$1),MID(D$1,2,2)&amp;"-"&amp;LEFT($B7,3)&amp;"*-0*",INDIRECT(Formulas!$B$3)),0)</f>
        <v>0</v>
      </c>
      <c r="E7" s="468"/>
      <c r="F7" s="466">
        <f ca="1">ROUND(SUMIF(INDIRECT(Formulas!$B$1),MID(F$1,2,2)&amp;"-"&amp;LEFT($B7,3)&amp;"*-0*",INDIRECT(Formulas!$B$3)),0)</f>
        <v>0</v>
      </c>
      <c r="G7" s="466">
        <f ca="1">ROUND(SUMIF(INDIRECT(Formulas!$B$1),MID(G$1,2,2)&amp;"-"&amp;LEFT($B7,3)&amp;"*-0*",INDIRECT(Formulas!$B$3)),0)</f>
        <v>0</v>
      </c>
      <c r="H7" s="466">
        <f ca="1">ROUND(SUMIF(INDIRECT(Formulas!$B$1),MID(H$1,2,2)&amp;"-"&amp;LEFT($B7,3)&amp;"*-0*",INDIRECT(Formulas!$B$3)),0)</f>
        <v>0</v>
      </c>
      <c r="I7" s="468"/>
      <c r="J7" s="468"/>
      <c r="K7" s="468"/>
    </row>
    <row r="8" spans="1:12" x14ac:dyDescent="0.2">
      <c r="A8" s="463" t="s">
        <v>413</v>
      </c>
      <c r="B8" s="470">
        <v>1150</v>
      </c>
      <c r="C8" s="475"/>
      <c r="D8" s="475"/>
      <c r="E8" s="476"/>
      <c r="F8" s="476"/>
      <c r="G8" s="466">
        <f ca="1">ROUND(SUMIF(INDIRECT(Formulas!$B$1),MID(G$1,2,2)&amp;"-"&amp;LEFT($B8,3)&amp;"*-0*",INDIRECT(Formulas!$B$3)),0)</f>
        <v>4956</v>
      </c>
      <c r="H8" s="468"/>
      <c r="I8" s="468"/>
      <c r="J8" s="468"/>
      <c r="K8" s="468"/>
    </row>
    <row r="9" spans="1:12" x14ac:dyDescent="0.2">
      <c r="A9" s="473" t="s">
        <v>111</v>
      </c>
      <c r="B9" s="470">
        <v>1160</v>
      </c>
      <c r="C9" s="468"/>
      <c r="D9" s="466">
        <f ca="1">ROUND(SUMIF(INDIRECT(Formulas!$B$1),MID(D$1,2,2)&amp;"-"&amp;LEFT($B9,3)&amp;"*-0*",INDIRECT(Formulas!$B$3)),0)</f>
        <v>0</v>
      </c>
      <c r="E9" s="466">
        <f ca="1">ROUND(SUMIF(INDIRECT(Formulas!$B$1),MID(E$1,2,2)&amp;"-"&amp;LEFT($B9,3)&amp;"*-0*",INDIRECT(Formulas!$B$3)),0)</f>
        <v>0</v>
      </c>
      <c r="F9" s="469"/>
      <c r="G9" s="475"/>
      <c r="H9" s="466">
        <f ca="1">ROUND(SUMIF(INDIRECT(Formulas!$B$1),MID(H$1,2,2)&amp;"-"&amp;LEFT($B9,3)&amp;"*-0*",INDIRECT(Formulas!$B$3)),0)</f>
        <v>0</v>
      </c>
      <c r="I9" s="468"/>
      <c r="J9" s="468"/>
      <c r="K9" s="468"/>
    </row>
    <row r="10" spans="1:12" x14ac:dyDescent="0.2">
      <c r="A10" s="473" t="s">
        <v>112</v>
      </c>
      <c r="B10" s="470">
        <v>1170</v>
      </c>
      <c r="C10" s="466">
        <f ca="1">ROUND(SUMIF(INDIRECT(Formulas!$B$1),MID(C$1,2,2)&amp;"-"&amp;LEFT($B10,3)&amp;"*-0*",INDIRECT(Formulas!$B$3)),0)</f>
        <v>0</v>
      </c>
      <c r="D10" s="523"/>
      <c r="E10" s="523"/>
      <c r="F10" s="469"/>
      <c r="G10" s="468"/>
      <c r="H10" s="468"/>
      <c r="I10" s="468"/>
      <c r="J10" s="468"/>
      <c r="K10" s="468"/>
    </row>
    <row r="11" spans="1:12" x14ac:dyDescent="0.2">
      <c r="A11" s="473" t="s">
        <v>414</v>
      </c>
      <c r="B11" s="546">
        <v>1190</v>
      </c>
      <c r="C11" s="466">
        <f ca="1">ROUND(SUMIF(INDIRECT(Formulas!$B$1),MID(C$1,2,2)&amp;"-"&amp;LEFT($B11,3)&amp;"*-0*",INDIRECT(Formulas!$B$3)),0)</f>
        <v>0</v>
      </c>
      <c r="D11" s="466">
        <f ca="1">ROUND(SUMIF(INDIRECT(Formulas!$B$1),MID(D$1,2,2)&amp;"-"&amp;LEFT($B11,3)&amp;"*-0*",INDIRECT(Formulas!$B$3)),0)</f>
        <v>0</v>
      </c>
      <c r="E11" s="466">
        <f ca="1">ROUND(SUMIF(INDIRECT(Formulas!$B$1),MID(E$1,2,2)&amp;"-"&amp;LEFT($B11,3)&amp;"*-0*",INDIRECT(Formulas!$B$3)),0)</f>
        <v>0</v>
      </c>
      <c r="F11" s="466">
        <f ca="1">ROUND(SUMIF(INDIRECT(Formulas!$B$1),MID(F$1,2,2)&amp;"-"&amp;LEFT($B11,3)&amp;"*-0*",INDIRECT(Formulas!$B$3)),0)</f>
        <v>0</v>
      </c>
      <c r="G11" s="466">
        <f ca="1">ROUND(SUMIF(INDIRECT(Formulas!$B$1),MID(G$1,2,2)&amp;"-"&amp;LEFT($B11,3)&amp;"*-0*",INDIRECT(Formulas!$B$3)),0)</f>
        <v>0</v>
      </c>
      <c r="H11" s="466">
        <f ca="1">ROUND(SUMIF(INDIRECT(Formulas!$B$1),MID(H$1,2,2)&amp;"-"&amp;LEFT($B11,3)&amp;"*-0*",INDIRECT(Formulas!$B$3)),0)</f>
        <v>0</v>
      </c>
      <c r="I11" s="466">
        <f ca="1">ROUND(SUMIF(INDIRECT(Formulas!$B$1),MID(I$1,2,2)&amp;"-"&amp;LEFT($B11,3)&amp;"*-0*",INDIRECT(Formulas!$B$3)),0)</f>
        <v>0</v>
      </c>
      <c r="J11" s="466">
        <f ca="1">ROUND(SUMIF(INDIRECT(Formulas!$B$1),MID(J$1,2,2)&amp;"-"&amp;LEFT($B11,3)&amp;"*-0*",INDIRECT(Formulas!$B$3)),0)</f>
        <v>0</v>
      </c>
      <c r="K11" s="466">
        <f ca="1">ROUND(SUMIF(INDIRECT(Formulas!$B$1),MID(K$1,2,2)&amp;"-"&amp;LEFT($B11,3)&amp;"*-0*",INDIRECT(Formulas!$B$3)),0)</f>
        <v>0</v>
      </c>
      <c r="L11" s="547"/>
    </row>
    <row r="12" spans="1:12" ht="12.75" customHeight="1" thickBot="1" x14ac:dyDescent="0.25">
      <c r="A12" s="1688" t="s">
        <v>29</v>
      </c>
      <c r="B12" s="1689"/>
      <c r="C12" s="1690">
        <f t="shared" ref="C12:K12" ca="1" si="0">SUM(C5:C11)</f>
        <v>822129</v>
      </c>
      <c r="D12" s="1690">
        <f t="shared" ca="1" si="0"/>
        <v>101034</v>
      </c>
      <c r="E12" s="1690">
        <f t="shared" ca="1" si="0"/>
        <v>0</v>
      </c>
      <c r="F12" s="1690">
        <f t="shared" ca="1" si="0"/>
        <v>14364</v>
      </c>
      <c r="G12" s="1690">
        <f t="shared" ca="1" si="0"/>
        <v>9413</v>
      </c>
      <c r="H12" s="1690">
        <f t="shared" ca="1" si="0"/>
        <v>0</v>
      </c>
      <c r="I12" s="1690">
        <f t="shared" ca="1" si="0"/>
        <v>11244</v>
      </c>
      <c r="J12" s="1690">
        <f t="shared" ca="1" si="0"/>
        <v>10896</v>
      </c>
      <c r="K12" s="1671">
        <f t="shared" ca="1" si="0"/>
        <v>0</v>
      </c>
    </row>
    <row r="13" spans="1:12" ht="15.75" customHeight="1" thickTop="1" x14ac:dyDescent="0.2">
      <c r="A13" s="1575" t="s">
        <v>451</v>
      </c>
      <c r="B13" s="1576">
        <v>1200</v>
      </c>
      <c r="C13" s="548"/>
      <c r="D13" s="548"/>
      <c r="E13" s="548"/>
      <c r="F13" s="548"/>
      <c r="G13" s="548"/>
      <c r="H13" s="548"/>
      <c r="I13" s="548"/>
      <c r="J13" s="548"/>
      <c r="K13" s="468"/>
    </row>
    <row r="14" spans="1:12" x14ac:dyDescent="0.2">
      <c r="A14" s="463" t="s">
        <v>3</v>
      </c>
      <c r="B14" s="470">
        <v>1210</v>
      </c>
      <c r="C14" s="466">
        <f ca="1">ROUND(SUMIF(INDIRECT(Formulas!$B$1),MID(C$1,2,2)&amp;"-"&amp;LEFT($B14,3)&amp;"*-0*",INDIRECT(Formulas!$B$3)),0)</f>
        <v>0</v>
      </c>
      <c r="D14" s="466">
        <f ca="1">ROUND(SUMIF(INDIRECT(Formulas!$B$1),MID(D$1,2,2)&amp;"-"&amp;LEFT($B14,3)&amp;"*-0*",INDIRECT(Formulas!$B$3)),0)</f>
        <v>0</v>
      </c>
      <c r="E14" s="466">
        <f ca="1">ROUND(SUMIF(INDIRECT(Formulas!$B$1),MID(E$1,2,2)&amp;"-"&amp;LEFT($B14,3)&amp;"*-0*",INDIRECT(Formulas!$B$3)),0)</f>
        <v>0</v>
      </c>
      <c r="F14" s="466">
        <f ca="1">ROUND(SUMIF(INDIRECT(Formulas!$B$1),MID(F$1,2,2)&amp;"-"&amp;LEFT($B14,3)&amp;"*-0*",INDIRECT(Formulas!$B$3)),0)</f>
        <v>0</v>
      </c>
      <c r="G14" s="466">
        <f ca="1">ROUND(SUMIF(INDIRECT(Formulas!$B$1),MID(G$1,2,2)&amp;"-"&amp;LEFT($B14,3)&amp;"*-0*",INDIRECT(Formulas!$B$3)),0)</f>
        <v>0</v>
      </c>
      <c r="H14" s="466">
        <f ca="1">ROUND(SUMIF(INDIRECT(Formulas!$B$1),MID(H$1,2,2)&amp;"-"&amp;LEFT($B14,3)&amp;"*-0*",INDIRECT(Formulas!$B$3)),0)</f>
        <v>0</v>
      </c>
      <c r="I14" s="466">
        <f ca="1">ROUND(SUMIF(INDIRECT(Formulas!$B$1),MID(I$1,2,2)&amp;"-"&amp;LEFT($B14,3)&amp;"*-0*",INDIRECT(Formulas!$B$3)),0)</f>
        <v>0</v>
      </c>
      <c r="J14" s="466">
        <f ca="1">ROUND(SUMIF(INDIRECT(Formulas!$B$1),MID(J$1,2,2)&amp;"-"&amp;LEFT($B14,3)&amp;"*-0*",INDIRECT(Formulas!$B$3)),0)</f>
        <v>0</v>
      </c>
      <c r="K14" s="466">
        <f ca="1">ROUND(SUMIF(INDIRECT(Formulas!$B$1),MID(K$1,2,2)&amp;"-"&amp;LEFT($B14,3)&amp;"*-0*",INDIRECT(Formulas!$B$3)),0)</f>
        <v>0</v>
      </c>
    </row>
    <row r="15" spans="1:12" ht="12.75" customHeight="1" x14ac:dyDescent="0.2">
      <c r="A15" s="463" t="s">
        <v>95</v>
      </c>
      <c r="B15" s="470">
        <v>1220</v>
      </c>
      <c r="C15" s="466">
        <f ca="1">ROUND(SUMIF(INDIRECT(Formulas!$B$1),MID(C$1,2,2)&amp;"-"&amp;LEFT($B15,3)&amp;"*-0*",INDIRECT(Formulas!$B$3)),0)</f>
        <v>0</v>
      </c>
      <c r="D15" s="466">
        <f ca="1">ROUND(SUMIF(INDIRECT(Formulas!$B$1),MID(D$1,2,2)&amp;"-"&amp;LEFT($B15,3)&amp;"*-0*",INDIRECT(Formulas!$B$3)),0)</f>
        <v>0</v>
      </c>
      <c r="E15" s="466">
        <f ca="1">ROUND(SUMIF(INDIRECT(Formulas!$B$1),MID(E$1,2,2)&amp;"-"&amp;LEFT($B15,3)&amp;"*-0*",INDIRECT(Formulas!$B$3)),0)</f>
        <v>0</v>
      </c>
      <c r="F15" s="466">
        <f ca="1">ROUND(SUMIF(INDIRECT(Formulas!$B$1),MID(F$1,2,2)&amp;"-"&amp;LEFT($B15,3)&amp;"*-0*",INDIRECT(Formulas!$B$3)),0)</f>
        <v>0</v>
      </c>
      <c r="G15" s="466">
        <f ca="1">ROUND(SUMIF(INDIRECT(Formulas!$B$1),MID(G$1,2,2)&amp;"-"&amp;LEFT($B15,3)&amp;"*-0*",INDIRECT(Formulas!$B$3)),0)</f>
        <v>0</v>
      </c>
      <c r="H15" s="466">
        <f ca="1">ROUND(SUMIF(INDIRECT(Formulas!$B$1),MID(H$1,2,2)&amp;"-"&amp;LEFT($B15,3)&amp;"*-0*",INDIRECT(Formulas!$B$3)),0)</f>
        <v>0</v>
      </c>
      <c r="I15" s="466">
        <f ca="1">ROUND(SUMIF(INDIRECT(Formulas!$B$1),MID(I$1,2,2)&amp;"-"&amp;LEFT($B15,3)&amp;"*-0*",INDIRECT(Formulas!$B$3)),0)</f>
        <v>0</v>
      </c>
      <c r="J15" s="466">
        <f ca="1">ROUND(SUMIF(INDIRECT(Formulas!$B$1),MID(J$1,2,2)&amp;"-"&amp;LEFT($B15,3)&amp;"*-0*",INDIRECT(Formulas!$B$3)),0)</f>
        <v>0</v>
      </c>
      <c r="K15" s="466">
        <f ca="1">ROUND(SUMIF(INDIRECT(Formulas!$B$1),MID(K$1,2,2)&amp;"-"&amp;LEFT($B15,3)&amp;"*-0*",INDIRECT(Formulas!$B$3)),0)</f>
        <v>0</v>
      </c>
    </row>
    <row r="16" spans="1:12" ht="15" customHeight="1" x14ac:dyDescent="0.2">
      <c r="A16" s="463" t="s">
        <v>1663</v>
      </c>
      <c r="B16" s="545">
        <v>1230</v>
      </c>
      <c r="C16" s="466">
        <f ca="1">ROUND(SUMIF(INDIRECT(Formulas!$B$1),MID(C$1,2,2)&amp;"-"&amp;LEFT($B16,3)&amp;"*-0*",INDIRECT(Formulas!$B$3)),0)</f>
        <v>35374</v>
      </c>
      <c r="D16" s="466">
        <f ca="1">ROUND(SUMIF(INDIRECT(Formulas!$B$1),MID(D$1,2,2)&amp;"-"&amp;LEFT($B16,3)&amp;"*-0*",INDIRECT(Formulas!$B$3)),0)</f>
        <v>44527</v>
      </c>
      <c r="E16" s="466">
        <f ca="1">ROUND(SUMIF(INDIRECT(Formulas!$B$1),MID(E$1,2,2)&amp;"-"&amp;LEFT($B16,3)&amp;"*-0*",INDIRECT(Formulas!$B$3)),0)</f>
        <v>0</v>
      </c>
      <c r="F16" s="466">
        <f ca="1">ROUND(SUMIF(INDIRECT(Formulas!$B$1),MID(F$1,2,2)&amp;"-"&amp;LEFT($B16,3)&amp;"*-0*",INDIRECT(Formulas!$B$3)),0)</f>
        <v>15254</v>
      </c>
      <c r="G16" s="466">
        <f ca="1">ROUND(SUMIF(INDIRECT(Formulas!$B$1),MID(G$1,2,2)&amp;"-"&amp;LEFT($B16,3)&amp;"*-0*",INDIRECT(Formulas!$B$3)),0)</f>
        <v>7856</v>
      </c>
      <c r="H16" s="466">
        <f ca="1">ROUND(SUMIF(INDIRECT(Formulas!$B$1),MID(H$1,2,2)&amp;"-"&amp;LEFT($B16,3)&amp;"*-0*",INDIRECT(Formulas!$B$3)),0)</f>
        <v>0</v>
      </c>
      <c r="I16" s="466">
        <f ca="1">ROUND(SUMIF(INDIRECT(Formulas!$B$1),MID(I$1,2,2)&amp;"-"&amp;LEFT($B16,3)&amp;"*-0*",INDIRECT(Formulas!$B$3)),0)</f>
        <v>0</v>
      </c>
      <c r="J16" s="466">
        <f ca="1">ROUND(SUMIF(INDIRECT(Formulas!$B$1),MID(J$1,2,2)&amp;"-"&amp;LEFT($B16,3)&amp;"*-0*",INDIRECT(Formulas!$B$3)),0)</f>
        <v>0</v>
      </c>
      <c r="K16" s="466">
        <f ca="1">ROUND(SUMIF(INDIRECT(Formulas!$B$1),MID(K$1,2,2)&amp;"-"&amp;LEFT($B16,3)&amp;"*-0*",INDIRECT(Formulas!$B$3)),0)</f>
        <v>0</v>
      </c>
    </row>
    <row r="17" spans="1:11" ht="12.75" customHeight="1" x14ac:dyDescent="0.2">
      <c r="A17" s="463" t="s">
        <v>807</v>
      </c>
      <c r="B17" s="470">
        <v>1290</v>
      </c>
      <c r="C17" s="466">
        <f ca="1">ROUND(SUMIF(INDIRECT(Formulas!$B$1),MID(C$1,2,2)&amp;"-"&amp;LEFT($B17,3)&amp;"*-0*",INDIRECT(Formulas!$B$3)),0)</f>
        <v>217284</v>
      </c>
      <c r="D17" s="466">
        <f ca="1">ROUND(SUMIF(INDIRECT(Formulas!$B$1),MID(D$1,2,2)&amp;"-"&amp;LEFT($B17,3)&amp;"*-0*",INDIRECT(Formulas!$B$3)),0)</f>
        <v>0</v>
      </c>
      <c r="E17" s="466">
        <f ca="1">ROUND(SUMIF(INDIRECT(Formulas!$B$1),MID(E$1,2,2)&amp;"-"&amp;LEFT($B17,3)&amp;"*-0*",INDIRECT(Formulas!$B$3)),0)</f>
        <v>0</v>
      </c>
      <c r="F17" s="466">
        <f ca="1">ROUND(SUMIF(INDIRECT(Formulas!$B$1),MID(F$1,2,2)&amp;"-"&amp;LEFT($B17,3)&amp;"*-0*",INDIRECT(Formulas!$B$3)),0)</f>
        <v>0</v>
      </c>
      <c r="G17" s="466">
        <f ca="1">ROUND(SUMIF(INDIRECT(Formulas!$B$1),MID(G$1,2,2)&amp;"-"&amp;LEFT($B17,3)&amp;"*-0*",INDIRECT(Formulas!$B$3)),0)</f>
        <v>0</v>
      </c>
      <c r="H17" s="466">
        <f ca="1">ROUND(SUMIF(INDIRECT(Formulas!$B$1),MID(H$1,2,2)&amp;"-"&amp;LEFT($B17,3)&amp;"*-0*",INDIRECT(Formulas!$B$3)),0)</f>
        <v>0</v>
      </c>
      <c r="I17" s="466">
        <f ca="1">ROUND(SUMIF(INDIRECT(Formulas!$B$1),MID(I$1,2,2)&amp;"-"&amp;LEFT($B17,3)&amp;"*-0*",INDIRECT(Formulas!$B$3)),0)</f>
        <v>0</v>
      </c>
      <c r="J17" s="466">
        <f ca="1">ROUND(SUMIF(INDIRECT(Formulas!$B$1),MID(J$1,2,2)&amp;"-"&amp;LEFT($B17,3)&amp;"*-0*",INDIRECT(Formulas!$B$3)),0)</f>
        <v>0</v>
      </c>
      <c r="K17" s="466">
        <f ca="1">ROUND(SUMIF(INDIRECT(Formulas!$B$1),MID(K$1,2,2)&amp;"-"&amp;LEFT($B17,3)&amp;"*-0*",INDIRECT(Formulas!$B$3)),0)</f>
        <v>0</v>
      </c>
    </row>
    <row r="18" spans="1:11" ht="12.75" customHeight="1" thickBot="1" x14ac:dyDescent="0.25">
      <c r="A18" s="1691" t="s">
        <v>537</v>
      </c>
      <c r="B18" s="1692"/>
      <c r="C18" s="1693">
        <f ca="1">SUM(C14:C17)</f>
        <v>252658</v>
      </c>
      <c r="D18" s="1693">
        <f t="shared" ref="D18:K18" ca="1" si="1">SUM(D14:D17)</f>
        <v>44527</v>
      </c>
      <c r="E18" s="1693">
        <f t="shared" ca="1" si="1"/>
        <v>0</v>
      </c>
      <c r="F18" s="1693">
        <f t="shared" ca="1" si="1"/>
        <v>15254</v>
      </c>
      <c r="G18" s="1693">
        <f t="shared" ca="1" si="1"/>
        <v>7856</v>
      </c>
      <c r="H18" s="1693">
        <f t="shared" ca="1" si="1"/>
        <v>0</v>
      </c>
      <c r="I18" s="1693">
        <f t="shared" ca="1" si="1"/>
        <v>0</v>
      </c>
      <c r="J18" s="1693">
        <f t="shared" ca="1" si="1"/>
        <v>0</v>
      </c>
      <c r="K18" s="1694">
        <f t="shared" ca="1" si="1"/>
        <v>0</v>
      </c>
    </row>
    <row r="19" spans="1:11" ht="15.75" customHeight="1" thickTop="1" x14ac:dyDescent="0.2">
      <c r="A19" s="1575" t="s">
        <v>452</v>
      </c>
      <c r="B19" s="1576">
        <v>1300</v>
      </c>
      <c r="C19" s="549"/>
      <c r="D19" s="549"/>
      <c r="E19" s="549"/>
      <c r="F19" s="549"/>
      <c r="G19" s="548"/>
      <c r="H19" s="549"/>
      <c r="I19" s="549"/>
      <c r="J19" s="549"/>
      <c r="K19" s="550"/>
    </row>
    <row r="20" spans="1:11" x14ac:dyDescent="0.2">
      <c r="A20" s="463" t="s">
        <v>1073</v>
      </c>
      <c r="B20" s="470">
        <v>1311</v>
      </c>
      <c r="C20" s="466">
        <f ca="1">ROUND(SUMIF(INDIRECT(Formulas!$B$1),MID(C$1,2,2)&amp;"-"&amp;LEFT($B20,4)&amp;"*-0*",INDIRECT(Formulas!$B$3)),0)</f>
        <v>0</v>
      </c>
      <c r="D20" s="468"/>
      <c r="E20" s="468"/>
      <c r="F20" s="468"/>
      <c r="G20" s="468"/>
      <c r="H20" s="468"/>
      <c r="I20" s="468"/>
      <c r="J20" s="468"/>
      <c r="K20" s="468"/>
    </row>
    <row r="21" spans="1:11" ht="12.75" customHeight="1" x14ac:dyDescent="0.2">
      <c r="A21" s="463" t="s">
        <v>832</v>
      </c>
      <c r="B21" s="470">
        <v>1312</v>
      </c>
      <c r="C21" s="466">
        <f ca="1">ROUND(SUMIF(INDIRECT(Formulas!$B$1),MID(C$1,2,2)&amp;"-"&amp;LEFT($B21,4)&amp;"*-0*",INDIRECT(Formulas!$B$3)),0)</f>
        <v>0</v>
      </c>
      <c r="D21" s="468"/>
      <c r="E21" s="468"/>
      <c r="F21" s="468"/>
      <c r="G21" s="468"/>
      <c r="H21" s="468"/>
      <c r="I21" s="468"/>
      <c r="J21" s="468"/>
      <c r="K21" s="468"/>
    </row>
    <row r="22" spans="1:11" ht="12.75" customHeight="1" x14ac:dyDescent="0.2">
      <c r="A22" s="463" t="s">
        <v>1074</v>
      </c>
      <c r="B22" s="470">
        <v>1313</v>
      </c>
      <c r="C22" s="466">
        <f ca="1">ROUND(SUMIF(INDIRECT(Formulas!$B$1),MID(C$1,2,2)&amp;"-"&amp;LEFT($B22,4)&amp;"*-0*",INDIRECT(Formulas!$B$3)),0)</f>
        <v>0</v>
      </c>
      <c r="D22" s="468"/>
      <c r="E22" s="468"/>
      <c r="F22" s="468"/>
      <c r="G22" s="468"/>
      <c r="H22" s="468"/>
      <c r="I22" s="468"/>
      <c r="J22" s="468"/>
      <c r="K22" s="468"/>
    </row>
    <row r="23" spans="1:11" ht="12.75" customHeight="1" x14ac:dyDescent="0.2">
      <c r="A23" s="463" t="s">
        <v>1075</v>
      </c>
      <c r="B23" s="470">
        <v>1314</v>
      </c>
      <c r="C23" s="466">
        <f ca="1">ROUND(SUMIF(INDIRECT(Formulas!$B$1),MID(C$1,2,2)&amp;"-"&amp;LEFT($B23,4)&amp;"*-0*",INDIRECT(Formulas!$B$3)),0)</f>
        <v>0</v>
      </c>
      <c r="D23" s="468"/>
      <c r="E23" s="468"/>
      <c r="F23" s="468"/>
      <c r="G23" s="468"/>
      <c r="H23" s="468"/>
      <c r="I23" s="468"/>
      <c r="J23" s="468"/>
      <c r="K23" s="468"/>
    </row>
    <row r="24" spans="1:11" ht="12.75" customHeight="1" x14ac:dyDescent="0.2">
      <c r="A24" s="463" t="s">
        <v>1027</v>
      </c>
      <c r="B24" s="470">
        <v>1321</v>
      </c>
      <c r="C24" s="466">
        <f ca="1">ROUND(SUMIF(INDIRECT(Formulas!$B$1),MID(C$1,2,2)&amp;"-"&amp;LEFT($B24,4)&amp;"*-0*",INDIRECT(Formulas!$B$3)),0)</f>
        <v>0</v>
      </c>
      <c r="D24" s="468"/>
      <c r="E24" s="468"/>
      <c r="F24" s="468"/>
      <c r="G24" s="468"/>
      <c r="H24" s="468"/>
      <c r="I24" s="468"/>
      <c r="J24" s="468"/>
      <c r="K24" s="468"/>
    </row>
    <row r="25" spans="1:11" ht="12.75" customHeight="1" x14ac:dyDescent="0.2">
      <c r="A25" s="463" t="s">
        <v>833</v>
      </c>
      <c r="B25" s="470">
        <v>1322</v>
      </c>
      <c r="C25" s="466">
        <f ca="1">ROUND(SUMIF(INDIRECT(Formulas!$B$1),MID(C$1,2,2)&amp;"-"&amp;LEFT($B25,4)&amp;"*-0*",INDIRECT(Formulas!$B$3)),0)</f>
        <v>0</v>
      </c>
      <c r="D25" s="468"/>
      <c r="E25" s="468"/>
      <c r="F25" s="468"/>
      <c r="G25" s="468"/>
      <c r="H25" s="468"/>
      <c r="I25" s="468"/>
      <c r="J25" s="468"/>
      <c r="K25" s="468"/>
    </row>
    <row r="26" spans="1:11" ht="12.75" customHeight="1" x14ac:dyDescent="0.2">
      <c r="A26" s="463" t="s">
        <v>1101</v>
      </c>
      <c r="B26" s="470">
        <v>1323</v>
      </c>
      <c r="C26" s="466">
        <f ca="1">ROUND(SUMIF(INDIRECT(Formulas!$B$1),MID(C$1,2,2)&amp;"-"&amp;LEFT($B26,4)&amp;"*-0*",INDIRECT(Formulas!$B$3)),0)</f>
        <v>0</v>
      </c>
      <c r="D26" s="468"/>
      <c r="E26" s="468"/>
      <c r="F26" s="468"/>
      <c r="G26" s="468"/>
      <c r="H26" s="468"/>
      <c r="I26" s="468"/>
      <c r="J26" s="468"/>
      <c r="K26" s="468"/>
    </row>
    <row r="27" spans="1:11" ht="12.75" customHeight="1" x14ac:dyDescent="0.2">
      <c r="A27" s="463" t="s">
        <v>1023</v>
      </c>
      <c r="B27" s="470">
        <v>1324</v>
      </c>
      <c r="C27" s="466">
        <f ca="1">ROUND(SUMIF(INDIRECT(Formulas!$B$1),MID(C$1,2,2)&amp;"-"&amp;LEFT($B27,4)&amp;"*-0*",INDIRECT(Formulas!$B$3)),0)</f>
        <v>0</v>
      </c>
      <c r="D27" s="468"/>
      <c r="E27" s="468"/>
      <c r="F27" s="468"/>
      <c r="G27" s="468"/>
      <c r="H27" s="468"/>
      <c r="I27" s="468"/>
      <c r="J27" s="468"/>
      <c r="K27" s="468"/>
    </row>
    <row r="28" spans="1:11" ht="12.75" customHeight="1" x14ac:dyDescent="0.2">
      <c r="A28" s="463" t="s">
        <v>1024</v>
      </c>
      <c r="B28" s="470">
        <v>1331</v>
      </c>
      <c r="C28" s="466">
        <f ca="1">ROUND(SUMIF(INDIRECT(Formulas!$B$1),MID(C$1,2,2)&amp;"-"&amp;LEFT($B28,4)&amp;"*-0*",INDIRECT(Formulas!$B$3)),0)</f>
        <v>0</v>
      </c>
      <c r="D28" s="468"/>
      <c r="E28" s="468"/>
      <c r="F28" s="468"/>
      <c r="G28" s="468"/>
      <c r="H28" s="468"/>
      <c r="I28" s="468"/>
      <c r="J28" s="468"/>
      <c r="K28" s="468"/>
    </row>
    <row r="29" spans="1:11" ht="12.75" customHeight="1" x14ac:dyDescent="0.2">
      <c r="A29" s="463" t="s">
        <v>834</v>
      </c>
      <c r="B29" s="470">
        <v>1332</v>
      </c>
      <c r="C29" s="466">
        <f ca="1">ROUND(SUMIF(INDIRECT(Formulas!$B$1),MID(C$1,2,2)&amp;"-"&amp;LEFT($B29,4)&amp;"*-0*",INDIRECT(Formulas!$B$3)),0)</f>
        <v>0</v>
      </c>
      <c r="D29" s="468"/>
      <c r="E29" s="468"/>
      <c r="F29" s="468"/>
      <c r="G29" s="468"/>
      <c r="H29" s="468"/>
      <c r="I29" s="468"/>
      <c r="J29" s="468"/>
      <c r="K29" s="468"/>
    </row>
    <row r="30" spans="1:11" ht="12.75" customHeight="1" x14ac:dyDescent="0.2">
      <c r="A30" s="463" t="s">
        <v>1026</v>
      </c>
      <c r="B30" s="470">
        <v>1333</v>
      </c>
      <c r="C30" s="466">
        <f ca="1">ROUND(SUMIF(INDIRECT(Formulas!$B$1),MID(C$1,2,2)&amp;"-"&amp;LEFT($B30,4)&amp;"*-0*",INDIRECT(Formulas!$B$3)),0)</f>
        <v>0</v>
      </c>
      <c r="D30" s="468"/>
      <c r="E30" s="468"/>
      <c r="F30" s="468"/>
      <c r="G30" s="468"/>
      <c r="H30" s="468"/>
      <c r="I30" s="468"/>
      <c r="J30" s="468"/>
      <c r="K30" s="468"/>
    </row>
    <row r="31" spans="1:11" ht="12.75" customHeight="1" x14ac:dyDescent="0.2">
      <c r="A31" s="463" t="s">
        <v>1025</v>
      </c>
      <c r="B31" s="470">
        <v>1334</v>
      </c>
      <c r="C31" s="466">
        <f ca="1">ROUND(SUMIF(INDIRECT(Formulas!$B$1),MID(C$1,2,2)&amp;"-"&amp;LEFT($B31,4)&amp;"*-0*",INDIRECT(Formulas!$B$3)),0)</f>
        <v>0</v>
      </c>
      <c r="D31" s="468"/>
      <c r="E31" s="468"/>
      <c r="F31" s="468"/>
      <c r="G31" s="468"/>
      <c r="H31" s="468"/>
      <c r="I31" s="468"/>
      <c r="J31" s="468"/>
      <c r="K31" s="468"/>
    </row>
    <row r="32" spans="1:11" ht="12.75" customHeight="1" x14ac:dyDescent="0.2">
      <c r="A32" s="463" t="s">
        <v>494</v>
      </c>
      <c r="B32" s="470">
        <v>1341</v>
      </c>
      <c r="C32" s="466">
        <f ca="1">ROUND(SUMIF(INDIRECT(Formulas!$B$1),MID(C$1,2,2)&amp;"-"&amp;LEFT($B32,4)&amp;"*-0*",INDIRECT(Formulas!$B$3)),0)</f>
        <v>0</v>
      </c>
      <c r="D32" s="468"/>
      <c r="E32" s="468"/>
      <c r="F32" s="468"/>
      <c r="G32" s="468"/>
      <c r="H32" s="468"/>
      <c r="I32" s="468"/>
      <c r="J32" s="468"/>
      <c r="K32" s="468"/>
    </row>
    <row r="33" spans="1:11" ht="12.75" customHeight="1" x14ac:dyDescent="0.2">
      <c r="A33" s="463" t="s">
        <v>835</v>
      </c>
      <c r="B33" s="470">
        <v>1342</v>
      </c>
      <c r="C33" s="466">
        <f ca="1">ROUND(SUMIF(INDIRECT(Formulas!$B$1),MID(C$1,2,2)&amp;"-"&amp;LEFT($B33,4)&amp;"*-0*",INDIRECT(Formulas!$B$3)),0)</f>
        <v>0</v>
      </c>
      <c r="D33" s="468"/>
      <c r="E33" s="468"/>
      <c r="F33" s="468"/>
      <c r="G33" s="468"/>
      <c r="H33" s="468"/>
      <c r="I33" s="468"/>
      <c r="J33" s="468"/>
      <c r="K33" s="468"/>
    </row>
    <row r="34" spans="1:11" ht="12.75" customHeight="1" x14ac:dyDescent="0.2">
      <c r="A34" s="463" t="s">
        <v>495</v>
      </c>
      <c r="B34" s="470">
        <v>1343</v>
      </c>
      <c r="C34" s="466">
        <f ca="1">ROUND(SUMIF(INDIRECT(Formulas!$B$1),MID(C$1,2,2)&amp;"-"&amp;LEFT($B34,4)&amp;"*-0*",INDIRECT(Formulas!$B$3)),0)</f>
        <v>0</v>
      </c>
      <c r="D34" s="468"/>
      <c r="E34" s="468"/>
      <c r="F34" s="468"/>
      <c r="G34" s="468"/>
      <c r="H34" s="468"/>
      <c r="I34" s="468"/>
      <c r="J34" s="468"/>
      <c r="K34" s="468"/>
    </row>
    <row r="35" spans="1:11" ht="12.75" customHeight="1" x14ac:dyDescent="0.2">
      <c r="A35" s="463" t="s">
        <v>493</v>
      </c>
      <c r="B35" s="470">
        <v>1344</v>
      </c>
      <c r="C35" s="466">
        <f ca="1">ROUND(SUMIF(INDIRECT(Formulas!$B$1),MID(C$1,2,2)&amp;"-"&amp;LEFT($B35,4)&amp;"*-0*",INDIRECT(Formulas!$B$3)),0)</f>
        <v>0</v>
      </c>
      <c r="D35" s="468"/>
      <c r="E35" s="468"/>
      <c r="F35" s="468"/>
      <c r="G35" s="468"/>
      <c r="H35" s="468"/>
      <c r="I35" s="468"/>
      <c r="J35" s="468"/>
      <c r="K35" s="468"/>
    </row>
    <row r="36" spans="1:11" ht="12.75" customHeight="1" x14ac:dyDescent="0.2">
      <c r="A36" s="463" t="s">
        <v>831</v>
      </c>
      <c r="B36" s="470">
        <v>1351</v>
      </c>
      <c r="C36" s="466">
        <f ca="1">ROUND(SUMIF(INDIRECT(Formulas!$B$1),MID(C$1,2,2)&amp;"-"&amp;LEFT($B36,4)&amp;"*-0*",INDIRECT(Formulas!$B$3)),0)</f>
        <v>0</v>
      </c>
      <c r="D36" s="468"/>
      <c r="E36" s="468"/>
      <c r="F36" s="468"/>
      <c r="G36" s="468"/>
      <c r="H36" s="468"/>
      <c r="I36" s="468"/>
      <c r="J36" s="468"/>
      <c r="K36" s="468"/>
    </row>
    <row r="37" spans="1:11" ht="12.75" customHeight="1" x14ac:dyDescent="0.2">
      <c r="A37" s="463" t="s">
        <v>836</v>
      </c>
      <c r="B37" s="470">
        <v>1352</v>
      </c>
      <c r="C37" s="466">
        <f ca="1">ROUND(SUMIF(INDIRECT(Formulas!$B$1),MID(C$1,2,2)&amp;"-"&amp;LEFT($B37,4)&amp;"*-0*",INDIRECT(Formulas!$B$3)),0)</f>
        <v>0</v>
      </c>
      <c r="D37" s="468"/>
      <c r="E37" s="468"/>
      <c r="F37" s="468"/>
      <c r="G37" s="468"/>
      <c r="H37" s="468"/>
      <c r="I37" s="468"/>
      <c r="J37" s="468"/>
      <c r="K37" s="468"/>
    </row>
    <row r="38" spans="1:11" ht="12.75" customHeight="1" x14ac:dyDescent="0.2">
      <c r="A38" s="463" t="s">
        <v>593</v>
      </c>
      <c r="B38" s="470">
        <v>1353</v>
      </c>
      <c r="C38" s="466">
        <f ca="1">ROUND(SUMIF(INDIRECT(Formulas!$B$1),MID(C$1,2,2)&amp;"-"&amp;LEFT($B38,4)&amp;"*-0*",INDIRECT(Formulas!$B$3)),0)</f>
        <v>0</v>
      </c>
      <c r="D38" s="468"/>
      <c r="E38" s="468"/>
      <c r="F38" s="468"/>
      <c r="G38" s="468"/>
      <c r="H38" s="468"/>
      <c r="I38" s="468"/>
      <c r="J38" s="468"/>
      <c r="K38" s="468"/>
    </row>
    <row r="39" spans="1:11" ht="12.75" customHeight="1" x14ac:dyDescent="0.2">
      <c r="A39" s="1478" t="s">
        <v>594</v>
      </c>
      <c r="B39" s="551">
        <v>1354</v>
      </c>
      <c r="C39" s="466">
        <f ca="1">ROUND(SUMIF(INDIRECT(Formulas!$B$1),MID(C$1,2,2)&amp;"-"&amp;LEFT($B39,4)&amp;"*-0*",INDIRECT(Formulas!$B$3)),0)</f>
        <v>0</v>
      </c>
      <c r="D39" s="468"/>
      <c r="E39" s="468"/>
      <c r="F39" s="468"/>
      <c r="G39" s="468"/>
      <c r="H39" s="468"/>
      <c r="I39" s="468"/>
      <c r="J39" s="468"/>
      <c r="K39" s="468"/>
    </row>
    <row r="40" spans="1:11" ht="12.75" customHeight="1" thickBot="1" x14ac:dyDescent="0.25">
      <c r="A40" s="1691" t="s">
        <v>538</v>
      </c>
      <c r="B40" s="1692"/>
      <c r="C40" s="1671">
        <f ca="1">SUM(C20:C39)</f>
        <v>0</v>
      </c>
      <c r="D40" s="468"/>
      <c r="E40" s="468"/>
      <c r="F40" s="468"/>
      <c r="G40" s="468"/>
      <c r="H40" s="468"/>
      <c r="I40" s="468"/>
      <c r="J40" s="468"/>
      <c r="K40" s="468"/>
    </row>
    <row r="41" spans="1:11" ht="15.75" customHeight="1" thickTop="1" x14ac:dyDescent="0.2">
      <c r="A41" s="1575" t="s">
        <v>274</v>
      </c>
      <c r="B41" s="1576">
        <v>1400</v>
      </c>
      <c r="C41" s="468"/>
      <c r="D41" s="468"/>
      <c r="E41" s="468"/>
      <c r="F41" s="518"/>
      <c r="G41" s="468"/>
      <c r="H41" s="468"/>
      <c r="I41" s="468"/>
      <c r="J41" s="468"/>
      <c r="K41" s="468"/>
    </row>
    <row r="42" spans="1:11" ht="12.75" customHeight="1" x14ac:dyDescent="0.2">
      <c r="A42" s="463" t="s">
        <v>1076</v>
      </c>
      <c r="B42" s="470">
        <v>1411</v>
      </c>
      <c r="C42" s="468"/>
      <c r="D42" s="468"/>
      <c r="E42" s="468"/>
      <c r="F42" s="466">
        <f ca="1">ROUND(SUMIF(INDIRECT(Formulas!$B$1),MID(F$1,2,2)&amp;"-"&amp;LEFT($B42,4)&amp;"*-0*",INDIRECT(Formulas!$B$3)),0)</f>
        <v>0</v>
      </c>
      <c r="G42" s="468"/>
      <c r="H42" s="468"/>
      <c r="I42" s="468"/>
      <c r="J42" s="468"/>
      <c r="K42" s="468"/>
    </row>
    <row r="43" spans="1:11" ht="12.75" customHeight="1" x14ac:dyDescent="0.2">
      <c r="A43" s="463" t="s">
        <v>837</v>
      </c>
      <c r="B43" s="470">
        <v>1412</v>
      </c>
      <c r="C43" s="468"/>
      <c r="D43" s="468"/>
      <c r="E43" s="468"/>
      <c r="F43" s="466">
        <f ca="1">ROUND(SUMIF(INDIRECT(Formulas!$B$1),MID(F$1,2,2)&amp;"-"&amp;LEFT($B43,4)&amp;"*-0*",INDIRECT(Formulas!$B$3)),0)</f>
        <v>0</v>
      </c>
      <c r="G43" s="468"/>
      <c r="H43" s="468"/>
      <c r="I43" s="468"/>
      <c r="J43" s="468"/>
      <c r="K43" s="468"/>
    </row>
    <row r="44" spans="1:11" ht="12.75" customHeight="1" x14ac:dyDescent="0.2">
      <c r="A44" s="463" t="s">
        <v>384</v>
      </c>
      <c r="B44" s="470">
        <v>1413</v>
      </c>
      <c r="C44" s="468"/>
      <c r="D44" s="468"/>
      <c r="E44" s="468"/>
      <c r="F44" s="466">
        <f ca="1">ROUND(SUMIF(INDIRECT(Formulas!$B$1),MID(F$1,2,2)&amp;"-"&amp;LEFT($B44,4)&amp;"*-0*",INDIRECT(Formulas!$B$3)),0)</f>
        <v>0</v>
      </c>
      <c r="G44" s="468"/>
      <c r="H44" s="468"/>
      <c r="I44" s="468"/>
      <c r="J44" s="468"/>
      <c r="K44" s="468"/>
    </row>
    <row r="45" spans="1:11" ht="12.75" customHeight="1" x14ac:dyDescent="0.2">
      <c r="A45" s="463" t="s">
        <v>240</v>
      </c>
      <c r="B45" s="470">
        <v>1415</v>
      </c>
      <c r="C45" s="468"/>
      <c r="D45" s="468"/>
      <c r="E45" s="468"/>
      <c r="F45" s="466">
        <f ca="1">ROUND(SUMIF(INDIRECT(Formulas!$B$1),MID(F$1,2,2)&amp;"-"&amp;LEFT($B45,4)&amp;"*-0*",INDIRECT(Formulas!$B$3)),0)</f>
        <v>0</v>
      </c>
      <c r="G45" s="468"/>
      <c r="H45" s="468"/>
      <c r="I45" s="468"/>
      <c r="J45" s="468"/>
      <c r="K45" s="468"/>
    </row>
    <row r="46" spans="1:11" ht="12.75" customHeight="1" x14ac:dyDescent="0.2">
      <c r="A46" s="463" t="s">
        <v>1174</v>
      </c>
      <c r="B46" s="470">
        <v>1416</v>
      </c>
      <c r="C46" s="468"/>
      <c r="D46" s="468"/>
      <c r="E46" s="468"/>
      <c r="F46" s="466">
        <f ca="1">ROUND(SUMIF(INDIRECT(Formulas!$B$1),MID(F$1,2,2)&amp;"-"&amp;LEFT($B46,4)&amp;"*-0*",INDIRECT(Formulas!$B$3)),0)</f>
        <v>0</v>
      </c>
      <c r="G46" s="468"/>
      <c r="H46" s="468"/>
      <c r="I46" s="468"/>
      <c r="J46" s="468"/>
      <c r="K46" s="468"/>
    </row>
    <row r="47" spans="1:11" ht="12.75" customHeight="1" x14ac:dyDescent="0.2">
      <c r="A47" s="463" t="s">
        <v>57</v>
      </c>
      <c r="B47" s="470">
        <v>1421</v>
      </c>
      <c r="C47" s="468"/>
      <c r="D47" s="468"/>
      <c r="E47" s="468"/>
      <c r="F47" s="466">
        <f ca="1">ROUND(SUMIF(INDIRECT(Formulas!$B$1),MID(F$1,2,2)&amp;"-"&amp;LEFT($B47,4)&amp;"*-0*",INDIRECT(Formulas!$B$3)),0)</f>
        <v>0</v>
      </c>
      <c r="G47" s="468"/>
      <c r="H47" s="468"/>
      <c r="I47" s="468"/>
      <c r="J47" s="468"/>
      <c r="K47" s="468"/>
    </row>
    <row r="48" spans="1:11" ht="12.75" customHeight="1" x14ac:dyDescent="0.2">
      <c r="A48" s="463" t="s">
        <v>838</v>
      </c>
      <c r="B48" s="470">
        <v>1422</v>
      </c>
      <c r="C48" s="468"/>
      <c r="D48" s="468"/>
      <c r="E48" s="468"/>
      <c r="F48" s="466">
        <f ca="1">ROUND(SUMIF(INDIRECT(Formulas!$B$1),MID(F$1,2,2)&amp;"-"&amp;LEFT($B48,4)&amp;"*-0*",INDIRECT(Formulas!$B$3)),0)</f>
        <v>0</v>
      </c>
      <c r="G48" s="468"/>
      <c r="H48" s="468"/>
      <c r="I48" s="468"/>
      <c r="J48" s="468"/>
      <c r="K48" s="468"/>
    </row>
    <row r="49" spans="1:11" ht="12.75" customHeight="1" x14ac:dyDescent="0.2">
      <c r="A49" s="463" t="s">
        <v>58</v>
      </c>
      <c r="B49" s="470">
        <v>1423</v>
      </c>
      <c r="C49" s="468"/>
      <c r="D49" s="468"/>
      <c r="E49" s="468"/>
      <c r="F49" s="466">
        <f ca="1">ROUND(SUMIF(INDIRECT(Formulas!$B$1),MID(F$1,2,2)&amp;"-"&amp;LEFT($B49,4)&amp;"*-0*",INDIRECT(Formulas!$B$3)),0)</f>
        <v>0</v>
      </c>
      <c r="G49" s="468"/>
      <c r="H49" s="468"/>
      <c r="I49" s="468"/>
      <c r="J49" s="468"/>
      <c r="K49" s="468"/>
    </row>
    <row r="50" spans="1:11" ht="12.75" customHeight="1" x14ac:dyDescent="0.2">
      <c r="A50" s="463" t="s">
        <v>59</v>
      </c>
      <c r="B50" s="470">
        <v>1424</v>
      </c>
      <c r="C50" s="468"/>
      <c r="D50" s="468"/>
      <c r="E50" s="468"/>
      <c r="F50" s="466">
        <f ca="1">ROUND(SUMIF(INDIRECT(Formulas!$B$1),MID(F$1,2,2)&amp;"-"&amp;LEFT($B50,4)&amp;"*-0*",INDIRECT(Formulas!$B$3)),0)</f>
        <v>0</v>
      </c>
      <c r="G50" s="468"/>
      <c r="H50" s="468"/>
      <c r="I50" s="468"/>
      <c r="J50" s="468"/>
      <c r="K50" s="468"/>
    </row>
    <row r="51" spans="1:11" ht="12.75" customHeight="1" x14ac:dyDescent="0.2">
      <c r="A51" s="1479" t="s">
        <v>60</v>
      </c>
      <c r="B51" s="552">
        <v>1431</v>
      </c>
      <c r="C51" s="468"/>
      <c r="D51" s="468"/>
      <c r="E51" s="468"/>
      <c r="F51" s="466">
        <f ca="1">ROUND(SUMIF(INDIRECT(Formulas!$B$1),MID(F$1,2,2)&amp;"-"&amp;LEFT($B51,4)&amp;"*-0*",INDIRECT(Formulas!$B$3)),0)</f>
        <v>0</v>
      </c>
      <c r="G51" s="468"/>
      <c r="H51" s="468"/>
      <c r="I51" s="468"/>
      <c r="J51" s="468"/>
      <c r="K51" s="468"/>
    </row>
    <row r="52" spans="1:11" ht="12.75" customHeight="1" x14ac:dyDescent="0.2">
      <c r="A52" s="1479" t="s">
        <v>1106</v>
      </c>
      <c r="B52" s="552">
        <v>1432</v>
      </c>
      <c r="C52" s="468"/>
      <c r="D52" s="468"/>
      <c r="E52" s="468"/>
      <c r="F52" s="466">
        <f ca="1">ROUND(SUMIF(INDIRECT(Formulas!$B$1),MID(F$1,2,2)&amp;"-"&amp;LEFT($B52,4)&amp;"*-0*",INDIRECT(Formulas!$B$3)),0)</f>
        <v>0</v>
      </c>
      <c r="G52" s="468"/>
      <c r="H52" s="468"/>
      <c r="I52" s="468"/>
      <c r="J52" s="468"/>
      <c r="K52" s="468"/>
    </row>
    <row r="53" spans="1:11" ht="12.75" customHeight="1" x14ac:dyDescent="0.2">
      <c r="A53" s="1479" t="s">
        <v>61</v>
      </c>
      <c r="B53" s="552">
        <v>1433</v>
      </c>
      <c r="C53" s="468"/>
      <c r="D53" s="468"/>
      <c r="E53" s="468"/>
      <c r="F53" s="466">
        <f ca="1">ROUND(SUMIF(INDIRECT(Formulas!$B$1),MID(F$1,2,2)&amp;"-"&amp;LEFT($B53,4)&amp;"*-0*",INDIRECT(Formulas!$B$3)),0)</f>
        <v>0</v>
      </c>
      <c r="G53" s="468"/>
      <c r="H53" s="468"/>
      <c r="I53" s="468"/>
      <c r="J53" s="468"/>
      <c r="K53" s="468"/>
    </row>
    <row r="54" spans="1:11" ht="12.75" customHeight="1" x14ac:dyDescent="0.2">
      <c r="A54" s="1479" t="s">
        <v>62</v>
      </c>
      <c r="B54" s="552">
        <v>1434</v>
      </c>
      <c r="C54" s="468"/>
      <c r="D54" s="468"/>
      <c r="E54" s="468"/>
      <c r="F54" s="466">
        <f ca="1">ROUND(SUMIF(INDIRECT(Formulas!$B$1),MID(F$1,2,2)&amp;"-"&amp;LEFT($B54,4)&amp;"*-0*",INDIRECT(Formulas!$B$3)),0)</f>
        <v>0</v>
      </c>
      <c r="G54" s="468"/>
      <c r="H54" s="468"/>
      <c r="I54" s="468"/>
      <c r="J54" s="468"/>
      <c r="K54" s="468"/>
    </row>
    <row r="55" spans="1:11" ht="12.75" customHeight="1" x14ac:dyDescent="0.2">
      <c r="A55" s="1479" t="s">
        <v>63</v>
      </c>
      <c r="B55" s="552">
        <v>1441</v>
      </c>
      <c r="C55" s="468"/>
      <c r="D55" s="468"/>
      <c r="E55" s="468"/>
      <c r="F55" s="466">
        <f ca="1">ROUND(SUMIF(INDIRECT(Formulas!$B$1),MID(F$1,2,2)&amp;"-"&amp;LEFT($B55,4)&amp;"*-0*",INDIRECT(Formulas!$B$3)),0)</f>
        <v>0</v>
      </c>
      <c r="G55" s="468"/>
      <c r="H55" s="468"/>
      <c r="I55" s="468"/>
      <c r="J55" s="468"/>
      <c r="K55" s="468"/>
    </row>
    <row r="56" spans="1:11" ht="12.75" customHeight="1" x14ac:dyDescent="0.2">
      <c r="A56" s="1479" t="s">
        <v>1107</v>
      </c>
      <c r="B56" s="552">
        <v>1442</v>
      </c>
      <c r="C56" s="468"/>
      <c r="D56" s="468"/>
      <c r="E56" s="468"/>
      <c r="F56" s="466">
        <f ca="1">ROUND(SUMIF(INDIRECT(Formulas!$B$1),MID(F$1,2,2)&amp;"-"&amp;LEFT($B56,4)&amp;"*-0*",INDIRECT(Formulas!$B$3)),0)</f>
        <v>6875</v>
      </c>
      <c r="G56" s="468"/>
      <c r="H56" s="468"/>
      <c r="I56" s="468"/>
      <c r="J56" s="468"/>
      <c r="K56" s="468"/>
    </row>
    <row r="57" spans="1:11" ht="12.75" customHeight="1" x14ac:dyDescent="0.2">
      <c r="A57" s="1479" t="s">
        <v>489</v>
      </c>
      <c r="B57" s="552">
        <v>1443</v>
      </c>
      <c r="C57" s="468"/>
      <c r="D57" s="468"/>
      <c r="E57" s="468"/>
      <c r="F57" s="466">
        <f ca="1">ROUND(SUMIF(INDIRECT(Formulas!$B$1),MID(F$1,2,2)&amp;"-"&amp;LEFT($B57,4)&amp;"*-0*",INDIRECT(Formulas!$B$3)),0)</f>
        <v>0</v>
      </c>
      <c r="G57" s="468"/>
      <c r="H57" s="468"/>
      <c r="I57" s="468"/>
      <c r="J57" s="468"/>
      <c r="K57" s="468"/>
    </row>
    <row r="58" spans="1:11" ht="12.75" customHeight="1" x14ac:dyDescent="0.2">
      <c r="A58" s="1479" t="s">
        <v>65</v>
      </c>
      <c r="B58" s="552">
        <v>1444</v>
      </c>
      <c r="C58" s="468"/>
      <c r="D58" s="468"/>
      <c r="E58" s="468"/>
      <c r="F58" s="466">
        <f ca="1">ROUND(SUMIF(INDIRECT(Formulas!$B$1),MID(F$1,2,2)&amp;"-"&amp;LEFT($B58,4)&amp;"*-0*",INDIRECT(Formulas!$B$3)),0)</f>
        <v>0</v>
      </c>
      <c r="G58" s="468"/>
      <c r="H58" s="468"/>
      <c r="I58" s="468"/>
      <c r="J58" s="468"/>
      <c r="K58" s="468"/>
    </row>
    <row r="59" spans="1:11" ht="12.75" customHeight="1" x14ac:dyDescent="0.2">
      <c r="A59" s="1479" t="s">
        <v>878</v>
      </c>
      <c r="B59" s="552">
        <v>1451</v>
      </c>
      <c r="C59" s="468"/>
      <c r="D59" s="468"/>
      <c r="E59" s="468"/>
      <c r="F59" s="466">
        <f ca="1">ROUND(SUMIF(INDIRECT(Formulas!$B$1),MID(F$1,2,2)&amp;"-"&amp;LEFT($B59,4)&amp;"*-0*",INDIRECT(Formulas!$B$3)),0)</f>
        <v>0</v>
      </c>
      <c r="G59" s="468"/>
      <c r="H59" s="468"/>
      <c r="I59" s="468"/>
      <c r="J59" s="468"/>
      <c r="K59" s="468"/>
    </row>
    <row r="60" spans="1:11" ht="12.75" customHeight="1" x14ac:dyDescent="0.2">
      <c r="A60" s="1479" t="s">
        <v>1108</v>
      </c>
      <c r="B60" s="552">
        <v>1452</v>
      </c>
      <c r="C60" s="468"/>
      <c r="D60" s="468"/>
      <c r="E60" s="468"/>
      <c r="F60" s="466">
        <f ca="1">ROUND(SUMIF(INDIRECT(Formulas!$B$1),MID(F$1,2,2)&amp;"-"&amp;LEFT($B60,4)&amp;"*-0*",INDIRECT(Formulas!$B$3)),0)</f>
        <v>0</v>
      </c>
      <c r="G60" s="468"/>
      <c r="H60" s="468"/>
      <c r="I60" s="468"/>
      <c r="J60" s="468"/>
      <c r="K60" s="468"/>
    </row>
    <row r="61" spans="1:11" ht="12.75" customHeight="1" x14ac:dyDescent="0.2">
      <c r="A61" s="557" t="s">
        <v>879</v>
      </c>
      <c r="B61" s="552">
        <v>1453</v>
      </c>
      <c r="C61" s="468"/>
      <c r="D61" s="468"/>
      <c r="E61" s="468"/>
      <c r="F61" s="466">
        <f ca="1">ROUND(SUMIF(INDIRECT(Formulas!$B$1),MID(F$1,2,2)&amp;"-"&amp;LEFT($B61,4)&amp;"*-0*",INDIRECT(Formulas!$B$3)),0)</f>
        <v>0</v>
      </c>
      <c r="G61" s="468"/>
      <c r="H61" s="468"/>
      <c r="I61" s="468"/>
      <c r="J61" s="468"/>
      <c r="K61" s="468"/>
    </row>
    <row r="62" spans="1:11" ht="12.75" customHeight="1" x14ac:dyDescent="0.2">
      <c r="A62" s="1480" t="s">
        <v>880</v>
      </c>
      <c r="B62" s="553">
        <v>1454</v>
      </c>
      <c r="C62" s="468"/>
      <c r="D62" s="468"/>
      <c r="E62" s="468"/>
      <c r="F62" s="466">
        <f ca="1">ROUND(SUMIF(INDIRECT(Formulas!$B$1),MID(F$1,2,2)&amp;"-"&amp;LEFT($B62,4)&amp;"*-0*",INDIRECT(Formulas!$B$3)),0)</f>
        <v>0</v>
      </c>
      <c r="G62" s="468"/>
      <c r="H62" s="468"/>
      <c r="I62" s="468"/>
      <c r="J62" s="468"/>
      <c r="K62" s="468"/>
    </row>
    <row r="63" spans="1:11" ht="12.75" customHeight="1" thickBot="1" x14ac:dyDescent="0.25">
      <c r="A63" s="1691" t="s">
        <v>485</v>
      </c>
      <c r="B63" s="1692"/>
      <c r="C63" s="468"/>
      <c r="D63" s="468"/>
      <c r="E63" s="468"/>
      <c r="F63" s="1671">
        <f ca="1">SUM(F42:F62)</f>
        <v>6875</v>
      </c>
      <c r="G63" s="468"/>
      <c r="H63" s="468"/>
      <c r="I63" s="468"/>
      <c r="J63" s="468"/>
      <c r="K63" s="468"/>
    </row>
    <row r="64" spans="1:11" ht="15.75" customHeight="1" thickTop="1" x14ac:dyDescent="0.2">
      <c r="A64" s="1575" t="s">
        <v>454</v>
      </c>
      <c r="B64" s="1576">
        <v>1500</v>
      </c>
      <c r="C64" s="468"/>
      <c r="D64" s="468"/>
      <c r="E64" s="468"/>
      <c r="F64" s="468"/>
      <c r="G64" s="468"/>
      <c r="H64" s="468"/>
      <c r="I64" s="468"/>
      <c r="J64" s="468"/>
      <c r="K64" s="468"/>
    </row>
    <row r="65" spans="1:11" ht="12.75" customHeight="1" x14ac:dyDescent="0.2">
      <c r="A65" s="463" t="s">
        <v>547</v>
      </c>
      <c r="B65" s="470">
        <v>1510</v>
      </c>
      <c r="C65" s="466">
        <f ca="1">ROUND(SUMIF(INDIRECT(Formulas!$B$1),MID(C$1,2,2)&amp;"-"&amp;LEFT($B65,3)&amp;"*-0*",INDIRECT(Formulas!$B$3)),0)</f>
        <v>5671</v>
      </c>
      <c r="D65" s="466">
        <f ca="1">ROUND(SUMIF(INDIRECT(Formulas!$B$1),MID(D$1,2,2)&amp;"-"&amp;LEFT($B65,3)&amp;"*-0*",INDIRECT(Formulas!$B$3)),0)</f>
        <v>0</v>
      </c>
      <c r="E65" s="466">
        <f ca="1">ROUND(SUMIF(INDIRECT(Formulas!$B$1),MID(E$1,2,2)&amp;"-"&amp;LEFT($B65,3)&amp;"*-0*",INDIRECT(Formulas!$B$3)),0)</f>
        <v>0</v>
      </c>
      <c r="F65" s="466">
        <f ca="1">ROUND(SUMIF(INDIRECT(Formulas!$B$1),MID(F$1,2,2)&amp;"-"&amp;LEFT($B65,3)&amp;"*-0*",INDIRECT(Formulas!$B$3)),0)</f>
        <v>1933</v>
      </c>
      <c r="G65" s="466">
        <f ca="1">ROUND(SUMIF(INDIRECT(Formulas!$B$1),MID(G$1,2,2)&amp;"-"&amp;LEFT($B65,3)&amp;"*-0*",INDIRECT(Formulas!$B$3)),0)</f>
        <v>515</v>
      </c>
      <c r="H65" s="466">
        <f ca="1">ROUND(SUMIF(INDIRECT(Formulas!$B$1),MID(H$1,2,2)&amp;"-"&amp;LEFT($B65,3)&amp;"*-0*",INDIRECT(Formulas!$B$3)),0)</f>
        <v>0</v>
      </c>
      <c r="I65" s="466">
        <f ca="1">ROUND(SUMIF(INDIRECT(Formulas!$B$1),MID(I$1,2,2)&amp;"-"&amp;LEFT($B65,3)&amp;"*-0*",INDIRECT(Formulas!$B$3)),0)</f>
        <v>251</v>
      </c>
      <c r="J65" s="466">
        <f ca="1">ROUND(SUMIF(INDIRECT(Formulas!$B$1),MID(J$1,2,2)&amp;"-"&amp;LEFT($B65,3)&amp;"*-0*",INDIRECT(Formulas!$B$3)),0)</f>
        <v>16</v>
      </c>
      <c r="K65" s="466">
        <f ca="1">ROUND(SUMIF(INDIRECT(Formulas!$B$1),MID(K$1,2,2)&amp;"-"&amp;LEFT($B65,3)&amp;"*-0*",INDIRECT(Formulas!$B$3)),0)</f>
        <v>0</v>
      </c>
    </row>
    <row r="66" spans="1:11" ht="12.75" customHeight="1" x14ac:dyDescent="0.2">
      <c r="A66" s="463" t="s">
        <v>679</v>
      </c>
      <c r="B66" s="470">
        <v>1520</v>
      </c>
      <c r="C66" s="466">
        <f ca="1">ROUND(SUMIF(INDIRECT(Formulas!$B$1),MID(C$1,2,2)&amp;"-"&amp;LEFT($B66,3)&amp;"*-0*",INDIRECT(Formulas!$B$3)),0)</f>
        <v>0</v>
      </c>
      <c r="D66" s="466">
        <f ca="1">ROUND(SUMIF(INDIRECT(Formulas!$B$1),MID(D$1,2,2)&amp;"-"&amp;LEFT($B66,3)&amp;"*-0*",INDIRECT(Formulas!$B$3)),0)</f>
        <v>0</v>
      </c>
      <c r="E66" s="466">
        <f ca="1">ROUND(SUMIF(INDIRECT(Formulas!$B$1),MID(E$1,2,2)&amp;"-"&amp;LEFT($B66,3)&amp;"*-0*",INDIRECT(Formulas!$B$3)),0)</f>
        <v>0</v>
      </c>
      <c r="F66" s="466">
        <f ca="1">ROUND(SUMIF(INDIRECT(Formulas!$B$1),MID(F$1,2,2)&amp;"-"&amp;LEFT($B66,3)&amp;"*-0*",INDIRECT(Formulas!$B$3)),0)</f>
        <v>0</v>
      </c>
      <c r="G66" s="466">
        <f ca="1">ROUND(SUMIF(INDIRECT(Formulas!$B$1),MID(G$1,2,2)&amp;"-"&amp;LEFT($B66,3)&amp;"*-0*",INDIRECT(Formulas!$B$3)),0)</f>
        <v>0</v>
      </c>
      <c r="H66" s="466">
        <f ca="1">ROUND(SUMIF(INDIRECT(Formulas!$B$1),MID(H$1,2,2)&amp;"-"&amp;LEFT($B66,3)&amp;"*-0*",INDIRECT(Formulas!$B$3)),0)</f>
        <v>0</v>
      </c>
      <c r="I66" s="466">
        <f ca="1">ROUND(SUMIF(INDIRECT(Formulas!$B$1),MID(I$1,2,2)&amp;"-"&amp;LEFT($B66,3)&amp;"*-0*",INDIRECT(Formulas!$B$3)),0)</f>
        <v>0</v>
      </c>
      <c r="J66" s="466">
        <f ca="1">ROUND(SUMIF(INDIRECT(Formulas!$B$1),MID(J$1,2,2)&amp;"-"&amp;LEFT($B66,3)&amp;"*-0*",INDIRECT(Formulas!$B$3)),0)</f>
        <v>0</v>
      </c>
      <c r="K66" s="466">
        <f ca="1">ROUND(SUMIF(INDIRECT(Formulas!$B$1),MID(K$1,2,2)&amp;"-"&amp;LEFT($B66,3)&amp;"*-0*",INDIRECT(Formulas!$B$3)),0)</f>
        <v>0</v>
      </c>
    </row>
    <row r="67" spans="1:11" ht="12.75" customHeight="1" thickBot="1" x14ac:dyDescent="0.25">
      <c r="A67" s="1691" t="s">
        <v>486</v>
      </c>
      <c r="B67" s="1692"/>
      <c r="C67" s="1671">
        <f ca="1">SUM(C65:C66)</f>
        <v>5671</v>
      </c>
      <c r="D67" s="1671">
        <f t="shared" ref="D67:K67" ca="1" si="2">SUM(D65:D66)</f>
        <v>0</v>
      </c>
      <c r="E67" s="1671">
        <f t="shared" ca="1" si="2"/>
        <v>0</v>
      </c>
      <c r="F67" s="1671">
        <f t="shared" ca="1" si="2"/>
        <v>1933</v>
      </c>
      <c r="G67" s="1671">
        <f t="shared" ca="1" si="2"/>
        <v>515</v>
      </c>
      <c r="H67" s="1671">
        <f t="shared" ca="1" si="2"/>
        <v>0</v>
      </c>
      <c r="I67" s="1671">
        <f t="shared" ca="1" si="2"/>
        <v>251</v>
      </c>
      <c r="J67" s="1671">
        <f t="shared" ca="1" si="2"/>
        <v>16</v>
      </c>
      <c r="K67" s="1671">
        <f t="shared" ca="1" si="2"/>
        <v>0</v>
      </c>
    </row>
    <row r="68" spans="1:11" ht="15.75" customHeight="1" thickTop="1" x14ac:dyDescent="0.2">
      <c r="A68" s="1575" t="s">
        <v>455</v>
      </c>
      <c r="B68" s="1577">
        <v>1600</v>
      </c>
      <c r="C68" s="548"/>
      <c r="D68" s="468"/>
      <c r="E68" s="468"/>
      <c r="F68" s="468"/>
      <c r="G68" s="468"/>
      <c r="H68" s="468"/>
      <c r="I68" s="468"/>
      <c r="J68" s="468"/>
      <c r="K68" s="468"/>
    </row>
    <row r="69" spans="1:11" ht="12.75" customHeight="1" x14ac:dyDescent="0.2">
      <c r="A69" s="463" t="s">
        <v>666</v>
      </c>
      <c r="B69" s="470">
        <v>1611</v>
      </c>
      <c r="C69" s="466">
        <f ca="1">ROUND(SUMIF(INDIRECT(Formulas!$B$1),MID(C$1,2,2)&amp;"-"&amp;LEFT($B69,4)&amp;"*-0*",INDIRECT(Formulas!$B$3)),0)</f>
        <v>11594</v>
      </c>
      <c r="D69" s="468"/>
      <c r="E69" s="468"/>
      <c r="F69" s="468"/>
      <c r="G69" s="468"/>
      <c r="H69" s="468"/>
      <c r="I69" s="468"/>
      <c r="J69" s="468"/>
      <c r="K69" s="468"/>
    </row>
    <row r="70" spans="1:11" ht="12.75" customHeight="1" x14ac:dyDescent="0.2">
      <c r="A70" s="463" t="s">
        <v>997</v>
      </c>
      <c r="B70" s="470">
        <v>1612</v>
      </c>
      <c r="C70" s="466">
        <f ca="1">ROUND(SUMIF(INDIRECT(Formulas!$B$1),MID(C$1,2,2)&amp;"-"&amp;LEFT($B70,4)&amp;"*-0*",INDIRECT(Formulas!$B$3)),0)</f>
        <v>0</v>
      </c>
      <c r="D70" s="468"/>
      <c r="E70" s="468"/>
      <c r="F70" s="468"/>
      <c r="G70" s="468"/>
      <c r="H70" s="468"/>
      <c r="I70" s="468"/>
      <c r="J70" s="468"/>
      <c r="K70" s="468"/>
    </row>
    <row r="71" spans="1:11" ht="12.75" customHeight="1" x14ac:dyDescent="0.2">
      <c r="A71" s="463" t="s">
        <v>273</v>
      </c>
      <c r="B71" s="470">
        <v>1613</v>
      </c>
      <c r="C71" s="466">
        <f ca="1">ROUND(SUMIF(INDIRECT(Formulas!$B$1),MID(C$1,2,2)&amp;"-"&amp;LEFT($B71,4)&amp;"*-0*",INDIRECT(Formulas!$B$3)),0)</f>
        <v>0</v>
      </c>
      <c r="D71" s="468"/>
      <c r="E71" s="468"/>
      <c r="F71" s="468"/>
      <c r="G71" s="468"/>
      <c r="H71" s="468"/>
      <c r="I71" s="468"/>
      <c r="J71" s="468"/>
      <c r="K71" s="468"/>
    </row>
    <row r="72" spans="1:11" ht="12.75" customHeight="1" x14ac:dyDescent="0.2">
      <c r="A72" s="463" t="s">
        <v>24</v>
      </c>
      <c r="B72" s="470">
        <v>1614</v>
      </c>
      <c r="C72" s="466">
        <f ca="1">ROUND(SUMIF(INDIRECT(Formulas!$B$1),MID(C$1,2,2)&amp;"-"&amp;LEFT($B72,4)&amp;"*-0*",INDIRECT(Formulas!$B$3)),0)</f>
        <v>0</v>
      </c>
      <c r="D72" s="468"/>
      <c r="E72" s="468"/>
      <c r="F72" s="468"/>
      <c r="G72" s="468"/>
      <c r="H72" s="468"/>
      <c r="I72" s="468"/>
      <c r="J72" s="468"/>
      <c r="K72" s="468"/>
    </row>
    <row r="73" spans="1:11" ht="12.75" customHeight="1" x14ac:dyDescent="0.2">
      <c r="A73" s="463" t="s">
        <v>998</v>
      </c>
      <c r="B73" s="470">
        <v>1620</v>
      </c>
      <c r="C73" s="466">
        <f ca="1">ROUND(SUMIF(INDIRECT(Formulas!$B$1),MID(C$1,2,2)&amp;"-"&amp;LEFT($B73,4)&amp;"*-0*",INDIRECT(Formulas!$B$3)),0)</f>
        <v>1994</v>
      </c>
      <c r="D73" s="468"/>
      <c r="E73" s="468"/>
      <c r="F73" s="468"/>
      <c r="G73" s="468"/>
      <c r="H73" s="468"/>
      <c r="I73" s="468"/>
      <c r="J73" s="468"/>
      <c r="K73" s="468"/>
    </row>
    <row r="74" spans="1:11" ht="12.75" customHeight="1" x14ac:dyDescent="0.2">
      <c r="A74" s="463" t="s">
        <v>25</v>
      </c>
      <c r="B74" s="470">
        <v>1690</v>
      </c>
      <c r="C74" s="466">
        <f ca="1">ROUND(SUMIF(INDIRECT(Formulas!$B$1),MID(C$1,2,2)&amp;"-"&amp;LEFT($B74,4)&amp;"*-0*",INDIRECT(Formulas!$B$3)),0)</f>
        <v>0</v>
      </c>
      <c r="D74" s="468"/>
      <c r="E74" s="468"/>
      <c r="F74" s="468"/>
      <c r="G74" s="468"/>
      <c r="H74" s="468"/>
      <c r="I74" s="468"/>
      <c r="J74" s="468"/>
      <c r="K74" s="468"/>
    </row>
    <row r="75" spans="1:11" ht="12.75" customHeight="1" thickBot="1" x14ac:dyDescent="0.25">
      <c r="A75" s="1691" t="s">
        <v>548</v>
      </c>
      <c r="B75" s="1692"/>
      <c r="C75" s="1671">
        <f ca="1">SUM(C69:C74)</f>
        <v>13588</v>
      </c>
      <c r="D75" s="468"/>
      <c r="E75" s="468"/>
      <c r="F75" s="468"/>
      <c r="G75" s="468"/>
      <c r="H75" s="468"/>
      <c r="I75" s="468"/>
      <c r="J75" s="468"/>
      <c r="K75" s="468"/>
    </row>
    <row r="76" spans="1:11" ht="15.75" customHeight="1" thickTop="1" x14ac:dyDescent="0.2">
      <c r="A76" s="1575" t="s">
        <v>881</v>
      </c>
      <c r="B76" s="1577">
        <v>1700</v>
      </c>
      <c r="C76" s="548"/>
      <c r="D76" s="468"/>
      <c r="E76" s="468"/>
      <c r="F76" s="468"/>
      <c r="G76" s="468"/>
      <c r="H76" s="468"/>
      <c r="I76" s="468"/>
      <c r="J76" s="468"/>
      <c r="K76" s="468"/>
    </row>
    <row r="77" spans="1:11" ht="12.75" customHeight="1" x14ac:dyDescent="0.2">
      <c r="A77" s="463" t="s">
        <v>549</v>
      </c>
      <c r="B77" s="470">
        <v>1711</v>
      </c>
      <c r="C77" s="466">
        <f ca="1">ROUND(SUMIF(INDIRECT(Formulas!$B$1),MID(C$1,2,2)&amp;"-"&amp;LEFT($B77,4)&amp;"*-0*",INDIRECT(Formulas!$B$3)),0)</f>
        <v>8069</v>
      </c>
      <c r="D77" s="466">
        <f ca="1">ROUND(SUMIF(INDIRECT(Formulas!$B$1),MID(D$1,2,2)&amp;"-"&amp;LEFT($B77,4)&amp;"*-0*",INDIRECT(Formulas!$B$3)),0)</f>
        <v>0</v>
      </c>
      <c r="E77" s="468"/>
      <c r="F77" s="468"/>
      <c r="G77" s="468"/>
      <c r="H77" s="468"/>
      <c r="I77" s="468"/>
      <c r="J77" s="468"/>
      <c r="K77" s="468"/>
    </row>
    <row r="78" spans="1:11" ht="12.75" customHeight="1" x14ac:dyDescent="0.2">
      <c r="A78" s="463" t="s">
        <v>76</v>
      </c>
      <c r="B78" s="470">
        <v>1719</v>
      </c>
      <c r="C78" s="466">
        <f ca="1">ROUND(SUMIF(INDIRECT(Formulas!$B$1),MID(C$1,2,2)&amp;"-"&amp;LEFT($B78,4)&amp;"*-0*",INDIRECT(Formulas!$B$3)),0)</f>
        <v>0</v>
      </c>
      <c r="D78" s="466">
        <f ca="1">ROUND(SUMIF(INDIRECT(Formulas!$B$1),MID(D$1,2,2)&amp;"-"&amp;LEFT($B78,4)&amp;"*-0*",INDIRECT(Formulas!$B$3)),0)</f>
        <v>0</v>
      </c>
      <c r="E78" s="468"/>
      <c r="F78" s="468"/>
      <c r="G78" s="468"/>
      <c r="H78" s="468"/>
      <c r="I78" s="468"/>
      <c r="J78" s="468"/>
      <c r="K78" s="468"/>
    </row>
    <row r="79" spans="1:11" ht="12.75" customHeight="1" x14ac:dyDescent="0.2">
      <c r="A79" s="463" t="s">
        <v>550</v>
      </c>
      <c r="B79" s="470">
        <v>1720</v>
      </c>
      <c r="C79" s="466">
        <f ca="1">ROUND(SUMIF(INDIRECT(Formulas!$B$1),MID(C$1,2,2)&amp;"-"&amp;LEFT($B79,3)&amp;"*-0*",INDIRECT(Formulas!$B$3)),0)</f>
        <v>0</v>
      </c>
      <c r="D79" s="466">
        <f ca="1">ROUND(SUMIF(INDIRECT(Formulas!$B$1),MID(D$1,2,2)&amp;"-"&amp;LEFT($B79,4)&amp;"*-0*",INDIRECT(Formulas!$B$3)),0)</f>
        <v>4975</v>
      </c>
      <c r="E79" s="468"/>
      <c r="F79" s="468"/>
      <c r="G79" s="468"/>
      <c r="H79" s="468"/>
      <c r="I79" s="468"/>
      <c r="J79" s="468"/>
      <c r="K79" s="468"/>
    </row>
    <row r="80" spans="1:11" ht="12.75" customHeight="1" x14ac:dyDescent="0.2">
      <c r="A80" s="463" t="s">
        <v>551</v>
      </c>
      <c r="B80" s="470">
        <v>1730</v>
      </c>
      <c r="C80" s="466">
        <f ca="1">ROUND(SUMIF(INDIRECT(Formulas!$B$1),MID(C$1,2,2)&amp;"-"&amp;LEFT($B80,4)&amp;"*-0*",INDIRECT(Formulas!$B$3)),0)</f>
        <v>0</v>
      </c>
      <c r="D80" s="466">
        <f ca="1">ROUND(SUMIF(INDIRECT(Formulas!$B$1),MID(D$1,2,2)&amp;"-"&amp;LEFT($B80,4)&amp;"*-0*",INDIRECT(Formulas!$B$3)),0)</f>
        <v>0</v>
      </c>
      <c r="E80" s="468"/>
      <c r="F80" s="468"/>
      <c r="G80" s="468"/>
      <c r="H80" s="468"/>
      <c r="I80" s="468"/>
      <c r="J80" s="468"/>
      <c r="K80" s="468"/>
    </row>
    <row r="81" spans="1:11" ht="12.75" customHeight="1" x14ac:dyDescent="0.2">
      <c r="A81" s="463" t="s">
        <v>26</v>
      </c>
      <c r="B81" s="470">
        <v>1790</v>
      </c>
      <c r="C81" s="466">
        <f ca="1">ROUND(SUMIF(INDIRECT(Formulas!$B$1),MID(C$1,2,2)&amp;"-"&amp;LEFT($B81,4)&amp;"*-0*",INDIRECT(Formulas!$B$3)),0)</f>
        <v>3614</v>
      </c>
      <c r="D81" s="466">
        <f ca="1">ROUND(SUMIF(INDIRECT(Formulas!$B$1),MID(D$1,2,2)&amp;"-"&amp;LEFT($B81,4)&amp;"*-0*",INDIRECT(Formulas!$B$3)),0)</f>
        <v>0</v>
      </c>
      <c r="E81" s="468"/>
      <c r="F81" s="468"/>
      <c r="G81" s="468"/>
      <c r="H81" s="468"/>
      <c r="I81" s="468"/>
      <c r="J81" s="468"/>
      <c r="K81" s="468"/>
    </row>
    <row r="82" spans="1:11" ht="12.75" customHeight="1" thickBot="1" x14ac:dyDescent="0.25">
      <c r="A82" s="1691" t="s">
        <v>241</v>
      </c>
      <c r="B82" s="1692"/>
      <c r="C82" s="1690">
        <f ca="1">SUM(C77:C81)</f>
        <v>11683</v>
      </c>
      <c r="D82" s="1671">
        <f ca="1">SUM(D77:D81)</f>
        <v>4975</v>
      </c>
      <c r="E82" s="468"/>
      <c r="F82" s="468"/>
      <c r="G82" s="468"/>
      <c r="H82" s="468"/>
      <c r="I82" s="468"/>
      <c r="J82" s="468"/>
      <c r="K82" s="468"/>
    </row>
    <row r="83" spans="1:11" ht="15.75" customHeight="1" thickTop="1" x14ac:dyDescent="0.2">
      <c r="A83" s="1575" t="s">
        <v>242</v>
      </c>
      <c r="B83" s="1577">
        <v>1800</v>
      </c>
      <c r="C83" s="548"/>
      <c r="D83" s="468"/>
      <c r="E83" s="468"/>
      <c r="F83" s="468"/>
      <c r="G83" s="468"/>
      <c r="H83" s="468"/>
      <c r="I83" s="468"/>
      <c r="J83" s="468"/>
      <c r="K83" s="468"/>
    </row>
    <row r="84" spans="1:11" ht="12.75" customHeight="1" x14ac:dyDescent="0.2">
      <c r="A84" s="463" t="s">
        <v>552</v>
      </c>
      <c r="B84" s="470">
        <v>1811</v>
      </c>
      <c r="C84" s="466">
        <f ca="1">ROUND(SUMIF(INDIRECT(Formulas!$B$1),MID(C$1,2,2)&amp;"-"&amp;LEFT($B84,4)&amp;"*-0*",INDIRECT(Formulas!$B$3)),0)</f>
        <v>2664</v>
      </c>
      <c r="D84" s="468"/>
      <c r="E84" s="468"/>
      <c r="F84" s="468"/>
      <c r="G84" s="468"/>
      <c r="H84" s="468"/>
      <c r="I84" s="468"/>
      <c r="J84" s="468"/>
      <c r="K84" s="468"/>
    </row>
    <row r="85" spans="1:11" ht="12.75" customHeight="1" x14ac:dyDescent="0.2">
      <c r="A85" s="463" t="s">
        <v>553</v>
      </c>
      <c r="B85" s="470">
        <v>1812</v>
      </c>
      <c r="C85" s="466">
        <f ca="1">ROUND(SUMIF(INDIRECT(Formulas!$B$1),MID(C$1,2,2)&amp;"-"&amp;LEFT($B85,4)&amp;"*-0*",INDIRECT(Formulas!$B$3)),0)</f>
        <v>0</v>
      </c>
      <c r="D85" s="468"/>
      <c r="E85" s="468"/>
      <c r="F85" s="468"/>
      <c r="G85" s="468"/>
      <c r="H85" s="468"/>
      <c r="I85" s="468"/>
      <c r="J85" s="468"/>
      <c r="K85" s="468"/>
    </row>
    <row r="86" spans="1:11" ht="12.75" customHeight="1" x14ac:dyDescent="0.2">
      <c r="A86" s="463" t="s">
        <v>999</v>
      </c>
      <c r="B86" s="470">
        <v>1813</v>
      </c>
      <c r="C86" s="466">
        <f ca="1">ROUND(SUMIF(INDIRECT(Formulas!$B$1),MID(C$1,2,2)&amp;"-"&amp;LEFT($B86,4)&amp;"*-0*",INDIRECT(Formulas!$B$3)),0)</f>
        <v>0</v>
      </c>
      <c r="D86" s="468"/>
      <c r="E86" s="468"/>
      <c r="F86" s="468"/>
      <c r="G86" s="468"/>
      <c r="H86" s="468"/>
      <c r="I86" s="468"/>
      <c r="J86" s="468"/>
      <c r="K86" s="468"/>
    </row>
    <row r="87" spans="1:11" ht="12.75" customHeight="1" x14ac:dyDescent="0.2">
      <c r="A87" s="463" t="s">
        <v>77</v>
      </c>
      <c r="B87" s="470">
        <v>1819</v>
      </c>
      <c r="C87" s="466">
        <f ca="1">ROUND(SUMIF(INDIRECT(Formulas!$B$1),MID(C$1,2,2)&amp;"-"&amp;LEFT($B87,4)&amp;"*-0*",INDIRECT(Formulas!$B$3)),0)</f>
        <v>0</v>
      </c>
      <c r="D87" s="468"/>
      <c r="E87" s="468"/>
      <c r="F87" s="468"/>
      <c r="G87" s="468"/>
      <c r="H87" s="468"/>
      <c r="I87" s="468"/>
      <c r="J87" s="468"/>
      <c r="K87" s="468"/>
    </row>
    <row r="88" spans="1:11" ht="12.75" customHeight="1" x14ac:dyDescent="0.2">
      <c r="A88" s="463" t="s">
        <v>554</v>
      </c>
      <c r="B88" s="470">
        <v>1821</v>
      </c>
      <c r="C88" s="466">
        <f ca="1">ROUND(SUMIF(INDIRECT(Formulas!$B$1),MID(C$1,2,2)&amp;"-"&amp;LEFT($B88,4)&amp;"*-0*",INDIRECT(Formulas!$B$3)),0)</f>
        <v>0</v>
      </c>
      <c r="D88" s="468"/>
      <c r="E88" s="468"/>
      <c r="F88" s="468"/>
      <c r="G88" s="468"/>
      <c r="H88" s="468"/>
      <c r="I88" s="468"/>
      <c r="J88" s="468"/>
      <c r="K88" s="468"/>
    </row>
    <row r="89" spans="1:11" ht="12.75" customHeight="1" x14ac:dyDescent="0.2">
      <c r="A89" s="463" t="s">
        <v>714</v>
      </c>
      <c r="B89" s="470">
        <v>1822</v>
      </c>
      <c r="C89" s="466">
        <f ca="1">ROUND(SUMIF(INDIRECT(Formulas!$B$1),MID(C$1,2,2)&amp;"-"&amp;LEFT($B89,4)&amp;"*-0*",INDIRECT(Formulas!$B$3)),0)</f>
        <v>0</v>
      </c>
      <c r="D89" s="468"/>
      <c r="E89" s="468"/>
      <c r="F89" s="468"/>
      <c r="G89" s="468"/>
      <c r="H89" s="468"/>
      <c r="I89" s="468"/>
      <c r="J89" s="468"/>
      <c r="K89" s="468"/>
    </row>
    <row r="90" spans="1:11" ht="12.75" customHeight="1" x14ac:dyDescent="0.2">
      <c r="A90" s="463" t="s">
        <v>139</v>
      </c>
      <c r="B90" s="470">
        <v>1823</v>
      </c>
      <c r="C90" s="466">
        <f ca="1">ROUND(SUMIF(INDIRECT(Formulas!$B$1),MID(C$1,2,2)&amp;"-"&amp;LEFT($B90,4)&amp;"*-0*",INDIRECT(Formulas!$B$3)),0)</f>
        <v>0</v>
      </c>
      <c r="D90" s="468"/>
      <c r="E90" s="468"/>
      <c r="F90" s="468"/>
      <c r="G90" s="468"/>
      <c r="H90" s="468"/>
      <c r="I90" s="468"/>
      <c r="J90" s="468"/>
      <c r="K90" s="468"/>
    </row>
    <row r="91" spans="1:11" ht="12.75" customHeight="1" x14ac:dyDescent="0.2">
      <c r="A91" s="463" t="s">
        <v>27</v>
      </c>
      <c r="B91" s="470">
        <v>1829</v>
      </c>
      <c r="C91" s="466">
        <f ca="1">ROUND(SUMIF(INDIRECT(Formulas!$B$1),MID(C$1,2,2)&amp;"-"&amp;LEFT($B91,4)&amp;"*-0*",INDIRECT(Formulas!$B$3)),0)</f>
        <v>0</v>
      </c>
      <c r="D91" s="468"/>
      <c r="E91" s="468"/>
      <c r="F91" s="468"/>
      <c r="G91" s="468"/>
      <c r="H91" s="468"/>
      <c r="I91" s="468"/>
      <c r="J91" s="468"/>
      <c r="K91" s="468"/>
    </row>
    <row r="92" spans="1:11" ht="12.75" customHeight="1" x14ac:dyDescent="0.2">
      <c r="A92" s="463" t="s">
        <v>762</v>
      </c>
      <c r="B92" s="470">
        <v>1890</v>
      </c>
      <c r="C92" s="466">
        <f ca="1">ROUND(SUMIF(INDIRECT(Formulas!$B$1),MID(C$1,2,2)&amp;"-"&amp;LEFT($B92,4)&amp;"*-0*",INDIRECT(Formulas!$B$3)),0)</f>
        <v>0</v>
      </c>
      <c r="D92" s="468"/>
      <c r="E92" s="468"/>
      <c r="F92" s="468"/>
      <c r="G92" s="468"/>
      <c r="H92" s="468"/>
      <c r="I92" s="468"/>
      <c r="J92" s="468"/>
      <c r="K92" s="468"/>
    </row>
    <row r="93" spans="1:11" ht="12.75" customHeight="1" thickBot="1" x14ac:dyDescent="0.25">
      <c r="A93" s="1691" t="s">
        <v>243</v>
      </c>
      <c r="B93" s="1692"/>
      <c r="C93" s="1671">
        <f ca="1">SUM(C84:C92)</f>
        <v>2664</v>
      </c>
      <c r="D93" s="468"/>
      <c r="E93" s="468"/>
      <c r="F93" s="468"/>
      <c r="G93" s="468"/>
      <c r="H93" s="468"/>
      <c r="I93" s="468"/>
      <c r="J93" s="468"/>
      <c r="K93" s="468"/>
    </row>
    <row r="94" spans="1:11" ht="15.75" customHeight="1" thickTop="1" x14ac:dyDescent="0.2">
      <c r="A94" s="1575" t="s">
        <v>1137</v>
      </c>
      <c r="B94" s="1577">
        <v>1900</v>
      </c>
      <c r="C94" s="548"/>
      <c r="D94" s="518"/>
      <c r="E94" s="468"/>
      <c r="F94" s="468"/>
      <c r="G94" s="468"/>
      <c r="H94" s="468"/>
      <c r="I94" s="468"/>
      <c r="J94" s="468"/>
      <c r="K94" s="468"/>
    </row>
    <row r="95" spans="1:11" ht="12.75" customHeight="1" x14ac:dyDescent="0.2">
      <c r="A95" s="463" t="s">
        <v>1064</v>
      </c>
      <c r="B95" s="470">
        <v>1910</v>
      </c>
      <c r="C95" s="466">
        <f ca="1">ROUND(SUMIF(INDIRECT(Formulas!$B$1),MID(C$1,2,2)&amp;"-"&amp;LEFT($B95,3)&amp;"*-0*",INDIRECT(Formulas!$B$3)),0)</f>
        <v>0</v>
      </c>
      <c r="D95" s="466">
        <f ca="1">ROUND(SUMIF(INDIRECT(Formulas!$B$1),MID(D$1,2,2)&amp;"-"&amp;LEFT($B95,3)&amp;"*-0*",INDIRECT(Formulas!$B$3)),0)</f>
        <v>0</v>
      </c>
      <c r="E95" s="518"/>
      <c r="F95" s="518"/>
      <c r="G95" s="518"/>
      <c r="H95" s="518"/>
      <c r="I95" s="518"/>
      <c r="J95" s="518"/>
      <c r="K95" s="518"/>
    </row>
    <row r="96" spans="1:11" ht="12.75" customHeight="1" x14ac:dyDescent="0.2">
      <c r="A96" s="463" t="s">
        <v>391</v>
      </c>
      <c r="B96" s="470">
        <v>1920</v>
      </c>
      <c r="C96" s="466">
        <f ca="1">ROUND(SUMIF(INDIRECT(Formulas!$B$1),MID(C$1,2,2)&amp;"-"&amp;LEFT($B96,3)&amp;"*-0*",INDIRECT(Formulas!$B$3)),0)</f>
        <v>0</v>
      </c>
      <c r="D96" s="466">
        <f ca="1">ROUND(SUMIF(INDIRECT(Formulas!$B$1),MID(D$1,2,2)&amp;"-"&amp;LEFT($B96,3)&amp;"*-0*",INDIRECT(Formulas!$B$3)),0)</f>
        <v>15000</v>
      </c>
      <c r="E96" s="466">
        <f ca="1">ROUND(SUMIF(INDIRECT(Formulas!$B$1),MID(E$1,2,2)&amp;"-"&amp;LEFT($B96,3)&amp;"*-0*",INDIRECT(Formulas!$B$3)),0)</f>
        <v>0</v>
      </c>
      <c r="F96" s="466">
        <f ca="1">ROUND(SUMIF(INDIRECT(Formulas!$B$1),MID(F$1,2,2)&amp;"-"&amp;LEFT($B96,3)&amp;"*-0*",INDIRECT(Formulas!$B$3)),0)</f>
        <v>0</v>
      </c>
      <c r="G96" s="466">
        <f ca="1">ROUND(SUMIF(INDIRECT(Formulas!$B$1),MID(G$1,2,2)&amp;"-"&amp;LEFT($B96,3)&amp;"*-0*",INDIRECT(Formulas!$B$3)),0)</f>
        <v>0</v>
      </c>
      <c r="H96" s="466">
        <f ca="1">ROUND(SUMIF(INDIRECT(Formulas!$B$1),MID(H$1,2,2)&amp;"-"&amp;LEFT($B96,3)&amp;"*-0*",INDIRECT(Formulas!$B$3)),0)</f>
        <v>0</v>
      </c>
      <c r="I96" s="466">
        <f ca="1">ROUND(SUMIF(INDIRECT(Formulas!$B$1),MID(I$1,2,2)&amp;"-"&amp;LEFT($B96,3)&amp;"*-0*",INDIRECT(Formulas!$B$3)),0)</f>
        <v>0</v>
      </c>
      <c r="J96" s="466">
        <f ca="1">ROUND(SUMIF(INDIRECT(Formulas!$B$1),MID(J$1,2,2)&amp;"-"&amp;LEFT($B96,3)&amp;"*-0*",INDIRECT(Formulas!$B$3)),0)</f>
        <v>0</v>
      </c>
      <c r="K96" s="466">
        <f ca="1">ROUND(SUMIF(INDIRECT(Formulas!$B$1),MID(K$1,2,2)&amp;"-"&amp;LEFT($B96,3)&amp;"*-0*",INDIRECT(Formulas!$B$3)),0)</f>
        <v>0</v>
      </c>
    </row>
    <row r="97" spans="1:12" ht="12.75" customHeight="1" x14ac:dyDescent="0.2">
      <c r="A97" s="1478" t="s">
        <v>244</v>
      </c>
      <c r="B97" s="554">
        <v>1930</v>
      </c>
      <c r="C97" s="466">
        <f ca="1">ROUND(SUMIF(INDIRECT(Formulas!$B$1),MID(C$1,2,2)&amp;"-"&amp;LEFT($B97,3)&amp;"*-0*",INDIRECT(Formulas!$B$3)),0)</f>
        <v>0</v>
      </c>
      <c r="D97" s="466">
        <f ca="1">ROUND(SUMIF(INDIRECT(Formulas!$B$1),MID(D$1,2,2)&amp;"-"&amp;LEFT($B97,3)&amp;"*-0*",INDIRECT(Formulas!$B$3)),0)</f>
        <v>0</v>
      </c>
      <c r="E97" s="466">
        <f ca="1">ROUND(SUMIF(INDIRECT(Formulas!$B$1),MID(E$1,2,2)&amp;"-"&amp;LEFT($B97,3)&amp;"*-0*",INDIRECT(Formulas!$B$3)),0)</f>
        <v>0</v>
      </c>
      <c r="F97" s="466">
        <f ca="1">ROUND(SUMIF(INDIRECT(Formulas!$B$1),MID(F$1,2,2)&amp;"-"&amp;LEFT($B97,3)&amp;"*-0*",INDIRECT(Formulas!$B$3)),0)</f>
        <v>0</v>
      </c>
      <c r="G97" s="466">
        <f ca="1">ROUND(SUMIF(INDIRECT(Formulas!$B$1),MID(G$1,2,2)&amp;"-"&amp;LEFT($B97,3)&amp;"*-0*",INDIRECT(Formulas!$B$3)),0)</f>
        <v>0</v>
      </c>
      <c r="H97" s="466">
        <f ca="1">ROUND(SUMIF(INDIRECT(Formulas!$B$1),MID(H$1,2,2)&amp;"-"&amp;LEFT($B97,3)&amp;"*-0*",INDIRECT(Formulas!$B$3)),0)</f>
        <v>0</v>
      </c>
      <c r="I97" s="466">
        <f ca="1">ROUND(SUMIF(INDIRECT(Formulas!$B$1),MID(I$1,2,2)&amp;"-"&amp;LEFT($B97,3)&amp;"*-0*",INDIRECT(Formulas!$B$3)),0)</f>
        <v>0</v>
      </c>
      <c r="J97" s="466">
        <f ca="1">ROUND(SUMIF(INDIRECT(Formulas!$B$1),MID(J$1,2,2)&amp;"-"&amp;LEFT($B97,3)&amp;"*-0*",INDIRECT(Formulas!$B$3)),0)</f>
        <v>0</v>
      </c>
      <c r="K97" s="466">
        <f ca="1">ROUND(SUMIF(INDIRECT(Formulas!$B$1),MID(K$1,2,2)&amp;"-"&amp;LEFT($B97,3)&amp;"*-0*",INDIRECT(Formulas!$B$3)),0)</f>
        <v>0</v>
      </c>
    </row>
    <row r="98" spans="1:12" ht="12.75" customHeight="1" x14ac:dyDescent="0.2">
      <c r="A98" s="463" t="s">
        <v>189</v>
      </c>
      <c r="B98" s="470">
        <v>1940</v>
      </c>
      <c r="C98" s="466">
        <f ca="1">ROUND(SUMIF(INDIRECT(Formulas!$B$1),MID(C$1,2,2)&amp;"-"&amp;LEFT($B98,3)&amp;"*-0*",INDIRECT(Formulas!$B$3)),0)</f>
        <v>0</v>
      </c>
      <c r="D98" s="466">
        <f ca="1">ROUND(SUMIF(INDIRECT(Formulas!$B$1),MID(D$1,2,2)&amp;"-"&amp;LEFT($B98,3)&amp;"*-0*",INDIRECT(Formulas!$B$3)),0)</f>
        <v>0</v>
      </c>
      <c r="E98" s="509"/>
      <c r="F98" s="466">
        <f ca="1">ROUND(SUMIF(INDIRECT(Formulas!$B$1),MID(F$1,2,2)&amp;"-"&amp;LEFT($B98,3)&amp;"*-0*",INDIRECT(Formulas!$B$3)),0)</f>
        <v>0</v>
      </c>
      <c r="G98" s="509"/>
      <c r="H98" s="509"/>
      <c r="I98" s="507"/>
      <c r="J98" s="509"/>
      <c r="K98" s="509"/>
    </row>
    <row r="99" spans="1:12" ht="12.75" customHeight="1" x14ac:dyDescent="0.2">
      <c r="A99" s="463" t="s">
        <v>821</v>
      </c>
      <c r="B99" s="470">
        <v>1950</v>
      </c>
      <c r="C99" s="466">
        <f ca="1">ROUND(SUMIF(INDIRECT(Formulas!$B$1),MID(C$1,2,2)&amp;"-"&amp;LEFT($B99,3)&amp;"*-0*",INDIRECT(Formulas!$B$3)),0)</f>
        <v>5137</v>
      </c>
      <c r="D99" s="466">
        <f ca="1">ROUND(SUMIF(INDIRECT(Formulas!$B$1),MID(D$1,2,2)&amp;"-"&amp;LEFT($B99,3)&amp;"*-0*",INDIRECT(Formulas!$B$3)),0)</f>
        <v>0</v>
      </c>
      <c r="E99" s="466">
        <f ca="1">ROUND(SUMIF(INDIRECT(Formulas!$B$1),MID(E$1,2,2)&amp;"-"&amp;LEFT($B99,3)&amp;"*-0*",INDIRECT(Formulas!$B$3)),0)</f>
        <v>0</v>
      </c>
      <c r="F99" s="466">
        <f ca="1">ROUND(SUMIF(INDIRECT(Formulas!$B$1),MID(F$1,2,2)&amp;"-"&amp;LEFT($B99,3)&amp;"*-0*",INDIRECT(Formulas!$B$3)),0)</f>
        <v>0</v>
      </c>
      <c r="G99" s="466">
        <f ca="1">ROUND(SUMIF(INDIRECT(Formulas!$B$1),MID(G$1,2,2)&amp;"-"&amp;LEFT($B99,3)&amp;"*-0*",INDIRECT(Formulas!$B$3)),0)</f>
        <v>0</v>
      </c>
      <c r="H99" s="466">
        <f ca="1">ROUND(SUMIF(INDIRECT(Formulas!$B$1),MID(H$1,2,2)&amp;"-"&amp;LEFT($B99,3)&amp;"*-0*",INDIRECT(Formulas!$B$3)),0)</f>
        <v>0</v>
      </c>
      <c r="I99" s="468"/>
      <c r="J99" s="466">
        <f ca="1">ROUND(SUMIF(INDIRECT(Formulas!$B$1),MID(J$1,2,2)&amp;"-"&amp;LEFT($B99,3)&amp;"*-0*",INDIRECT(Formulas!$B$3)),0)</f>
        <v>0</v>
      </c>
      <c r="K99" s="466">
        <f ca="1">ROUND(SUMIF(INDIRECT(Formulas!$B$1),MID(K$1,2,2)&amp;"-"&amp;LEFT($B99,3)&amp;"*-0*",INDIRECT(Formulas!$B$3)),0)</f>
        <v>0</v>
      </c>
    </row>
    <row r="100" spans="1:12" ht="12.75" customHeight="1" x14ac:dyDescent="0.2">
      <c r="A100" s="463" t="s">
        <v>245</v>
      </c>
      <c r="B100" s="470">
        <v>1960</v>
      </c>
      <c r="C100" s="466">
        <f ca="1">ROUND(SUMIF(INDIRECT(Formulas!$B$1),MID(C$1,2,2)&amp;"-"&amp;LEFT($B100,3)&amp;"*-0*",INDIRECT(Formulas!$B$3)),0)</f>
        <v>0</v>
      </c>
      <c r="D100" s="466">
        <f ca="1">ROUND(SUMIF(INDIRECT(Formulas!$B$1),MID(D$1,2,2)&amp;"-"&amp;LEFT($B100,3)&amp;"*-0*",INDIRECT(Formulas!$B$3)),0)</f>
        <v>0</v>
      </c>
      <c r="E100" s="466">
        <f ca="1">ROUND(SUMIF(INDIRECT(Formulas!$B$1),MID(E$1,2,2)&amp;"-"&amp;LEFT($B100,3)&amp;"*-0*",INDIRECT(Formulas!$B$3)),0)</f>
        <v>0</v>
      </c>
      <c r="F100" s="466">
        <f ca="1">ROUND(SUMIF(INDIRECT(Formulas!$B$1),MID(F$1,2,2)&amp;"-"&amp;LEFT($B100,3)&amp;"*-0*",INDIRECT(Formulas!$B$3)),0)</f>
        <v>0</v>
      </c>
      <c r="G100" s="466">
        <f ca="1">ROUND(SUMIF(INDIRECT(Formulas!$B$1),MID(G$1,2,2)&amp;"-"&amp;LEFT($B100,3)&amp;"*-0*",INDIRECT(Formulas!$B$3)),0)</f>
        <v>0</v>
      </c>
      <c r="H100" s="466">
        <f ca="1">ROUND(SUMIF(INDIRECT(Formulas!$B$1),MID(H$1,2,2)&amp;"-"&amp;LEFT($B100,3)&amp;"*-0*",INDIRECT(Formulas!$B$3)),0)</f>
        <v>0</v>
      </c>
      <c r="I100" s="466">
        <f ca="1">ROUND(SUMIF(INDIRECT(Formulas!$B$1),MID(I$1,2,2)&amp;"-"&amp;LEFT($B100,3)&amp;"*-0*",INDIRECT(Formulas!$B$3)),0)</f>
        <v>0</v>
      </c>
      <c r="J100" s="466">
        <f ca="1">ROUND(SUMIF(INDIRECT(Formulas!$B$1),MID(J$1,2,2)&amp;"-"&amp;LEFT($B100,3)&amp;"*-0*",INDIRECT(Formulas!$B$3)),0)</f>
        <v>0</v>
      </c>
      <c r="K100" s="466">
        <f ca="1">ROUND(SUMIF(INDIRECT(Formulas!$B$1),MID(K$1,2,2)&amp;"-"&amp;LEFT($B100,3)&amp;"*-0*",INDIRECT(Formulas!$B$3)),0)</f>
        <v>0</v>
      </c>
    </row>
    <row r="101" spans="1:12" ht="12.75" customHeight="1" x14ac:dyDescent="0.2">
      <c r="A101" s="463" t="s">
        <v>246</v>
      </c>
      <c r="B101" s="470">
        <v>1970</v>
      </c>
      <c r="C101" s="466">
        <f ca="1">ROUND(SUMIF(INDIRECT(Formulas!$B$1),MID(C$1,2,2)&amp;"-"&amp;LEFT($B101,3)&amp;"*-0*",INDIRECT(Formulas!$B$3)),0)</f>
        <v>0</v>
      </c>
      <c r="D101" s="523"/>
      <c r="E101" s="479"/>
      <c r="F101" s="523"/>
      <c r="G101" s="475"/>
      <c r="H101" s="523"/>
      <c r="I101" s="468"/>
      <c r="J101" s="475"/>
      <c r="K101" s="475"/>
    </row>
    <row r="102" spans="1:12" ht="12.75" customHeight="1" x14ac:dyDescent="0.2">
      <c r="A102" s="463" t="s">
        <v>247</v>
      </c>
      <c r="B102" s="470">
        <v>1980</v>
      </c>
      <c r="C102" s="466">
        <f ca="1">ROUND(SUMIF(INDIRECT(Formulas!$B$1),MID(C$1,2,2)&amp;"-"&amp;LEFT($B102,4)&amp;"*-0*",INDIRECT(Formulas!$B$3)),0)</f>
        <v>0</v>
      </c>
      <c r="D102" s="466">
        <f ca="1">ROUND(SUMIF(INDIRECT(Formulas!$B$1),MID(D$1,2,2)&amp;"-"&amp;LEFT($B102,4)&amp;"*-0*",INDIRECT(Formulas!$B$3)),0)</f>
        <v>0</v>
      </c>
      <c r="E102" s="466">
        <f ca="1">ROUND(SUMIF(INDIRECT(Formulas!$B$1),MID(E$1,2,2)&amp;"-"&amp;LEFT($B102,4)&amp;"*-0*",INDIRECT(Formulas!$B$3)),0)</f>
        <v>0</v>
      </c>
      <c r="F102" s="466">
        <f ca="1">ROUND(SUMIF(INDIRECT(Formulas!$B$1),MID(F$1,2,2)&amp;"-"&amp;LEFT($B102,4)&amp;"*-0*",INDIRECT(Formulas!$B$3)),0)</f>
        <v>0</v>
      </c>
      <c r="G102" s="466">
        <f ca="1">ROUND(SUMIF(INDIRECT(Formulas!$B$1),MID(G$1,2,2)&amp;"-"&amp;LEFT($B102,4)&amp;"*-0*",INDIRECT(Formulas!$B$3)),0)</f>
        <v>0</v>
      </c>
      <c r="H102" s="466">
        <f ca="1">ROUND(SUMIF(INDIRECT(Formulas!$B$1),MID(H$1,2,2)&amp;"-"&amp;LEFT($B102,4)&amp;"*-0*",INDIRECT(Formulas!$B$3)),0)</f>
        <v>0</v>
      </c>
      <c r="I102" s="466">
        <f ca="1">ROUND(SUMIF(INDIRECT(Formulas!$B$1),MID(I$1,2,2)&amp;"-"&amp;LEFT($B102,4)&amp;"*-0*",INDIRECT(Formulas!$B$3)),0)</f>
        <v>0</v>
      </c>
      <c r="J102" s="466">
        <f ca="1">ROUND(SUMIF(INDIRECT(Formulas!$B$1),MID(J$1,2,2)&amp;"-"&amp;LEFT($B102,4)&amp;"*-0*",INDIRECT(Formulas!$B$3)),0)</f>
        <v>0</v>
      </c>
      <c r="K102" s="466">
        <f ca="1">ROUND(SUMIF(INDIRECT(Formulas!$B$1),MID(K$1,2,2)&amp;"-"&amp;LEFT($B102,4)&amp;"*-0*",INDIRECT(Formulas!$B$3)),0)</f>
        <v>0</v>
      </c>
    </row>
    <row r="103" spans="1:12" ht="12.75" customHeight="1" x14ac:dyDescent="0.2">
      <c r="A103" s="463" t="s">
        <v>345</v>
      </c>
      <c r="B103" s="470">
        <v>1983</v>
      </c>
      <c r="C103" s="468"/>
      <c r="D103" s="468"/>
      <c r="E103" s="466">
        <f ca="1">ROUND(SUMIF(INDIRECT(Formulas!$B$1),MID(E$1,2,2)&amp;"-"&amp;LEFT($B103,4)&amp;"*-0*",INDIRECT(Formulas!$B$3)),0)</f>
        <v>0</v>
      </c>
      <c r="F103" s="468"/>
      <c r="G103" s="468"/>
      <c r="H103" s="466">
        <f ca="1">ROUND(SUMIF(INDIRECT(Formulas!$B$1),MID(H$1,2,2)&amp;"-"&amp;LEFT($B103,4)&amp;"*-0*",INDIRECT(Formulas!$B$3)),0)</f>
        <v>0</v>
      </c>
      <c r="I103" s="468"/>
      <c r="J103" s="507"/>
      <c r="K103" s="507"/>
    </row>
    <row r="104" spans="1:12" ht="12.75" customHeight="1" x14ac:dyDescent="0.2">
      <c r="A104" s="463" t="s">
        <v>830</v>
      </c>
      <c r="B104" s="470">
        <v>1991</v>
      </c>
      <c r="C104" s="466">
        <f ca="1">ROUND(SUMIF(INDIRECT(Formulas!$B$1),MID(C$1,2,2)&amp;"-"&amp;LEFT($B104,4)&amp;"*-0*",INDIRECT(Formulas!$B$3)),0)</f>
        <v>0</v>
      </c>
      <c r="D104" s="466">
        <f ca="1">ROUND(SUMIF(INDIRECT(Formulas!$B$1),MID(D$1,2,2)&amp;"-"&amp;LEFT($B104,4)&amp;"*-0*",INDIRECT(Formulas!$B$3)),0)</f>
        <v>0</v>
      </c>
      <c r="E104" s="466">
        <f ca="1">ROUND(SUMIF(INDIRECT(Formulas!$B$1),MID(E$1,2,2)&amp;"-"&amp;LEFT($B104,4)&amp;"*-0*",INDIRECT(Formulas!$B$3)),0)</f>
        <v>0</v>
      </c>
      <c r="F104" s="466">
        <f ca="1">ROUND(SUMIF(INDIRECT(Formulas!$B$1),MID(F$1,2,2)&amp;"-"&amp;LEFT($B104,4)&amp;"*-0*",INDIRECT(Formulas!$B$3)),0)</f>
        <v>0</v>
      </c>
      <c r="G104" s="466">
        <f ca="1">ROUND(SUMIF(INDIRECT(Formulas!$B$1),MID(G$1,2,2)&amp;"-"&amp;LEFT($B104,4)&amp;"*-0*",INDIRECT(Formulas!$B$3)),0)</f>
        <v>0</v>
      </c>
      <c r="H104" s="466">
        <f ca="1">ROUND(SUMIF(INDIRECT(Formulas!$B$1),MID(H$1,2,2)&amp;"-"&amp;LEFT($B104,4)&amp;"*-0*",INDIRECT(Formulas!$B$3)),0)</f>
        <v>0</v>
      </c>
      <c r="I104" s="468"/>
      <c r="J104" s="468"/>
      <c r="K104" s="468"/>
    </row>
    <row r="105" spans="1:12" ht="12.75" customHeight="1" x14ac:dyDescent="0.2">
      <c r="A105" s="463" t="s">
        <v>822</v>
      </c>
      <c r="B105" s="470">
        <v>1992</v>
      </c>
      <c r="C105" s="466">
        <f ca="1">ROUND(SUMIF(INDIRECT(Formulas!$B$1),MID(C$1,2,2)&amp;"-"&amp;LEFT($B105,4)&amp;"*-0*",INDIRECT(Formulas!$B$3)),0)</f>
        <v>0</v>
      </c>
      <c r="D105" s="555"/>
      <c r="E105" s="468"/>
      <c r="F105" s="468"/>
      <c r="G105" s="468"/>
      <c r="H105" s="507"/>
      <c r="I105" s="468"/>
      <c r="J105" s="468"/>
      <c r="K105" s="468"/>
    </row>
    <row r="106" spans="1:12" ht="12.75" customHeight="1" x14ac:dyDescent="0.2">
      <c r="A106" s="463" t="s">
        <v>1430</v>
      </c>
      <c r="B106" s="470">
        <v>1993</v>
      </c>
      <c r="C106" s="466">
        <f ca="1">ROUND(SUMIF(INDIRECT(Formulas!$B$1),MID(C$1,2,2)&amp;"-"&amp;LEFT($B106,4)&amp;"*-0*",INDIRECT(Formulas!$B$3)),0)</f>
        <v>0</v>
      </c>
      <c r="D106" s="466">
        <f ca="1">ROUND(SUMIF(INDIRECT(Formulas!$B$1),MID(D$1,2,2)&amp;"-"&amp;LEFT($B106,4)&amp;"*-0*",INDIRECT(Formulas!$B$3)),0)</f>
        <v>0</v>
      </c>
      <c r="E106" s="466">
        <f ca="1">ROUND(SUMIF(INDIRECT(Formulas!$B$1),MID(E$1,2,2)&amp;"-"&amp;LEFT($B106,4)&amp;"*-0*",INDIRECT(Formulas!$B$3)),0)</f>
        <v>0</v>
      </c>
      <c r="F106" s="466">
        <f ca="1">ROUND(SUMIF(INDIRECT(Formulas!$B$1),MID(F$1,2,2)&amp;"-"&amp;LEFT($B106,4)&amp;"*-0*",INDIRECT(Formulas!$B$3)),0)</f>
        <v>0</v>
      </c>
      <c r="G106" s="466">
        <f ca="1">ROUND(SUMIF(INDIRECT(Formulas!$B$1),MID(G$1,2,2)&amp;"-"&amp;LEFT($B106,4)&amp;"*-0*",INDIRECT(Formulas!$B$3)),0)</f>
        <v>0</v>
      </c>
      <c r="H106" s="466">
        <f ca="1">ROUND(SUMIF(INDIRECT(Formulas!$B$1),MID(H$1,2,2)&amp;"-"&amp;LEFT($B106,4)&amp;"*-0*",INDIRECT(Formulas!$B$3)),0)</f>
        <v>0</v>
      </c>
      <c r="I106" s="518"/>
      <c r="J106" s="466">
        <f ca="1">ROUND(SUMIF(INDIRECT(Formulas!$B$1),MID(J$1,2,2)&amp;"-"&amp;LEFT($B106,4)&amp;"*-0*",INDIRECT(Formulas!$B$3)),0)</f>
        <v>0</v>
      </c>
      <c r="K106" s="466">
        <f ca="1">ROUND(SUMIF(INDIRECT(Formulas!$B$1),MID(K$1,2,2)&amp;"-"&amp;LEFT($B106,4)&amp;"*-0*",INDIRECT(Formulas!$B$3)),0)</f>
        <v>0</v>
      </c>
    </row>
    <row r="107" spans="1:12" ht="12.75" customHeight="1" x14ac:dyDescent="0.2">
      <c r="A107" s="463" t="s">
        <v>78</v>
      </c>
      <c r="B107" s="470">
        <v>1999</v>
      </c>
      <c r="C107" s="466">
        <f ca="1">ROUND(SUMIF(INDIRECT(Formulas!$B$1),MID(C$1,2,2)&amp;"-"&amp;LEFT($B107,4)&amp;"*-0*",INDIRECT(Formulas!$B$3)),0)</f>
        <v>2122</v>
      </c>
      <c r="D107" s="466">
        <f ca="1">ROUND(SUMIF(INDIRECT(Formulas!$B$1),MID(D$1,2,2)&amp;"-"&amp;LEFT($B107,4)&amp;"*-0*",INDIRECT(Formulas!$B$3)),0)</f>
        <v>1005</v>
      </c>
      <c r="E107" s="466">
        <f ca="1">ROUND(SUMIF(INDIRECT(Formulas!$B$1),MID(E$1,2,2)&amp;"-"&amp;LEFT($B107,4)&amp;"*-0*",INDIRECT(Formulas!$B$3)),0)</f>
        <v>0</v>
      </c>
      <c r="F107" s="466">
        <f ca="1">ROUND(SUMIF(INDIRECT(Formulas!$B$1),MID(F$1,2,2)&amp;"-"&amp;LEFT($B107,4)&amp;"*-0*",INDIRECT(Formulas!$B$3)),0)</f>
        <v>0</v>
      </c>
      <c r="G107" s="466">
        <f ca="1">ROUND(SUMIF(INDIRECT(Formulas!$B$1),MID(G$1,2,2)&amp;"-"&amp;LEFT($B107,4)&amp;"*-0*",INDIRECT(Formulas!$B$3)),0)</f>
        <v>0</v>
      </c>
      <c r="H107" s="466">
        <f ca="1">ROUND(SUMIF(INDIRECT(Formulas!$B$1),MID(H$1,2,2)&amp;"-"&amp;LEFT($B107,4)&amp;"*-0*",INDIRECT(Formulas!$B$3)),0)</f>
        <v>0</v>
      </c>
      <c r="I107" s="466">
        <f ca="1">ROUND(SUMIF(INDIRECT(Formulas!$B$1),MID(I$1,2,2)&amp;"-"&amp;LEFT($B107,4)&amp;"*-0*",INDIRECT(Formulas!$B$3)),0)</f>
        <v>0</v>
      </c>
      <c r="J107" s="466">
        <f ca="1">ROUND(SUMIF(INDIRECT(Formulas!$B$1),MID(J$1,2,2)&amp;"-"&amp;LEFT($B107,4)&amp;"*-0*",INDIRECT(Formulas!$B$3)),0)</f>
        <v>0</v>
      </c>
      <c r="K107" s="466">
        <f ca="1">ROUND(SUMIF(INDIRECT(Formulas!$B$1),MID(K$1,2,2)&amp;"-"&amp;LEFT($B107,4)&amp;"*-0*",INDIRECT(Formulas!$B$3)),0)</f>
        <v>0</v>
      </c>
    </row>
    <row r="108" spans="1:12" ht="12.75" customHeight="1" thickBot="1" x14ac:dyDescent="0.25">
      <c r="A108" s="1691" t="s">
        <v>487</v>
      </c>
      <c r="B108" s="1695"/>
      <c r="C108" s="1690">
        <f ca="1">SUM(C95:C107)</f>
        <v>7259</v>
      </c>
      <c r="D108" s="1690">
        <f t="shared" ref="D108:K108" ca="1" si="3">SUM(D95:D107)</f>
        <v>16005</v>
      </c>
      <c r="E108" s="1690">
        <f t="shared" ca="1" si="3"/>
        <v>0</v>
      </c>
      <c r="F108" s="1690">
        <f t="shared" ca="1" si="3"/>
        <v>0</v>
      </c>
      <c r="G108" s="1690">
        <f t="shared" ca="1" si="3"/>
        <v>0</v>
      </c>
      <c r="H108" s="1690">
        <f t="shared" ca="1" si="3"/>
        <v>0</v>
      </c>
      <c r="I108" s="1690">
        <f t="shared" ca="1" si="3"/>
        <v>0</v>
      </c>
      <c r="J108" s="1690">
        <f t="shared" ca="1" si="3"/>
        <v>0</v>
      </c>
      <c r="K108" s="1671">
        <f t="shared" ca="1" si="3"/>
        <v>0</v>
      </c>
    </row>
    <row r="109" spans="1:12" ht="14.25" thickTop="1" thickBot="1" x14ac:dyDescent="0.25">
      <c r="A109" s="1696" t="s">
        <v>248</v>
      </c>
      <c r="B109" s="1697" t="s">
        <v>570</v>
      </c>
      <c r="C109" s="1698">
        <f t="shared" ref="C109:K109" ca="1" si="4">SUM(C12,C18,C40,C63,C67,C75,C82,C93,C108,)</f>
        <v>1115652</v>
      </c>
      <c r="D109" s="1698">
        <f t="shared" ca="1" si="4"/>
        <v>166541</v>
      </c>
      <c r="E109" s="1698">
        <f t="shared" ca="1" si="4"/>
        <v>0</v>
      </c>
      <c r="F109" s="1698">
        <f t="shared" ca="1" si="4"/>
        <v>38426</v>
      </c>
      <c r="G109" s="1698">
        <f t="shared" ca="1" si="4"/>
        <v>17784</v>
      </c>
      <c r="H109" s="1698">
        <f t="shared" ca="1" si="4"/>
        <v>0</v>
      </c>
      <c r="I109" s="1698">
        <f t="shared" ca="1" si="4"/>
        <v>11495</v>
      </c>
      <c r="J109" s="1698">
        <f t="shared" ca="1" si="4"/>
        <v>10912</v>
      </c>
      <c r="K109" s="1685">
        <f t="shared" ca="1" si="4"/>
        <v>0</v>
      </c>
    </row>
    <row r="110" spans="1:12" ht="30" customHeight="1" thickTop="1" x14ac:dyDescent="0.2">
      <c r="A110" s="1568" t="s">
        <v>346</v>
      </c>
      <c r="B110" s="1569"/>
      <c r="C110" s="1554"/>
      <c r="D110" s="1554"/>
      <c r="E110" s="1554"/>
      <c r="F110" s="1554"/>
      <c r="G110" s="1554"/>
      <c r="H110" s="1554"/>
      <c r="I110" s="1554"/>
      <c r="J110" s="1554"/>
      <c r="K110" s="1555"/>
    </row>
    <row r="111" spans="1:12" ht="12.75" customHeight="1" x14ac:dyDescent="0.2">
      <c r="A111" s="490" t="s">
        <v>823</v>
      </c>
      <c r="B111" s="488">
        <v>2100</v>
      </c>
      <c r="C111" s="466">
        <f ca="1">ROUND(SUMIF(INDIRECT(Formulas!$B$1),MID(C$1,2,2)&amp;"-"&amp;LEFT($B111,3)&amp;"*-0*",INDIRECT(Formulas!$B$3)),0)</f>
        <v>87</v>
      </c>
      <c r="D111" s="466">
        <f ca="1">ROUND(SUMIF(INDIRECT(Formulas!$B$1),MID(D$1,2,2)&amp;"-"&amp;LEFT($B111,3)&amp;"*-0*",INDIRECT(Formulas!$B$3)),0)</f>
        <v>0</v>
      </c>
      <c r="E111" s="555"/>
      <c r="F111" s="466">
        <f ca="1">ROUND(SUMIF(INDIRECT(Formulas!$B$1),MID(F$1,2,2)&amp;"-"&amp;LEFT($B111,3)&amp;"*-0*",INDIRECT(Formulas!$B$3)),0)</f>
        <v>0</v>
      </c>
      <c r="G111" s="466">
        <f ca="1">ROUND(SUMIF(INDIRECT(Formulas!$B$1),MID(G$1,2,2)&amp;"-"&amp;LEFT($B111,3)&amp;"*-0*",INDIRECT(Formulas!$B$3)),0)</f>
        <v>0</v>
      </c>
      <c r="H111" s="555"/>
      <c r="I111" s="468"/>
      <c r="J111" s="468"/>
      <c r="K111" s="468"/>
    </row>
    <row r="112" spans="1:12" ht="12.75" customHeight="1" x14ac:dyDescent="0.2">
      <c r="A112" s="463" t="s">
        <v>824</v>
      </c>
      <c r="B112" s="470">
        <v>2200</v>
      </c>
      <c r="C112" s="466">
        <f ca="1">ROUND(SUMIF(INDIRECT(Formulas!$B$1),MID(C$1,2,2)&amp;"-"&amp;LEFT($B112,3)&amp;"*-0*",INDIRECT(Formulas!$B$3)),0)</f>
        <v>0</v>
      </c>
      <c r="D112" s="466">
        <f ca="1">ROUND(SUMIF(INDIRECT(Formulas!$B$1),MID(D$1,2,2)&amp;"-"&amp;LEFT($B112,3)&amp;"*-0*",INDIRECT(Formulas!$B$3)),0)</f>
        <v>0</v>
      </c>
      <c r="E112" s="555"/>
      <c r="F112" s="466">
        <f ca="1">ROUND(SUMIF(INDIRECT(Formulas!$B$1),MID(F$1,2,2)&amp;"-"&amp;LEFT($B112,3)&amp;"*-0*",INDIRECT(Formulas!$B$3)),0)</f>
        <v>0</v>
      </c>
      <c r="G112" s="466">
        <f ca="1">ROUND(SUMIF(INDIRECT(Formulas!$B$1),MID(G$1,2,2)&amp;"-"&amp;LEFT($B112,3)&amp;"*-0*",INDIRECT(Formulas!$B$3)),0)</f>
        <v>0</v>
      </c>
      <c r="H112" s="555"/>
      <c r="I112" s="468"/>
      <c r="J112" s="468"/>
      <c r="K112" s="468"/>
      <c r="L112" s="547"/>
    </row>
    <row r="113" spans="1:11" ht="12.75" customHeight="1" x14ac:dyDescent="0.2">
      <c r="A113" s="463" t="s">
        <v>28</v>
      </c>
      <c r="B113" s="470">
        <v>2300</v>
      </c>
      <c r="C113" s="466">
        <f ca="1">ROUND(SUMIF(INDIRECT(Formulas!$B$1),MID(C$1,2,2)&amp;"-"&amp;LEFT($B113,3)&amp;"*-0*",INDIRECT(Formulas!$B$3)),0)</f>
        <v>0</v>
      </c>
      <c r="D113" s="466">
        <f ca="1">ROUND(SUMIF(INDIRECT(Formulas!$B$1),MID(D$1,2,2)&amp;"-"&amp;LEFT($B113,3)&amp;"*-0*",INDIRECT(Formulas!$B$3)),0)</f>
        <v>0</v>
      </c>
      <c r="E113" s="555"/>
      <c r="F113" s="466">
        <f ca="1">ROUND(SUMIF(INDIRECT(Formulas!$B$1),MID(F$1,2,2)&amp;"-"&amp;LEFT($B113,3)&amp;"*-0*",INDIRECT(Formulas!$B$3)),0)</f>
        <v>0</v>
      </c>
      <c r="G113" s="466">
        <f ca="1">ROUND(SUMIF(INDIRECT(Formulas!$B$1),MID(G$1,2,2)&amp;"-"&amp;LEFT($B113,3)&amp;"*-0*",INDIRECT(Formulas!$B$3)),0)</f>
        <v>0</v>
      </c>
      <c r="H113" s="555"/>
      <c r="I113" s="468"/>
      <c r="J113" s="468"/>
      <c r="K113" s="468"/>
    </row>
    <row r="114" spans="1:11" ht="13.5" thickBot="1" x14ac:dyDescent="0.25">
      <c r="A114" s="1699" t="s">
        <v>806</v>
      </c>
      <c r="B114" s="1700" t="s">
        <v>569</v>
      </c>
      <c r="C114" s="1701">
        <f ca="1">SUM(C111:C113)</f>
        <v>87</v>
      </c>
      <c r="D114" s="1701">
        <f ca="1">SUM(D111:D113)</f>
        <v>0</v>
      </c>
      <c r="E114" s="555" t="s">
        <v>1169</v>
      </c>
      <c r="F114" s="1701">
        <f ca="1">SUM(F111:F113)</f>
        <v>0</v>
      </c>
      <c r="G114" s="1701">
        <f ca="1">SUM(G111:G113)</f>
        <v>0</v>
      </c>
      <c r="H114" s="555"/>
      <c r="I114" s="468"/>
      <c r="J114" s="468"/>
      <c r="K114" s="468"/>
    </row>
    <row r="115" spans="1:11" ht="16.7" customHeight="1" thickTop="1" x14ac:dyDescent="0.2">
      <c r="A115" s="1570" t="s">
        <v>803</v>
      </c>
      <c r="B115" s="1571"/>
      <c r="C115" s="1553"/>
      <c r="D115" s="1554"/>
      <c r="E115" s="1554"/>
      <c r="F115" s="1554"/>
      <c r="G115" s="1554"/>
      <c r="H115" s="1554"/>
      <c r="I115" s="1554"/>
      <c r="J115" s="1554"/>
      <c r="K115" s="1555"/>
    </row>
    <row r="116" spans="1:11" ht="18" customHeight="1" x14ac:dyDescent="0.2">
      <c r="A116" s="1578" t="s">
        <v>1491</v>
      </c>
      <c r="B116" s="1579"/>
      <c r="C116" s="519"/>
      <c r="D116" s="518"/>
      <c r="E116" s="555"/>
      <c r="F116" s="518"/>
      <c r="G116" s="518"/>
      <c r="H116" s="555"/>
      <c r="I116" s="468"/>
      <c r="J116" s="518"/>
      <c r="K116" s="518"/>
    </row>
    <row r="117" spans="1:11" ht="12.75" customHeight="1" x14ac:dyDescent="0.2">
      <c r="A117" s="463" t="s">
        <v>1667</v>
      </c>
      <c r="B117" s="556">
        <v>3001</v>
      </c>
      <c r="C117" s="466">
        <f ca="1">ROUND(SUMIF(INDIRECT(Formulas!$B$1),MID(C$1,2,2)&amp;"-"&amp;LEFT($B117,4)&amp;"*-0*",INDIRECT(Formulas!$B$3)),0)</f>
        <v>339153</v>
      </c>
      <c r="D117" s="466">
        <f ca="1">ROUND(SUMIF(INDIRECT(Formulas!$B$1),MID(D$1,2,2)&amp;"-"&amp;LEFT($B117,4)&amp;"*-0*",INDIRECT(Formulas!$B$3)),0)</f>
        <v>81801</v>
      </c>
      <c r="E117" s="466">
        <f ca="1">ROUND(SUMIF(INDIRECT(Formulas!$B$1),MID(E$1,2,2)&amp;"-"&amp;LEFT($B117,4)&amp;"*-0*",INDIRECT(Formulas!$B$3)),0)</f>
        <v>0</v>
      </c>
      <c r="F117" s="466">
        <f ca="1">ROUND(SUMIF(INDIRECT(Formulas!$B$1),MID(F$1,2,2)&amp;"-"&amp;LEFT($B117,4)&amp;"*-0*",INDIRECT(Formulas!$B$3)),0)</f>
        <v>93943</v>
      </c>
      <c r="G117" s="466">
        <f ca="1">ROUND(SUMIF(INDIRECT(Formulas!$B$1),MID(G$1,2,2)&amp;"-"&amp;LEFT($B117,4)&amp;"*-0*",INDIRECT(Formulas!$B$3)),0)</f>
        <v>0</v>
      </c>
      <c r="H117" s="466">
        <f ca="1">ROUND(SUMIF(INDIRECT(Formulas!$B$1),MID(H$1,2,2)&amp;"-"&amp;LEFT($B117,4)&amp;"*-0*",INDIRECT(Formulas!$B$3)),0)</f>
        <v>0</v>
      </c>
      <c r="I117" s="468"/>
      <c r="J117" s="466">
        <f ca="1">ROUND(SUMIF(INDIRECT(Formulas!$B$1),MID(J$1,2,2)&amp;"-"&amp;LEFT($B117,4)&amp;"*-0*",INDIRECT(Formulas!$B$3)),0)</f>
        <v>79094</v>
      </c>
      <c r="K117" s="466">
        <f ca="1">ROUND(SUMIF(INDIRECT(Formulas!$B$1),MID(K$1,2,2)&amp;"-"&amp;LEFT($B117,4)&amp;"*-0*",INDIRECT(Formulas!$B$3)),0)</f>
        <v>0</v>
      </c>
    </row>
    <row r="118" spans="1:11" ht="12.75" customHeight="1" x14ac:dyDescent="0.2">
      <c r="A118" s="463" t="s">
        <v>1798</v>
      </c>
      <c r="B118" s="556">
        <v>3002</v>
      </c>
      <c r="C118" s="466">
        <f ca="1">ROUND(SUMIF(INDIRECT(Formulas!$B$1),MID(C$1,2,2)&amp;"-"&amp;LEFT($B118,4)&amp;"*-0*",INDIRECT(Formulas!$B$3)),0)</f>
        <v>0</v>
      </c>
      <c r="D118" s="466">
        <f ca="1">ROUND(SUMIF(INDIRECT(Formulas!$B$1),MID(D$1,2,2)&amp;"-"&amp;LEFT($B118,4)&amp;"*-0*",INDIRECT(Formulas!$B$3)),0)</f>
        <v>0</v>
      </c>
      <c r="E118" s="466">
        <f ca="1">ROUND(SUMIF(INDIRECT(Formulas!$B$1),MID(E$1,2,2)&amp;"-"&amp;LEFT($B118,4)&amp;"*-0*",INDIRECT(Formulas!$B$3)),0)</f>
        <v>0</v>
      </c>
      <c r="F118" s="466">
        <f ca="1">ROUND(SUMIF(INDIRECT(Formulas!$B$1),MID(F$1,2,2)&amp;"-"&amp;LEFT($B118,4)&amp;"*-0*",INDIRECT(Formulas!$B$3)),0)</f>
        <v>0</v>
      </c>
      <c r="G118" s="466">
        <f ca="1">ROUND(SUMIF(INDIRECT(Formulas!$B$1),MID(G$1,2,2)&amp;"-"&amp;LEFT($B118,4)&amp;"*-0*",INDIRECT(Formulas!$B$3)),0)</f>
        <v>0</v>
      </c>
      <c r="H118" s="466">
        <f ca="1">ROUND(SUMIF(INDIRECT(Formulas!$B$1),MID(H$1,2,2)&amp;"-"&amp;LEFT($B118,4)&amp;"*-0*",INDIRECT(Formulas!$B$3)),0)</f>
        <v>0</v>
      </c>
      <c r="I118" s="468"/>
      <c r="J118" s="466">
        <f ca="1">ROUND(SUMIF(INDIRECT(Formulas!$B$1),MID(J$1,2,2)&amp;"-"&amp;LEFT($B118,4)&amp;"*-0*",INDIRECT(Formulas!$B$3)),0)</f>
        <v>0</v>
      </c>
      <c r="K118" s="466">
        <f ca="1">ROUND(SUMIF(INDIRECT(Formulas!$B$1),MID(K$1,2,2)&amp;"-"&amp;LEFT($B118,4)&amp;"*-0*",INDIRECT(Formulas!$B$3)),0)</f>
        <v>0</v>
      </c>
    </row>
    <row r="119" spans="1:11" ht="12.75" customHeight="1" x14ac:dyDescent="0.2">
      <c r="A119" s="463" t="s">
        <v>1799</v>
      </c>
      <c r="B119" s="556">
        <v>3005</v>
      </c>
      <c r="C119" s="466">
        <f ca="1">ROUND(SUMIF(INDIRECT(Formulas!$B$1),MID(C$1,2,2)&amp;"-"&amp;LEFT($B119,4)&amp;"*-0*",INDIRECT(Formulas!$B$3)),0)</f>
        <v>0</v>
      </c>
      <c r="D119" s="466">
        <f ca="1">ROUND(SUMIF(INDIRECT(Formulas!$B$1),MID(D$1,2,2)&amp;"-"&amp;LEFT($B119,4)&amp;"*-0*",INDIRECT(Formulas!$B$3)),0)</f>
        <v>0</v>
      </c>
      <c r="E119" s="466">
        <f ca="1">ROUND(SUMIF(INDIRECT(Formulas!$B$1),MID(E$1,2,2)&amp;"-"&amp;LEFT($B119,4)&amp;"*-0*",INDIRECT(Formulas!$B$3)),0)</f>
        <v>0</v>
      </c>
      <c r="F119" s="466">
        <f ca="1">ROUND(SUMIF(INDIRECT(Formulas!$B$1),MID(F$1,2,2)&amp;"-"&amp;LEFT($B119,4)&amp;"*-0*",INDIRECT(Formulas!$B$3)),0)</f>
        <v>0</v>
      </c>
      <c r="G119" s="466">
        <f ca="1">ROUND(SUMIF(INDIRECT(Formulas!$B$1),MID(G$1,2,2)&amp;"-"&amp;LEFT($B119,4)&amp;"*-0*",INDIRECT(Formulas!$B$3)),0)</f>
        <v>0</v>
      </c>
      <c r="H119" s="466">
        <f ca="1">ROUND(SUMIF(INDIRECT(Formulas!$B$1),MID(H$1,2,2)&amp;"-"&amp;LEFT($B119,4)&amp;"*-0*",INDIRECT(Formulas!$B$3)),0)</f>
        <v>0</v>
      </c>
      <c r="I119" s="468"/>
      <c r="J119" s="466">
        <f ca="1">ROUND(SUMIF(INDIRECT(Formulas!$B$1),MID(J$1,2,2)&amp;"-"&amp;LEFT($B119,4)&amp;"*-0*",INDIRECT(Formulas!$B$3)),0)</f>
        <v>0</v>
      </c>
      <c r="K119" s="466">
        <f ca="1">ROUND(SUMIF(INDIRECT(Formulas!$B$1),MID(K$1,2,2)&amp;"-"&amp;LEFT($B119,4)&amp;"*-0*",INDIRECT(Formulas!$B$3)),0)</f>
        <v>0</v>
      </c>
    </row>
    <row r="120" spans="1:11" ht="12.75" customHeight="1" x14ac:dyDescent="0.2">
      <c r="A120" s="1913" t="s">
        <v>1935</v>
      </c>
      <c r="B120" s="556">
        <v>3030</v>
      </c>
      <c r="C120" s="466">
        <f ca="1">ROUND(SUMIF(INDIRECT(Formulas!$B$1),MID(C$1,2,2)&amp;"-"&amp;LEFT($B120,4)&amp;"*-0*",INDIRECT(Formulas!$B$3)),0)</f>
        <v>0</v>
      </c>
      <c r="D120" s="466">
        <f ca="1">ROUND(SUMIF(INDIRECT(Formulas!$B$1),MID(D$1,2,2)&amp;"-"&amp;LEFT($B120,4)&amp;"*-0*",INDIRECT(Formulas!$B$3)),0)</f>
        <v>0</v>
      </c>
      <c r="E120" s="466">
        <f ca="1">ROUND(SUMIF(INDIRECT(Formulas!$B$1),MID(E$1,2,2)&amp;"-"&amp;LEFT($B120,4)&amp;"*-0*",INDIRECT(Formulas!$B$3)),0)</f>
        <v>0</v>
      </c>
      <c r="F120" s="466">
        <f ca="1">ROUND(SUMIF(INDIRECT(Formulas!$B$1),MID(F$1,2,2)&amp;"-"&amp;LEFT($B120,4)&amp;"*-0*",INDIRECT(Formulas!$B$3)),0)</f>
        <v>0</v>
      </c>
      <c r="G120" s="466">
        <f ca="1">ROUND(SUMIF(INDIRECT(Formulas!$B$1),MID(G$1,2,2)&amp;"-"&amp;LEFT($B120,4)&amp;"*-0*",INDIRECT(Formulas!$B$3)),0)</f>
        <v>0</v>
      </c>
      <c r="H120" s="466">
        <f ca="1">ROUND(SUMIF(INDIRECT(Formulas!$B$1),MID(H$1,2,2)&amp;"-"&amp;LEFT($B120,4)&amp;"*-0*",INDIRECT(Formulas!$B$3)),0)</f>
        <v>0</v>
      </c>
      <c r="I120" s="468"/>
      <c r="J120" s="466">
        <f ca="1">ROUND(SUMIF(INDIRECT(Formulas!$B$1),MID(J$1,2,2)&amp;"-"&amp;LEFT($B120,4)&amp;"*-0*",INDIRECT(Formulas!$B$3)),0)</f>
        <v>0</v>
      </c>
      <c r="K120" s="466">
        <f ca="1">ROUND(SUMIF(INDIRECT(Formulas!$B$1),MID(K$1,2,2)&amp;"-"&amp;LEFT($B120,4)&amp;"*-0*",INDIRECT(Formulas!$B$3)),0)</f>
        <v>0</v>
      </c>
    </row>
    <row r="121" spans="1:11" x14ac:dyDescent="0.2">
      <c r="A121" s="1479" t="s">
        <v>1800</v>
      </c>
      <c r="B121" s="558">
        <v>3099</v>
      </c>
      <c r="C121" s="466">
        <f ca="1">ROUND(SUMIF(INDIRECT(Formulas!$B$1),MID(C$1,2,2)&amp;"-"&amp;LEFT($B121,4)&amp;"*-0*",INDIRECT(Formulas!$B$3)),0)</f>
        <v>0</v>
      </c>
      <c r="D121" s="466">
        <f ca="1">ROUND(SUMIF(INDIRECT(Formulas!$B$1),MID(D$1,2,2)&amp;"-"&amp;LEFT($B121,4)&amp;"*-0*",INDIRECT(Formulas!$B$3)),0)</f>
        <v>0</v>
      </c>
      <c r="E121" s="466">
        <f ca="1">ROUND(SUMIF(INDIRECT(Formulas!$B$1),MID(E$1,2,2)&amp;"-"&amp;LEFT($B121,4)&amp;"*-0*",INDIRECT(Formulas!$B$3)),0)</f>
        <v>0</v>
      </c>
      <c r="F121" s="466">
        <f ca="1">ROUND(SUMIF(INDIRECT(Formulas!$B$1),MID(F$1,2,2)&amp;"-"&amp;LEFT($B121,4)&amp;"*-0*",INDIRECT(Formulas!$B$3)),0)</f>
        <v>0</v>
      </c>
      <c r="G121" s="466">
        <f ca="1">ROUND(SUMIF(INDIRECT(Formulas!$B$1),MID(G$1,2,2)&amp;"-"&amp;LEFT($B121,4)&amp;"*-0*",INDIRECT(Formulas!$B$3)),0)</f>
        <v>0</v>
      </c>
      <c r="H121" s="466">
        <f ca="1">ROUND(SUMIF(INDIRECT(Formulas!$B$1),MID(H$1,2,2)&amp;"-"&amp;LEFT($B121,4)&amp;"*-0*",INDIRECT(Formulas!$B$3)),0)</f>
        <v>0</v>
      </c>
      <c r="I121" s="468"/>
      <c r="J121" s="466">
        <f ca="1">ROUND(SUMIF(INDIRECT(Formulas!$B$1),MID(J$1,2,2)&amp;"-"&amp;LEFT($B121,4)&amp;"*-0*",INDIRECT(Formulas!$B$3)),0)</f>
        <v>0</v>
      </c>
      <c r="K121" s="466">
        <f ca="1">ROUND(SUMIF(INDIRECT(Formulas!$B$1),MID(K$1,2,2)&amp;"-"&amp;LEFT($B121,4)&amp;"*-0*",INDIRECT(Formulas!$B$3)),0)</f>
        <v>0</v>
      </c>
    </row>
    <row r="122" spans="1:11" ht="12.6" customHeight="1" thickBot="1" x14ac:dyDescent="0.25">
      <c r="A122" s="1691" t="s">
        <v>488</v>
      </c>
      <c r="B122" s="1702"/>
      <c r="C122" s="1690">
        <f t="shared" ref="C122:H122" ca="1" si="5">SUM(C117:C121)</f>
        <v>339153</v>
      </c>
      <c r="D122" s="1690">
        <f t="shared" ca="1" si="5"/>
        <v>81801</v>
      </c>
      <c r="E122" s="1690">
        <f t="shared" ca="1" si="5"/>
        <v>0</v>
      </c>
      <c r="F122" s="1690">
        <f t="shared" ca="1" si="5"/>
        <v>93943</v>
      </c>
      <c r="G122" s="1690">
        <f t="shared" ca="1" si="5"/>
        <v>0</v>
      </c>
      <c r="H122" s="1690">
        <f t="shared" ca="1" si="5"/>
        <v>0</v>
      </c>
      <c r="I122" s="468"/>
      <c r="J122" s="1690">
        <f ca="1">SUM(J117:J121)</f>
        <v>79094</v>
      </c>
      <c r="K122" s="1671">
        <f ca="1">SUM(K117:K121)</f>
        <v>0</v>
      </c>
    </row>
    <row r="123" spans="1:11" ht="15.75" customHeight="1" thickTop="1" x14ac:dyDescent="0.2">
      <c r="A123" s="1575" t="s">
        <v>1490</v>
      </c>
      <c r="B123" s="1580"/>
      <c r="C123" s="559"/>
      <c r="D123" s="506"/>
      <c r="E123" s="468"/>
      <c r="F123" s="560"/>
      <c r="G123" s="468"/>
      <c r="H123" s="468"/>
      <c r="I123" s="468"/>
      <c r="J123" s="468"/>
      <c r="K123" s="468"/>
    </row>
    <row r="124" spans="1:11" ht="15" customHeight="1" x14ac:dyDescent="0.2">
      <c r="A124" s="1581" t="s">
        <v>667</v>
      </c>
      <c r="B124" s="1582"/>
      <c r="C124" s="518"/>
      <c r="D124" s="506"/>
      <c r="E124" s="468"/>
      <c r="F124" s="518"/>
      <c r="G124" s="468"/>
      <c r="H124" s="468"/>
      <c r="I124" s="468"/>
      <c r="J124" s="468"/>
      <c r="K124" s="468"/>
    </row>
    <row r="125" spans="1:11" ht="12.75" customHeight="1" x14ac:dyDescent="0.2">
      <c r="A125" s="463" t="s">
        <v>866</v>
      </c>
      <c r="B125" s="561">
        <v>3100</v>
      </c>
      <c r="C125" s="466">
        <f ca="1">ROUND(SUMIF(INDIRECT(Formulas!$B$1),MID(C$1,2,2)&amp;"-"&amp;LEFT($B125,4)&amp;"*-0*",INDIRECT(Formulas!$B$3)),0)</f>
        <v>0</v>
      </c>
      <c r="D125" s="555"/>
      <c r="E125" s="468"/>
      <c r="F125" s="466">
        <f ca="1">ROUND(SUMIF(INDIRECT(Formulas!$B$1),MID(F$1,2,2)&amp;"-"&amp;LEFT($B125,4)&amp;"*-0*",INDIRECT(Formulas!$B$3)),0)</f>
        <v>0</v>
      </c>
      <c r="G125" s="468"/>
      <c r="H125" s="468"/>
      <c r="I125" s="468"/>
      <c r="J125" s="468"/>
      <c r="K125" s="468"/>
    </row>
    <row r="126" spans="1:11" ht="12.75" customHeight="1" x14ac:dyDescent="0.2">
      <c r="A126" s="463" t="s">
        <v>1446</v>
      </c>
      <c r="B126" s="556">
        <v>3105</v>
      </c>
      <c r="C126" s="466">
        <f ca="1">ROUND(SUMIF(INDIRECT(Formulas!$B$1),MID(C$1,2,2)&amp;"-"&amp;LEFT($B126,4)&amp;"*-0*",INDIRECT(Formulas!$B$3)),0)</f>
        <v>0</v>
      </c>
      <c r="D126" s="555"/>
      <c r="E126" s="468"/>
      <c r="F126" s="466">
        <f ca="1">ROUND(SUMIF(INDIRECT(Formulas!$B$1),MID(F$1,2,2)&amp;"-"&amp;LEFT($B126,4)&amp;"*-0*",INDIRECT(Formulas!$B$3)),0)</f>
        <v>0</v>
      </c>
      <c r="G126" s="468"/>
      <c r="H126" s="468"/>
      <c r="I126" s="468"/>
      <c r="J126" s="468"/>
      <c r="K126" s="468"/>
    </row>
    <row r="127" spans="1:11" ht="12.75" customHeight="1" x14ac:dyDescent="0.2">
      <c r="A127" s="463" t="s">
        <v>867</v>
      </c>
      <c r="B127" s="556">
        <v>3110</v>
      </c>
      <c r="C127" s="466">
        <f ca="1">ROUND(SUMIF(INDIRECT(Formulas!$B$1),MID(C$1,2,2)&amp;"-"&amp;LEFT($B127,4)&amp;"*-0*",INDIRECT(Formulas!$B$3)),0)</f>
        <v>0</v>
      </c>
      <c r="D127" s="466">
        <f ca="1">ROUND(SUMIF(INDIRECT(Formulas!$B$1),MID(D$1,2,2)&amp;"-"&amp;LEFT($B127,4)&amp;"*-0*",INDIRECT(Formulas!$B$3)),0)</f>
        <v>0</v>
      </c>
      <c r="E127" s="468"/>
      <c r="F127" s="466">
        <f ca="1">ROUND(SUMIF(INDIRECT(Formulas!$B$1),MID(F$1,2,2)&amp;"-"&amp;LEFT($B127,4)&amp;"*-0*",INDIRECT(Formulas!$B$3)),0)</f>
        <v>0</v>
      </c>
      <c r="G127" s="468"/>
      <c r="H127" s="468"/>
      <c r="I127" s="468"/>
      <c r="J127" s="468"/>
      <c r="K127" s="468"/>
    </row>
    <row r="128" spans="1:11" ht="12.75" customHeight="1" x14ac:dyDescent="0.2">
      <c r="A128" s="463" t="s">
        <v>105</v>
      </c>
      <c r="B128" s="556">
        <v>3120</v>
      </c>
      <c r="C128" s="466">
        <f ca="1">ROUND(SUMIF(INDIRECT(Formulas!$B$1),MID(C$1,2,2)&amp;"-"&amp;LEFT($B128,4)&amp;"*-0*",INDIRECT(Formulas!$B$3)),0)</f>
        <v>0</v>
      </c>
      <c r="D128" s="555"/>
      <c r="E128" s="468"/>
      <c r="F128" s="466">
        <f ca="1">ROUND(SUMIF(INDIRECT(Formulas!$B$1),MID(F$1,2,2)&amp;"-"&amp;LEFT($B128,4)&amp;"*-0*",INDIRECT(Formulas!$B$3)),0)</f>
        <v>0</v>
      </c>
      <c r="G128" s="468"/>
      <c r="H128" s="468"/>
      <c r="I128" s="468"/>
      <c r="J128" s="468"/>
      <c r="K128" s="468"/>
    </row>
    <row r="129" spans="1:11" ht="12.75" customHeight="1" x14ac:dyDescent="0.2">
      <c r="A129" s="463" t="s">
        <v>1447</v>
      </c>
      <c r="B129" s="556">
        <v>3130</v>
      </c>
      <c r="C129" s="466">
        <f ca="1">ROUND(SUMIF(INDIRECT(Formulas!$B$1),MID(C$1,2,2)&amp;"-"&amp;LEFT($B129,4)&amp;"*-0*",INDIRECT(Formulas!$B$3)),0)</f>
        <v>0</v>
      </c>
      <c r="D129" s="555"/>
      <c r="E129" s="468"/>
      <c r="F129" s="466">
        <f ca="1">ROUND(SUMIF(INDIRECT(Formulas!$B$1),MID(F$1,2,2)&amp;"-"&amp;LEFT($B129,4)&amp;"*-0*",INDIRECT(Formulas!$B$3)),0)</f>
        <v>0</v>
      </c>
      <c r="G129" s="468"/>
      <c r="H129" s="468"/>
      <c r="I129" s="468"/>
      <c r="J129" s="468"/>
      <c r="K129" s="468"/>
    </row>
    <row r="130" spans="1:11" ht="12.75" customHeight="1" x14ac:dyDescent="0.2">
      <c r="A130" s="463" t="s">
        <v>137</v>
      </c>
      <c r="B130" s="556">
        <v>3145</v>
      </c>
      <c r="C130" s="466">
        <f ca="1">ROUND(SUMIF(INDIRECT(Formulas!$B$1),MID(C$1,2,2)&amp;"-"&amp;LEFT($B130,4)&amp;"*-0*",INDIRECT(Formulas!$B$3)),0)</f>
        <v>0</v>
      </c>
      <c r="D130" s="555"/>
      <c r="E130" s="468"/>
      <c r="F130" s="466">
        <f ca="1">ROUND(SUMIF(INDIRECT(Formulas!$B$1),MID(F$1,2,2)&amp;"-"&amp;LEFT($B130,4)&amp;"*-0*",INDIRECT(Formulas!$B$3)),0)</f>
        <v>0</v>
      </c>
      <c r="G130" s="468"/>
      <c r="H130" s="468"/>
      <c r="I130" s="468"/>
      <c r="J130" s="468"/>
      <c r="K130" s="468"/>
    </row>
    <row r="131" spans="1:11" ht="12.75" customHeight="1" x14ac:dyDescent="0.2">
      <c r="A131" s="463" t="s">
        <v>66</v>
      </c>
      <c r="B131" s="556">
        <v>3199</v>
      </c>
      <c r="C131" s="466">
        <f ca="1">ROUND(SUMIF(INDIRECT(Formulas!$B$1),MID(C$1,2,2)&amp;"-"&amp;LEFT($B131,4)&amp;"*-0*",INDIRECT(Formulas!$B$3)),0)</f>
        <v>0</v>
      </c>
      <c r="D131" s="466">
        <f ca="1">ROUND(SUMIF(INDIRECT(Formulas!$B$1),MID(D$1,2,2)&amp;"-"&amp;LEFT($B131,4)&amp;"*-0*",INDIRECT(Formulas!$B$3)),0)</f>
        <v>0</v>
      </c>
      <c r="E131" s="468"/>
      <c r="F131" s="466">
        <f ca="1">ROUND(SUMIF(INDIRECT(Formulas!$B$1),MID(F$1,2,2)&amp;"-"&amp;LEFT($B131,4)&amp;"*-0*",INDIRECT(Formulas!$B$3)),0)</f>
        <v>0</v>
      </c>
      <c r="G131" s="468"/>
      <c r="H131" s="468"/>
      <c r="I131" s="468"/>
      <c r="J131" s="468"/>
      <c r="K131" s="468"/>
    </row>
    <row r="132" spans="1:11" ht="12.75" customHeight="1" thickBot="1" x14ac:dyDescent="0.25">
      <c r="A132" s="1691" t="s">
        <v>1032</v>
      </c>
      <c r="B132" s="1703"/>
      <c r="C132" s="1690">
        <f ca="1">SUM(C125:C131)</f>
        <v>0</v>
      </c>
      <c r="D132" s="1690">
        <f ca="1">SUM(D125:D131)</f>
        <v>0</v>
      </c>
      <c r="E132" s="469" t="s">
        <v>1169</v>
      </c>
      <c r="F132" s="1690">
        <f ca="1">SUM(F125:F131)</f>
        <v>0</v>
      </c>
      <c r="G132" s="468" t="s">
        <v>1169</v>
      </c>
      <c r="H132" s="468" t="s">
        <v>1169</v>
      </c>
      <c r="I132" s="468" t="s">
        <v>1169</v>
      </c>
      <c r="J132" s="468" t="s">
        <v>1169</v>
      </c>
      <c r="K132" s="468" t="s">
        <v>1169</v>
      </c>
    </row>
    <row r="133" spans="1:11" ht="15.75" customHeight="1" thickTop="1" x14ac:dyDescent="0.2">
      <c r="A133" s="1583" t="s">
        <v>250</v>
      </c>
      <c r="B133" s="1584"/>
      <c r="C133" s="548"/>
      <c r="D133" s="548"/>
      <c r="E133" s="506"/>
      <c r="F133" s="548"/>
      <c r="G133" s="468"/>
      <c r="H133" s="468"/>
      <c r="I133" s="468"/>
      <c r="J133" s="468"/>
      <c r="K133" s="468"/>
    </row>
    <row r="134" spans="1:11" x14ac:dyDescent="0.2">
      <c r="A134" s="463" t="s">
        <v>599</v>
      </c>
      <c r="B134" s="556">
        <v>3200</v>
      </c>
      <c r="C134" s="466">
        <f ca="1">ROUND(SUMIF(INDIRECT(Formulas!$B$1),MID(C$1,2,2)&amp;"-"&amp;LEFT($B134,4)&amp;"*-0*",INDIRECT(Formulas!$B$3)),0)</f>
        <v>0</v>
      </c>
      <c r="D134" s="466">
        <f ca="1">ROUND(SUMIF(INDIRECT(Formulas!$B$1),MID(D$1,2,2)&amp;"-"&amp;LEFT($B134,4)&amp;"*-0*",INDIRECT(Formulas!$B$3)),0)</f>
        <v>0</v>
      </c>
      <c r="E134" s="555"/>
      <c r="F134" s="468"/>
      <c r="G134" s="466">
        <f ca="1">ROUND(SUMIF(INDIRECT(Formulas!$B$1),MID(G$1,2,2)&amp;"-"&amp;LEFT($B134,4)&amp;"*-0*",INDIRECT(Formulas!$B$3)),0)</f>
        <v>0</v>
      </c>
      <c r="H134" s="468"/>
      <c r="I134" s="468"/>
      <c r="J134" s="468"/>
      <c r="K134" s="468"/>
    </row>
    <row r="135" spans="1:11" ht="12.75" customHeight="1" x14ac:dyDescent="0.2">
      <c r="A135" s="463" t="s">
        <v>669</v>
      </c>
      <c r="B135" s="556">
        <v>3220</v>
      </c>
      <c r="C135" s="466">
        <f ca="1">ROUND(SUMIF(INDIRECT(Formulas!$B$1),MID(C$1,2,2)&amp;"-"&amp;LEFT($B135,4)&amp;"*-0*",INDIRECT(Formulas!$B$3)),0)</f>
        <v>0</v>
      </c>
      <c r="D135" s="466">
        <f ca="1">ROUND(SUMIF(INDIRECT(Formulas!$B$1),MID(D$1,2,2)&amp;"-"&amp;LEFT($B135,4)&amp;"*-0*",INDIRECT(Formulas!$B$3)),0)</f>
        <v>0</v>
      </c>
      <c r="E135" s="555"/>
      <c r="F135" s="468"/>
      <c r="G135" s="466">
        <f ca="1">ROUND(SUMIF(INDIRECT(Formulas!$B$1),MID(G$1,2,2)&amp;"-"&amp;LEFT($B135,4)&amp;"*-0*",INDIRECT(Formulas!$B$3)),0)</f>
        <v>0</v>
      </c>
      <c r="H135" s="468"/>
      <c r="I135" s="468"/>
      <c r="J135" s="468"/>
      <c r="K135" s="468"/>
    </row>
    <row r="136" spans="1:11" ht="12.75" customHeight="1" x14ac:dyDescent="0.2">
      <c r="A136" s="463" t="s">
        <v>249</v>
      </c>
      <c r="B136" s="556">
        <v>3225</v>
      </c>
      <c r="C136" s="466">
        <f ca="1">ROUND(SUMIF(INDIRECT(Formulas!$B$1),MID(C$1,2,2)&amp;"-"&amp;LEFT($B136,4)&amp;"*-0*",INDIRECT(Formulas!$B$3)),0)</f>
        <v>0</v>
      </c>
      <c r="D136" s="466">
        <f ca="1">ROUND(SUMIF(INDIRECT(Formulas!$B$1),MID(D$1,2,2)&amp;"-"&amp;LEFT($B136,4)&amp;"*-0*",INDIRECT(Formulas!$B$3)),0)</f>
        <v>0</v>
      </c>
      <c r="E136" s="555"/>
      <c r="F136" s="468"/>
      <c r="G136" s="466">
        <f ca="1">ROUND(SUMIF(INDIRECT(Formulas!$B$1),MID(G$1,2,2)&amp;"-"&amp;LEFT($B136,4)&amp;"*-0*",INDIRECT(Formulas!$B$3)),0)</f>
        <v>0</v>
      </c>
      <c r="H136" s="468"/>
      <c r="I136" s="468"/>
      <c r="J136" s="468"/>
      <c r="K136" s="468"/>
    </row>
    <row r="137" spans="1:11" ht="12.75" customHeight="1" x14ac:dyDescent="0.2">
      <c r="A137" s="463" t="s">
        <v>600</v>
      </c>
      <c r="B137" s="556">
        <v>3235</v>
      </c>
      <c r="C137" s="466">
        <f ca="1">ROUND(SUMIF(INDIRECT(Formulas!$B$1),MID(C$1,2,2)&amp;"-"&amp;LEFT($B137,4)&amp;"*-0*",INDIRECT(Formulas!$B$3)),0)</f>
        <v>0</v>
      </c>
      <c r="D137" s="466">
        <f ca="1">ROUND(SUMIF(INDIRECT(Formulas!$B$1),MID(D$1,2,2)&amp;"-"&amp;LEFT($B137,4)&amp;"*-0*",INDIRECT(Formulas!$B$3)),0)</f>
        <v>0</v>
      </c>
      <c r="E137" s="555"/>
      <c r="F137" s="468"/>
      <c r="G137" s="466">
        <f ca="1">ROUND(SUMIF(INDIRECT(Formulas!$B$1),MID(G$1,2,2)&amp;"-"&amp;LEFT($B137,4)&amp;"*-0*",INDIRECT(Formulas!$B$3)),0)</f>
        <v>0</v>
      </c>
      <c r="H137" s="468"/>
      <c r="I137" s="468"/>
      <c r="J137" s="468"/>
      <c r="K137" s="468"/>
    </row>
    <row r="138" spans="1:11" ht="12.75" customHeight="1" x14ac:dyDescent="0.2">
      <c r="A138" s="463" t="s">
        <v>601</v>
      </c>
      <c r="B138" s="556">
        <v>3240</v>
      </c>
      <c r="C138" s="466">
        <f ca="1">ROUND(SUMIF(INDIRECT(Formulas!$B$1),MID(C$1,2,2)&amp;"-"&amp;LEFT($B138,4)&amp;"*-0*",INDIRECT(Formulas!$B$3)),0)</f>
        <v>0</v>
      </c>
      <c r="D138" s="466">
        <f ca="1">ROUND(SUMIF(INDIRECT(Formulas!$B$1),MID(D$1,2,2)&amp;"-"&amp;LEFT($B138,4)&amp;"*-0*",INDIRECT(Formulas!$B$3)),0)</f>
        <v>0</v>
      </c>
      <c r="E138" s="555"/>
      <c r="F138" s="468"/>
      <c r="G138" s="466">
        <f ca="1">ROUND(SUMIF(INDIRECT(Formulas!$B$1),MID(G$1,2,2)&amp;"-"&amp;LEFT($B138,4)&amp;"*-0*",INDIRECT(Formulas!$B$3)),0)</f>
        <v>0</v>
      </c>
      <c r="H138" s="468"/>
      <c r="I138" s="468"/>
      <c r="J138" s="468"/>
      <c r="K138" s="468"/>
    </row>
    <row r="139" spans="1:11" ht="12.75" customHeight="1" x14ac:dyDescent="0.2">
      <c r="A139" s="463" t="s">
        <v>602</v>
      </c>
      <c r="B139" s="556">
        <v>3270</v>
      </c>
      <c r="C139" s="466">
        <f ca="1">ROUND(SUMIF(INDIRECT(Formulas!$B$1),MID(C$1,2,2)&amp;"-"&amp;LEFT($B139,4)&amp;"*-0*",INDIRECT(Formulas!$B$3)),0)</f>
        <v>0</v>
      </c>
      <c r="D139" s="466">
        <f ca="1">ROUND(SUMIF(INDIRECT(Formulas!$B$1),MID(D$1,2,2)&amp;"-"&amp;LEFT($B139,4)&amp;"*-0*",INDIRECT(Formulas!$B$3)),0)</f>
        <v>0</v>
      </c>
      <c r="E139" s="555"/>
      <c r="F139" s="468"/>
      <c r="G139" s="466">
        <f ca="1">ROUND(SUMIF(INDIRECT(Formulas!$B$1),MID(G$1,2,2)&amp;"-"&amp;LEFT($B139,4)&amp;"*-0*",INDIRECT(Formulas!$B$3)),0)</f>
        <v>0</v>
      </c>
      <c r="H139" s="468"/>
      <c r="I139" s="468"/>
      <c r="J139" s="468"/>
      <c r="K139" s="468"/>
    </row>
    <row r="140" spans="1:11" ht="12.75" customHeight="1" x14ac:dyDescent="0.2">
      <c r="A140" s="463" t="s">
        <v>67</v>
      </c>
      <c r="B140" s="556">
        <v>3299</v>
      </c>
      <c r="C140" s="466">
        <f ca="1">ROUND(SUMIF(INDIRECT(Formulas!$B$1),MID(C$1,2,2)&amp;"-"&amp;LEFT($B140,4)&amp;"*-0*",INDIRECT(Formulas!$B$3)),0)</f>
        <v>0</v>
      </c>
      <c r="D140" s="466">
        <f ca="1">ROUND(SUMIF(INDIRECT(Formulas!$B$1),MID(D$1,2,2)&amp;"-"&amp;LEFT($B140,4)&amp;"*-0*",INDIRECT(Formulas!$B$3)),0)</f>
        <v>0</v>
      </c>
      <c r="E140" s="555"/>
      <c r="F140" s="476"/>
      <c r="G140" s="466">
        <f ca="1">ROUND(SUMIF(INDIRECT(Formulas!$B$1),MID(G$1,2,2)&amp;"-"&amp;LEFT($B140,4)&amp;"*-0*",INDIRECT(Formulas!$B$3)),0)</f>
        <v>0</v>
      </c>
      <c r="H140" s="468"/>
      <c r="I140" s="468"/>
      <c r="J140" s="468"/>
      <c r="K140" s="468"/>
    </row>
    <row r="141" spans="1:11" ht="12.75" customHeight="1" thickBot="1" x14ac:dyDescent="0.25">
      <c r="A141" s="1691" t="s">
        <v>603</v>
      </c>
      <c r="B141" s="1703"/>
      <c r="C141" s="1690">
        <f ca="1">SUM(C134:C140)</f>
        <v>0</v>
      </c>
      <c r="D141" s="1690">
        <f ca="1">SUM(D134:D140)</f>
        <v>0</v>
      </c>
      <c r="E141" s="555" t="s">
        <v>1169</v>
      </c>
      <c r="F141" s="476"/>
      <c r="G141" s="1690">
        <f ca="1">SUM(G134:G140)</f>
        <v>0</v>
      </c>
      <c r="H141" s="468" t="s">
        <v>1169</v>
      </c>
      <c r="I141" s="468" t="s">
        <v>1169</v>
      </c>
      <c r="J141" s="468" t="s">
        <v>1169</v>
      </c>
      <c r="K141" s="468" t="s">
        <v>1169</v>
      </c>
    </row>
    <row r="142" spans="1:11" ht="15.75" customHeight="1" thickTop="1" x14ac:dyDescent="0.2">
      <c r="A142" s="1583" t="s">
        <v>670</v>
      </c>
      <c r="B142" s="1584"/>
      <c r="C142" s="548"/>
      <c r="D142" s="560"/>
      <c r="E142" s="555"/>
      <c r="F142" s="548"/>
      <c r="G142" s="548"/>
      <c r="H142" s="468"/>
      <c r="I142" s="468"/>
      <c r="J142" s="468"/>
      <c r="K142" s="468"/>
    </row>
    <row r="143" spans="1:11" ht="12.75" customHeight="1" x14ac:dyDescent="0.2">
      <c r="A143" s="463" t="s">
        <v>604</v>
      </c>
      <c r="B143" s="556">
        <v>3305</v>
      </c>
      <c r="C143" s="466">
        <f ca="1">ROUND(SUMIF(INDIRECT(Formulas!$B$1),MID(C$1,2,2)&amp;"-"&amp;LEFT($B143,4)&amp;"*-0*",INDIRECT(Formulas!$B$3)),0)</f>
        <v>0</v>
      </c>
      <c r="D143" s="468"/>
      <c r="E143" s="555"/>
      <c r="F143" s="468"/>
      <c r="G143" s="466">
        <f ca="1">ROUND(SUMIF(INDIRECT(Formulas!$B$1),MID(G$1,2,2)&amp;"-"&amp;LEFT($B143,4)&amp;"*-0*",INDIRECT(Formulas!$B$3)),0)</f>
        <v>0</v>
      </c>
      <c r="H143" s="468"/>
      <c r="I143" s="468"/>
      <c r="J143" s="468"/>
      <c r="K143" s="468"/>
    </row>
    <row r="144" spans="1:11" ht="12.75" customHeight="1" x14ac:dyDescent="0.2">
      <c r="A144" s="463" t="s">
        <v>347</v>
      </c>
      <c r="B144" s="556">
        <v>3310</v>
      </c>
      <c r="C144" s="466">
        <f ca="1">ROUND(SUMIF(INDIRECT(Formulas!$B$1),MID(C$1,2,2)&amp;"-"&amp;LEFT($B144,4)&amp;"*-0*",INDIRECT(Formulas!$B$3)),0)</f>
        <v>0</v>
      </c>
      <c r="D144" s="468"/>
      <c r="E144" s="555"/>
      <c r="F144" s="468"/>
      <c r="G144" s="466">
        <f ca="1">ROUND(SUMIF(INDIRECT(Formulas!$B$1),MID(G$1,2,2)&amp;"-"&amp;LEFT($B144,4)&amp;"*-0*",INDIRECT(Formulas!$B$3)),0)</f>
        <v>0</v>
      </c>
      <c r="H144" s="468"/>
      <c r="I144" s="468"/>
      <c r="J144" s="468"/>
      <c r="K144" s="468"/>
    </row>
    <row r="145" spans="1:11" s="202" customFormat="1" ht="13.5" thickBot="1" x14ac:dyDescent="0.25">
      <c r="A145" s="1691" t="s">
        <v>396</v>
      </c>
      <c r="B145" s="1703"/>
      <c r="C145" s="1671">
        <f ca="1">SUM(C143:C144)</f>
        <v>0</v>
      </c>
      <c r="D145" s="468"/>
      <c r="E145" s="506"/>
      <c r="F145" s="468"/>
      <c r="G145" s="1704">
        <f ca="1">SUM(G143:G144)</f>
        <v>0</v>
      </c>
      <c r="H145" s="468"/>
      <c r="I145" s="468"/>
      <c r="J145" s="468"/>
      <c r="K145" s="468"/>
    </row>
    <row r="146" spans="1:11" s="202" customFormat="1" ht="12.75" customHeight="1" thickTop="1" x14ac:dyDescent="0.2">
      <c r="A146" s="1481" t="s">
        <v>1056</v>
      </c>
      <c r="B146" s="562">
        <v>3360</v>
      </c>
      <c r="C146" s="466">
        <f ca="1">ROUND(SUMIF(INDIRECT(Formulas!$B$1),MID(C$1,2,2)&amp;"-"&amp;LEFT($B146,4)&amp;"*-0*",INDIRECT(Formulas!$B$3)),0)</f>
        <v>644</v>
      </c>
      <c r="D146" s="564"/>
      <c r="E146" s="506"/>
      <c r="F146" s="468"/>
      <c r="G146" s="565"/>
      <c r="H146" s="468"/>
      <c r="I146" s="468"/>
      <c r="J146" s="468"/>
      <c r="K146" s="468"/>
    </row>
    <row r="147" spans="1:11" ht="12.75" customHeight="1" thickBot="1" x14ac:dyDescent="0.25">
      <c r="A147" s="1482" t="s">
        <v>922</v>
      </c>
      <c r="B147" s="566">
        <v>3365</v>
      </c>
      <c r="C147" s="466">
        <f ca="1">ROUND(SUMIF(INDIRECT(Formulas!$B$1),MID(C$1,2,2)&amp;"-"&amp;LEFT($B147,4)&amp;"*-0*",INDIRECT(Formulas!$B$3)),0)</f>
        <v>0</v>
      </c>
      <c r="D147" s="466">
        <f ca="1">ROUND(SUMIF(INDIRECT(Formulas!$B$1),MID(D$1,2,2)&amp;"-"&amp;LEFT($B147,4)&amp;"*-0*",INDIRECT(Formulas!$B$3)),0)</f>
        <v>0</v>
      </c>
      <c r="E147" s="555"/>
      <c r="F147" s="468"/>
      <c r="G147" s="466">
        <f ca="1">ROUND(SUMIF(INDIRECT(Formulas!$B$1),MID(G$1,2,2)&amp;"-"&amp;LEFT($B147,4)&amp;"*-0*",INDIRECT(Formulas!$B$3)),0)</f>
        <v>0</v>
      </c>
      <c r="H147" s="468"/>
      <c r="I147" s="468"/>
      <c r="J147" s="468"/>
      <c r="K147" s="468"/>
    </row>
    <row r="148" spans="1:11" ht="12.75" customHeight="1" thickTop="1" thickBot="1" x14ac:dyDescent="0.25">
      <c r="A148" s="1483" t="s">
        <v>138</v>
      </c>
      <c r="B148" s="568">
        <v>3370</v>
      </c>
      <c r="C148" s="466">
        <f ca="1">ROUND(SUMIF(INDIRECT(Formulas!$B$1),MID(C$1,2,2)&amp;"-"&amp;LEFT($B148,4)&amp;"*-0*",INDIRECT(Formulas!$B$3)),0)</f>
        <v>0</v>
      </c>
      <c r="D148" s="466">
        <f ca="1">ROUND(SUMIF(INDIRECT(Formulas!$B$1),MID(D$1,2,2)&amp;"-"&amp;LEFT($B148,4)&amp;"*-0*",INDIRECT(Formulas!$B$3)),0)</f>
        <v>0</v>
      </c>
      <c r="E148" s="506"/>
      <c r="F148" s="468"/>
      <c r="G148" s="468"/>
      <c r="H148" s="468"/>
      <c r="I148" s="468"/>
      <c r="J148" s="468"/>
      <c r="K148" s="468"/>
    </row>
    <row r="149" spans="1:11" ht="12.75" customHeight="1" thickTop="1" thickBot="1" x14ac:dyDescent="0.25">
      <c r="A149" s="1483" t="s">
        <v>767</v>
      </c>
      <c r="B149" s="568">
        <v>3410</v>
      </c>
      <c r="C149" s="466">
        <f ca="1">ROUND(SUMIF(INDIRECT(Formulas!$B$1),MID(C$1,2,2)&amp;"-"&amp;LEFT($B149,4)&amp;"*-0*",INDIRECT(Formulas!$B$3)),0)</f>
        <v>0</v>
      </c>
      <c r="D149" s="466">
        <f ca="1">ROUND(SUMIF(INDIRECT(Formulas!$B$1),MID(D$1,2,2)&amp;"-"&amp;LEFT($B149,4)&amp;"*-0*",INDIRECT(Formulas!$B$3)),0)</f>
        <v>0</v>
      </c>
      <c r="E149" s="466">
        <f ca="1">ROUND(SUMIF(INDIRECT(Formulas!$B$1),MID(E$1,2,2)&amp;"-"&amp;LEFT($B149,4)&amp;"*-0*",INDIRECT(Formulas!$B$3)),0)</f>
        <v>0</v>
      </c>
      <c r="F149" s="466">
        <f ca="1">ROUND(SUMIF(INDIRECT(Formulas!$B$1),MID(F$1,2,2)&amp;"-"&amp;LEFT($B149,4)&amp;"*-0*",INDIRECT(Formulas!$B$3)),0)</f>
        <v>0</v>
      </c>
      <c r="G149" s="466">
        <f ca="1">ROUND(SUMIF(INDIRECT(Formulas!$B$1),MID(G$1,2,2)&amp;"-"&amp;LEFT($B149,4)&amp;"*-0*",INDIRECT(Formulas!$B$3)),0)</f>
        <v>0</v>
      </c>
      <c r="H149" s="466">
        <f ca="1">ROUND(SUMIF(INDIRECT(Formulas!$B$1),MID(H$1,2,2)&amp;"-"&amp;LEFT($B149,4)&amp;"*-0*",INDIRECT(Formulas!$B$3)),0)</f>
        <v>0</v>
      </c>
      <c r="I149" s="466">
        <f ca="1">ROUND(SUMIF(INDIRECT(Formulas!$B$1),MID(I$1,2,2)&amp;"-"&amp;LEFT($B149,4)&amp;"*-0*",INDIRECT(Formulas!$B$3)),0)</f>
        <v>0</v>
      </c>
      <c r="J149" s="466">
        <f ca="1">ROUND(SUMIF(INDIRECT(Formulas!$B$1),MID(J$1,2,2)&amp;"-"&amp;LEFT($B149,4)&amp;"*-0*",INDIRECT(Formulas!$B$3)),0)</f>
        <v>0</v>
      </c>
      <c r="K149" s="466">
        <f ca="1">ROUND(SUMIF(INDIRECT(Formulas!$B$1),MID(K$1,2,2)&amp;"-"&amp;LEFT($B149,4)&amp;"*-0*",INDIRECT(Formulas!$B$3)),0)</f>
        <v>0</v>
      </c>
    </row>
    <row r="150" spans="1:11" ht="12.75" customHeight="1" thickTop="1" thickBot="1" x14ac:dyDescent="0.25">
      <c r="A150" s="1483" t="s">
        <v>68</v>
      </c>
      <c r="B150" s="568">
        <v>3499</v>
      </c>
      <c r="C150" s="466">
        <f ca="1">ROUND(SUMIF(INDIRECT(Formulas!$B$1),MID(C$1,2,2)&amp;"-"&amp;LEFT($B150,4)&amp;"*-0*",INDIRECT(Formulas!$B$3)),0)</f>
        <v>0</v>
      </c>
      <c r="D150" s="466">
        <f ca="1">ROUND(SUMIF(INDIRECT(Formulas!$B$1),MID(D$1,2,2)&amp;"-"&amp;LEFT($B150,4)&amp;"*-0*",INDIRECT(Formulas!$B$3)),0)</f>
        <v>0</v>
      </c>
      <c r="E150" s="466">
        <f ca="1">ROUND(SUMIF(INDIRECT(Formulas!$B$1),MID(E$1,2,2)&amp;"-"&amp;LEFT($B150,4)&amp;"*-0*",INDIRECT(Formulas!$B$3)),0)</f>
        <v>0</v>
      </c>
      <c r="F150" s="466">
        <f ca="1">ROUND(SUMIF(INDIRECT(Formulas!$B$1),MID(F$1,2,2)&amp;"-"&amp;LEFT($B150,4)&amp;"*-0*",INDIRECT(Formulas!$B$3)),0)</f>
        <v>0</v>
      </c>
      <c r="G150" s="466">
        <f ca="1">ROUND(SUMIF(INDIRECT(Formulas!$B$1),MID(G$1,2,2)&amp;"-"&amp;LEFT($B150,4)&amp;"*-0*",INDIRECT(Formulas!$B$3)),0)</f>
        <v>0</v>
      </c>
      <c r="H150" s="466">
        <f ca="1">ROUND(SUMIF(INDIRECT(Formulas!$B$1),MID(H$1,2,2)&amp;"-"&amp;LEFT($B150,4)&amp;"*-0*",INDIRECT(Formulas!$B$3)),0)</f>
        <v>0</v>
      </c>
      <c r="I150" s="466">
        <f ca="1">ROUND(SUMIF(INDIRECT(Formulas!$B$1),MID(I$1,2,2)&amp;"-"&amp;LEFT($B150,4)&amp;"*-0*",INDIRECT(Formulas!$B$3)),0)</f>
        <v>0</v>
      </c>
      <c r="J150" s="466">
        <f ca="1">ROUND(SUMIF(INDIRECT(Formulas!$B$1),MID(J$1,2,2)&amp;"-"&amp;LEFT($B150,4)&amp;"*-0*",INDIRECT(Formulas!$B$3)),0)</f>
        <v>0</v>
      </c>
      <c r="K150" s="466">
        <f ca="1">ROUND(SUMIF(INDIRECT(Formulas!$B$1),MID(K$1,2,2)&amp;"-"&amp;LEFT($B150,4)&amp;"*-0*",INDIRECT(Formulas!$B$3)),0)</f>
        <v>0</v>
      </c>
    </row>
    <row r="151" spans="1:11" ht="15.75" customHeight="1" thickTop="1" x14ac:dyDescent="0.2">
      <c r="A151" s="1583" t="s">
        <v>453</v>
      </c>
      <c r="B151" s="1585"/>
      <c r="C151" s="548"/>
      <c r="D151" s="468"/>
      <c r="E151" s="555"/>
      <c r="F151" s="468"/>
      <c r="G151" s="468"/>
      <c r="H151" s="468"/>
      <c r="I151" s="468"/>
      <c r="J151" s="468"/>
      <c r="K151" s="468"/>
    </row>
    <row r="152" spans="1:11" ht="12.75" customHeight="1" x14ac:dyDescent="0.2">
      <c r="A152" s="463" t="s">
        <v>1448</v>
      </c>
      <c r="B152" s="556">
        <v>3500</v>
      </c>
      <c r="C152" s="466">
        <f ca="1">ROUND(SUMIF(INDIRECT(Formulas!$B$1),MID(C$1,2,2)&amp;"-"&amp;LEFT($B152,4)&amp;"*-0*",INDIRECT(Formulas!$B$3)),0)</f>
        <v>0</v>
      </c>
      <c r="D152" s="466">
        <f ca="1">ROUND(SUMIF(INDIRECT(Formulas!$B$1),MID(D$1,2,2)&amp;"-"&amp;LEFT($B152,4)&amp;"*-0*",INDIRECT(Formulas!$B$3)),0)</f>
        <v>0</v>
      </c>
      <c r="E152" s="555"/>
      <c r="F152" s="466">
        <f ca="1">ROUND(SUMIF(INDIRECT(Formulas!$B$1),MID(F$1,2,2)&amp;"-"&amp;LEFT($B152,4)&amp;"*-0*",INDIRECT(Formulas!$B$3)),0)</f>
        <v>41248</v>
      </c>
      <c r="G152" s="466">
        <f ca="1">ROUND(SUMIF(INDIRECT(Formulas!$B$1),MID(G$1,2,2)&amp;"-"&amp;LEFT($B152,4)&amp;"*-0*",INDIRECT(Formulas!$B$3)),0)</f>
        <v>0</v>
      </c>
      <c r="H152" s="468"/>
      <c r="I152" s="468"/>
      <c r="J152" s="468"/>
      <c r="K152" s="468"/>
    </row>
    <row r="153" spans="1:11" ht="12.75" customHeight="1" x14ac:dyDescent="0.2">
      <c r="A153" s="463" t="s">
        <v>1057</v>
      </c>
      <c r="B153" s="556">
        <v>3510</v>
      </c>
      <c r="C153" s="466">
        <f ca="1">ROUND(SUMIF(INDIRECT(Formulas!$B$1),MID(C$1,2,2)&amp;"-"&amp;LEFT($B153,4)&amp;"*-0*",INDIRECT(Formulas!$B$3)),0)</f>
        <v>0</v>
      </c>
      <c r="D153" s="466">
        <f ca="1">ROUND(SUMIF(INDIRECT(Formulas!$B$1),MID(D$1,2,2)&amp;"-"&amp;LEFT($B153,4)&amp;"*-0*",INDIRECT(Formulas!$B$3)),0)</f>
        <v>0</v>
      </c>
      <c r="E153" s="555"/>
      <c r="F153" s="466">
        <f ca="1">ROUND(SUMIF(INDIRECT(Formulas!$B$1),MID(F$1,2,2)&amp;"-"&amp;LEFT($B153,4)&amp;"*-0*",INDIRECT(Formulas!$B$3)),0)</f>
        <v>28194</v>
      </c>
      <c r="G153" s="466">
        <f ca="1">ROUND(SUMIF(INDIRECT(Formulas!$B$1),MID(G$1,2,2)&amp;"-"&amp;LEFT($B153,4)&amp;"*-0*",INDIRECT(Formulas!$B$3)),0)</f>
        <v>0</v>
      </c>
      <c r="H153" s="468"/>
      <c r="I153" s="468"/>
      <c r="J153" s="468"/>
      <c r="K153" s="468"/>
    </row>
    <row r="154" spans="1:11" ht="12.75" customHeight="1" x14ac:dyDescent="0.2">
      <c r="A154" s="463" t="s">
        <v>69</v>
      </c>
      <c r="B154" s="556">
        <v>3599</v>
      </c>
      <c r="C154" s="466">
        <f ca="1">ROUND(SUMIF(INDIRECT(Formulas!$B$1),MID(C$1,2,2)&amp;"-"&amp;LEFT($B154,4)&amp;"*-0*",INDIRECT(Formulas!$B$3)),0)</f>
        <v>0</v>
      </c>
      <c r="D154" s="466">
        <f ca="1">ROUND(SUMIF(INDIRECT(Formulas!$B$1),MID(D$1,2,2)&amp;"-"&amp;LEFT($B154,4)&amp;"*-0*",INDIRECT(Formulas!$B$3)),0)</f>
        <v>0</v>
      </c>
      <c r="E154" s="555"/>
      <c r="F154" s="466">
        <f ca="1">ROUND(SUMIF(INDIRECT(Formulas!$B$1),MID(F$1,2,2)&amp;"-"&amp;LEFT($B154,4)&amp;"*-0*",INDIRECT(Formulas!$B$3)),0)</f>
        <v>0</v>
      </c>
      <c r="G154" s="466">
        <f ca="1">ROUND(SUMIF(INDIRECT(Formulas!$B$1),MID(G$1,2,2)&amp;"-"&amp;LEFT($B154,4)&amp;"*-0*",INDIRECT(Formulas!$B$3)),0)</f>
        <v>0</v>
      </c>
      <c r="H154" s="468"/>
      <c r="I154" s="468"/>
      <c r="J154" s="468"/>
      <c r="K154" s="468"/>
    </row>
    <row r="155" spans="1:11" ht="12.75" customHeight="1" thickBot="1" x14ac:dyDescent="0.25">
      <c r="A155" s="1691" t="s">
        <v>94</v>
      </c>
      <c r="B155" s="1703"/>
      <c r="C155" s="1690">
        <f ca="1">SUM(C152:C154)</f>
        <v>0</v>
      </c>
      <c r="D155" s="1690">
        <f ca="1">SUM(D152:D154)</f>
        <v>0</v>
      </c>
      <c r="E155" s="555"/>
      <c r="F155" s="1690">
        <f ca="1">SUM(F152:F154)</f>
        <v>69442</v>
      </c>
      <c r="G155" s="1690">
        <f ca="1">SUM(G152:G154)</f>
        <v>0</v>
      </c>
      <c r="H155" s="468"/>
      <c r="I155" s="468"/>
      <c r="J155" s="468"/>
      <c r="K155" s="468"/>
    </row>
    <row r="156" spans="1:11" ht="12.75" customHeight="1" thickTop="1" thickBot="1" x14ac:dyDescent="0.25">
      <c r="A156" s="1483" t="s">
        <v>380</v>
      </c>
      <c r="B156" s="568">
        <v>3610</v>
      </c>
      <c r="C156" s="466">
        <f ca="1">ROUND(SUMIF(INDIRECT(Formulas!$B$1),MID(C$1,2,2)&amp;"-"&amp;LEFT($B156,4)&amp;"*-0*",INDIRECT(Formulas!$B$3)),0)</f>
        <v>0</v>
      </c>
      <c r="D156" s="468"/>
      <c r="E156" s="506"/>
      <c r="F156" s="468"/>
      <c r="G156" s="468"/>
      <c r="H156" s="468"/>
      <c r="I156" s="468"/>
      <c r="J156" s="468"/>
      <c r="K156" s="468"/>
    </row>
    <row r="157" spans="1:11" ht="12.75" customHeight="1" thickTop="1" thickBot="1" x14ac:dyDescent="0.25">
      <c r="A157" s="1483" t="s">
        <v>50</v>
      </c>
      <c r="B157" s="568">
        <v>3660</v>
      </c>
      <c r="C157" s="466">
        <f ca="1">ROUND(SUMIF(INDIRECT(Formulas!$B$1),MID(C$1,2,2)&amp;"-"&amp;LEFT($B157,4)&amp;"*-0*",INDIRECT(Formulas!$B$3)),0)</f>
        <v>0</v>
      </c>
      <c r="D157" s="466">
        <f ca="1">ROUND(SUMIF(INDIRECT(Formulas!$B$1),MID(D$1,2,2)&amp;"-"&amp;LEFT($B157,4)&amp;"*-0*",INDIRECT(Formulas!$B$3)),0)</f>
        <v>0</v>
      </c>
      <c r="E157" s="555"/>
      <c r="F157" s="466">
        <f ca="1">ROUND(SUMIF(INDIRECT(Formulas!$B$1),MID(F$1,2,2)&amp;"-"&amp;LEFT($B157,4)&amp;"*-0*",INDIRECT(Formulas!$B$3)),0)</f>
        <v>0</v>
      </c>
      <c r="G157" s="466">
        <f ca="1">ROUND(SUMIF(INDIRECT(Formulas!$B$1),MID(G$1,2,2)&amp;"-"&amp;LEFT($B157,4)&amp;"*-0*",INDIRECT(Formulas!$B$3)),0)</f>
        <v>0</v>
      </c>
      <c r="H157" s="468"/>
      <c r="I157" s="468"/>
      <c r="J157" s="468"/>
      <c r="K157" s="468"/>
    </row>
    <row r="158" spans="1:11" ht="12.75" customHeight="1" thickTop="1" thickBot="1" x14ac:dyDescent="0.25">
      <c r="A158" s="1483" t="s">
        <v>1000</v>
      </c>
      <c r="B158" s="568">
        <v>3695</v>
      </c>
      <c r="C158" s="466">
        <f ca="1">ROUND(SUMIF(INDIRECT(Formulas!$B$1),MID(C$1,2,2)&amp;"-"&amp;LEFT($B158,4)&amp;"*-0*",INDIRECT(Formulas!$B$3)),0)</f>
        <v>0</v>
      </c>
      <c r="D158" s="468"/>
      <c r="E158" s="555"/>
      <c r="F158" s="466">
        <f ca="1">ROUND(SUMIF(INDIRECT(Formulas!$B$1),MID(F$1,2,2)&amp;"-"&amp;LEFT($B158,4)&amp;"*-0*",INDIRECT(Formulas!$B$3)),0)</f>
        <v>0</v>
      </c>
      <c r="G158" s="466">
        <f ca="1">ROUND(SUMIF(INDIRECT(Formulas!$B$1),MID(G$1,2,2)&amp;"-"&amp;LEFT($B158,4)&amp;"*-0*",INDIRECT(Formulas!$B$3)),0)</f>
        <v>0</v>
      </c>
      <c r="H158" s="468"/>
      <c r="I158" s="468"/>
      <c r="J158" s="468"/>
      <c r="K158" s="468"/>
    </row>
    <row r="159" spans="1:11" ht="12.75" customHeight="1" thickTop="1" thickBot="1" x14ac:dyDescent="0.25">
      <c r="A159" s="1483" t="s">
        <v>1051</v>
      </c>
      <c r="B159" s="568">
        <v>3705</v>
      </c>
      <c r="C159" s="466">
        <f ca="1">ROUND(SUMIF(INDIRECT(Formulas!$B$1),MID(C$1,2,2)&amp;"-"&amp;LEFT($B159,4)&amp;"*-0*",INDIRECT(Formulas!$B$3)),0)</f>
        <v>92808</v>
      </c>
      <c r="D159" s="466">
        <f ca="1">ROUND(SUMIF(INDIRECT(Formulas!$B$1),MID(D$1,2,2)&amp;"-"&amp;LEFT($B159,4)&amp;"*-0*",INDIRECT(Formulas!$B$3)),0)</f>
        <v>0</v>
      </c>
      <c r="E159" s="555"/>
      <c r="F159" s="466">
        <f ca="1">ROUND(SUMIF(INDIRECT(Formulas!$B$1),MID(F$1,2,2)&amp;"-"&amp;LEFT($B159,4)&amp;"*-0*",INDIRECT(Formulas!$B$3)),0)</f>
        <v>0</v>
      </c>
      <c r="G159" s="466">
        <f ca="1">ROUND(SUMIF(INDIRECT(Formulas!$B$1),MID(G$1,2,2)&amp;"-"&amp;LEFT($B159,4)&amp;"*-0*",INDIRECT(Formulas!$B$3)),0)</f>
        <v>0</v>
      </c>
      <c r="H159" s="468"/>
      <c r="I159" s="468"/>
      <c r="J159" s="468"/>
      <c r="K159" s="468"/>
    </row>
    <row r="160" spans="1:11" ht="12.75" customHeight="1" thickTop="1" thickBot="1" x14ac:dyDescent="0.25">
      <c r="A160" s="1483" t="s">
        <v>39</v>
      </c>
      <c r="B160" s="568">
        <v>3766</v>
      </c>
      <c r="C160" s="466">
        <f ca="1">ROUND(SUMIF(INDIRECT(Formulas!$B$1),MID(C$1,2,2)&amp;"-"&amp;LEFT($B160,4)&amp;"*-0*",INDIRECT(Formulas!$B$3)),0)</f>
        <v>0</v>
      </c>
      <c r="D160" s="466">
        <f ca="1">ROUND(SUMIF(INDIRECT(Formulas!$B$1),MID(D$1,2,2)&amp;"-"&amp;LEFT($B160,4)&amp;"*-0*",INDIRECT(Formulas!$B$3)),0)</f>
        <v>0</v>
      </c>
      <c r="E160" s="555"/>
      <c r="F160" s="466">
        <f ca="1">ROUND(SUMIF(INDIRECT(Formulas!$B$1),MID(F$1,2,2)&amp;"-"&amp;LEFT($B160,4)&amp;"*-0*",INDIRECT(Formulas!$B$3)),0)</f>
        <v>0</v>
      </c>
      <c r="G160" s="466">
        <f ca="1">ROUND(SUMIF(INDIRECT(Formulas!$B$1),MID(G$1,2,2)&amp;"-"&amp;LEFT($B160,4)&amp;"*-0*",INDIRECT(Formulas!$B$3)),0)</f>
        <v>0</v>
      </c>
      <c r="H160" s="468"/>
      <c r="I160" s="468"/>
      <c r="J160" s="468"/>
      <c r="K160" s="468"/>
    </row>
    <row r="161" spans="1:11" ht="12.75" customHeight="1" thickTop="1" thickBot="1" x14ac:dyDescent="0.25">
      <c r="A161" s="1483" t="s">
        <v>985</v>
      </c>
      <c r="B161" s="568">
        <v>3767</v>
      </c>
      <c r="C161" s="466">
        <f ca="1">ROUND(SUMIF(INDIRECT(Formulas!$B$1),MID(C$1,2,2)&amp;"-"&amp;LEFT($B161,4)&amp;"*-0*",INDIRECT(Formulas!$B$3)),0)</f>
        <v>0</v>
      </c>
      <c r="D161" s="466">
        <f ca="1">ROUND(SUMIF(INDIRECT(Formulas!$B$1),MID(D$1,2,2)&amp;"-"&amp;LEFT($B161,4)&amp;"*-0*",INDIRECT(Formulas!$B$3)),0)</f>
        <v>0</v>
      </c>
      <c r="E161" s="555"/>
      <c r="F161" s="466">
        <f ca="1">ROUND(SUMIF(INDIRECT(Formulas!$B$1),MID(F$1,2,2)&amp;"-"&amp;LEFT($B161,4)&amp;"*-0*",INDIRECT(Formulas!$B$3)),0)</f>
        <v>0</v>
      </c>
      <c r="G161" s="466">
        <f ca="1">ROUND(SUMIF(INDIRECT(Formulas!$B$1),MID(G$1,2,2)&amp;"-"&amp;LEFT($B161,4)&amp;"*-0*",INDIRECT(Formulas!$B$3)),0)</f>
        <v>0</v>
      </c>
      <c r="H161" s="468"/>
      <c r="I161" s="468"/>
      <c r="J161" s="468"/>
      <c r="K161" s="468"/>
    </row>
    <row r="162" spans="1:11" ht="12.75" customHeight="1" thickTop="1" thickBot="1" x14ac:dyDescent="0.25">
      <c r="A162" s="1483" t="s">
        <v>986</v>
      </c>
      <c r="B162" s="568">
        <v>3775</v>
      </c>
      <c r="C162" s="466">
        <f ca="1">ROUND(SUMIF(INDIRECT(Formulas!$B$1),MID(C$1,2,2)&amp;"-"&amp;LEFT($B162,4)&amp;"*-0*",INDIRECT(Formulas!$B$3)),0)</f>
        <v>0</v>
      </c>
      <c r="D162" s="466">
        <f ca="1">ROUND(SUMIF(INDIRECT(Formulas!$B$1),MID(D$1,2,2)&amp;"-"&amp;LEFT($B162,4)&amp;"*-0*",INDIRECT(Formulas!$B$3)),0)</f>
        <v>0</v>
      </c>
      <c r="E162" s="466">
        <f ca="1">ROUND(SUMIF(INDIRECT(Formulas!$B$1),MID(E$1,2,2)&amp;"-"&amp;LEFT($B162,4)&amp;"*-0*",INDIRECT(Formulas!$B$3)),0)</f>
        <v>0</v>
      </c>
      <c r="F162" s="466">
        <f ca="1">ROUND(SUMIF(INDIRECT(Formulas!$B$1),MID(F$1,2,2)&amp;"-"&amp;LEFT($B162,4)&amp;"*-0*",INDIRECT(Formulas!$B$3)),0)</f>
        <v>0</v>
      </c>
      <c r="G162" s="466">
        <f ca="1">ROUND(SUMIF(INDIRECT(Formulas!$B$1),MID(G$1,2,2)&amp;"-"&amp;LEFT($B162,4)&amp;"*-0*",INDIRECT(Formulas!$B$3)),0)</f>
        <v>0</v>
      </c>
      <c r="H162" s="466">
        <f ca="1">ROUND(SUMIF(INDIRECT(Formulas!$B$1),MID(H$1,2,2)&amp;"-"&amp;LEFT($B162,4)&amp;"*-0*",INDIRECT(Formulas!$B$3)),0)</f>
        <v>0</v>
      </c>
      <c r="I162" s="468"/>
      <c r="J162" s="468"/>
      <c r="K162" s="466">
        <f ca="1">ROUND(SUMIF(INDIRECT(Formulas!$B$1),MID(K$1,2,2)&amp;"-"&amp;LEFT($B162,4)&amp;"*-0*",INDIRECT(Formulas!$B$3)),0)</f>
        <v>0</v>
      </c>
    </row>
    <row r="163" spans="1:11" ht="12.75" customHeight="1" thickTop="1" thickBot="1" x14ac:dyDescent="0.25">
      <c r="A163" s="1483" t="s">
        <v>1449</v>
      </c>
      <c r="B163" s="568">
        <v>3780</v>
      </c>
      <c r="C163" s="466">
        <f ca="1">ROUND(SUMIF(INDIRECT(Formulas!$B$1),MID(C$1,2,2)&amp;"-"&amp;LEFT($B163,4)&amp;"*-0*",INDIRECT(Formulas!$B$3)),0)</f>
        <v>0</v>
      </c>
      <c r="D163" s="466">
        <f ca="1">ROUND(SUMIF(INDIRECT(Formulas!$B$1),MID(D$1,2,2)&amp;"-"&amp;LEFT($B163,4)&amp;"*-0*",INDIRECT(Formulas!$B$3)),0)</f>
        <v>0</v>
      </c>
      <c r="E163" s="466">
        <f ca="1">ROUND(SUMIF(INDIRECT(Formulas!$B$1),MID(E$1,2,2)&amp;"-"&amp;LEFT($B163,4)&amp;"*-0*",INDIRECT(Formulas!$B$3)),0)</f>
        <v>0</v>
      </c>
      <c r="F163" s="466">
        <f ca="1">ROUND(SUMIF(INDIRECT(Formulas!$B$1),MID(F$1,2,2)&amp;"-"&amp;LEFT($B163,4)&amp;"*-0*",INDIRECT(Formulas!$B$3)),0)</f>
        <v>0</v>
      </c>
      <c r="G163" s="466">
        <f ca="1">ROUND(SUMIF(INDIRECT(Formulas!$B$1),MID(G$1,2,2)&amp;"-"&amp;LEFT($B163,4)&amp;"*-0*",INDIRECT(Formulas!$B$3)),0)</f>
        <v>0</v>
      </c>
      <c r="H163" s="466">
        <f ca="1">ROUND(SUMIF(INDIRECT(Formulas!$B$1),MID(H$1,2,2)&amp;"-"&amp;LEFT($B163,4)&amp;"*-0*",INDIRECT(Formulas!$B$3)),0)</f>
        <v>0</v>
      </c>
      <c r="I163" s="468"/>
      <c r="J163" s="468"/>
      <c r="K163" s="466">
        <f ca="1">ROUND(SUMIF(INDIRECT(Formulas!$B$1),MID(K$1,2,2)&amp;"-"&amp;LEFT($B163,4)&amp;"*-0*",INDIRECT(Formulas!$B$3)),0)</f>
        <v>0</v>
      </c>
    </row>
    <row r="164" spans="1:11" ht="12.75" customHeight="1" thickTop="1" thickBot="1" x14ac:dyDescent="0.25">
      <c r="A164" s="1483" t="s">
        <v>858</v>
      </c>
      <c r="B164" s="568">
        <v>3815</v>
      </c>
      <c r="C164" s="466">
        <f ca="1">ROUND(SUMIF(INDIRECT(Formulas!$B$1),MID(C$1,2,2)&amp;"-"&amp;LEFT($B164,4)&amp;"*-0*",INDIRECT(Formulas!$B$3)),0)</f>
        <v>0</v>
      </c>
      <c r="D164" s="468"/>
      <c r="E164" s="555"/>
      <c r="F164" s="466">
        <f ca="1">ROUND(SUMIF(INDIRECT(Formulas!$B$1),MID(F$1,2,2)&amp;"-"&amp;LEFT($B164,4)&amp;"*-0*",INDIRECT(Formulas!$B$3)),0)</f>
        <v>0</v>
      </c>
      <c r="G164" s="468"/>
      <c r="H164" s="468"/>
      <c r="I164" s="468"/>
      <c r="J164" s="468"/>
      <c r="K164" s="468"/>
    </row>
    <row r="165" spans="1:11" ht="12.75" customHeight="1" thickTop="1" thickBot="1" x14ac:dyDescent="0.25">
      <c r="A165" s="1483" t="s">
        <v>397</v>
      </c>
      <c r="B165" s="568">
        <v>3825</v>
      </c>
      <c r="C165" s="466">
        <f ca="1">ROUND(SUMIF(INDIRECT(Formulas!$B$1),MID(C$1,2,2)&amp;"-"&amp;LEFT($B165,4)&amp;"*-0*",INDIRECT(Formulas!$B$3)),0)</f>
        <v>0</v>
      </c>
      <c r="D165" s="468"/>
      <c r="E165" s="555"/>
      <c r="F165" s="466">
        <f ca="1">ROUND(SUMIF(INDIRECT(Formulas!$B$1),MID(F$1,2,2)&amp;"-"&amp;LEFT($B165,4)&amp;"*-0*",INDIRECT(Formulas!$B$3)),0)</f>
        <v>0</v>
      </c>
      <c r="G165" s="468"/>
      <c r="H165" s="468"/>
      <c r="I165" s="468"/>
      <c r="J165" s="468"/>
      <c r="K165" s="468"/>
    </row>
    <row r="166" spans="1:11" ht="12.75" customHeight="1" thickTop="1" thickBot="1" x14ac:dyDescent="0.25">
      <c r="A166" s="1483" t="s">
        <v>348</v>
      </c>
      <c r="B166" s="568">
        <v>3920</v>
      </c>
      <c r="C166" s="560"/>
      <c r="D166" s="466">
        <f ca="1">ROUND(SUMIF(INDIRECT(Formulas!$B$1),MID(D$1,2,2)&amp;"-"&amp;LEFT($B166,4)&amp;"*-0*",INDIRECT(Formulas!$B$3)),0)</f>
        <v>0</v>
      </c>
      <c r="E166" s="468"/>
      <c r="F166" s="560"/>
      <c r="G166" s="468"/>
      <c r="H166" s="466">
        <f ca="1">ROUND(SUMIF(INDIRECT(Formulas!$B$1),MID(H$1,2,2)&amp;"-"&amp;LEFT($B166,4)&amp;"*-0*",INDIRECT(Formulas!$B$3)),0)</f>
        <v>0</v>
      </c>
      <c r="I166" s="468"/>
      <c r="J166" s="468"/>
      <c r="K166" s="468"/>
    </row>
    <row r="167" spans="1:11" ht="12.75" customHeight="1" thickTop="1" thickBot="1" x14ac:dyDescent="0.25">
      <c r="A167" s="1483" t="s">
        <v>349</v>
      </c>
      <c r="B167" s="568">
        <v>3925</v>
      </c>
      <c r="C167" s="518"/>
      <c r="D167" s="466">
        <f ca="1">ROUND(SUMIF(INDIRECT(Formulas!$B$1),MID(D$1,2,2)&amp;"-"&amp;LEFT($B167,4)&amp;"*-0*",INDIRECT(Formulas!$B$3)),0)</f>
        <v>0</v>
      </c>
      <c r="E167" s="518"/>
      <c r="F167" s="518"/>
      <c r="G167" s="468"/>
      <c r="H167" s="466">
        <f ca="1">ROUND(SUMIF(INDIRECT(Formulas!$B$1),MID(H$1,2,2)&amp;"-"&amp;LEFT($B167,4)&amp;"*-0*",INDIRECT(Formulas!$B$3)),0)</f>
        <v>53964</v>
      </c>
      <c r="I167" s="468"/>
      <c r="J167" s="468"/>
      <c r="K167" s="466">
        <f ca="1">ROUND(SUMIF(INDIRECT(Formulas!$B$1),MID(K$1,2,2)&amp;"-"&amp;LEFT($B167,4)&amp;"*-0*",INDIRECT(Formulas!$B$3)),0)</f>
        <v>0</v>
      </c>
    </row>
    <row r="168" spans="1:11" ht="14.25" thickTop="1" thickBot="1" x14ac:dyDescent="0.25">
      <c r="A168" s="1483" t="s">
        <v>70</v>
      </c>
      <c r="B168" s="568">
        <v>3999</v>
      </c>
      <c r="C168" s="466">
        <f ca="1">ROUND(SUMIF(INDIRECT(Formulas!$B$1),MID(C$1,2,2)&amp;"-"&amp;LEFT($B168,4)&amp;"*-0*",INDIRECT(Formulas!$B$3)),0)</f>
        <v>0</v>
      </c>
      <c r="D168" s="466">
        <f ca="1">ROUND(SUMIF(INDIRECT(Formulas!$B$1),MID(D$1,2,2)&amp;"-"&amp;LEFT($B168,4)&amp;"*-0*",INDIRECT(Formulas!$B$3)),0)</f>
        <v>0</v>
      </c>
      <c r="E168" s="466">
        <f ca="1">ROUND(SUMIF(INDIRECT(Formulas!$B$1),MID(E$1,2,2)&amp;"-"&amp;LEFT($B168,4)&amp;"*-0*",INDIRECT(Formulas!$B$3)),0)</f>
        <v>0</v>
      </c>
      <c r="F168" s="466">
        <f ca="1">ROUND(SUMIF(INDIRECT(Formulas!$B$1),MID(F$1,2,2)&amp;"-"&amp;LEFT($B168,4)&amp;"*-0*",INDIRECT(Formulas!$B$3)),0)</f>
        <v>0</v>
      </c>
      <c r="G168" s="466">
        <f ca="1">ROUND(SUMIF(INDIRECT(Formulas!$B$1),MID(G$1,2,2)&amp;"-"&amp;LEFT($B168,4)&amp;"*-0*",INDIRECT(Formulas!$B$3)),0)</f>
        <v>0</v>
      </c>
      <c r="H168" s="466">
        <f ca="1">ROUND(SUMIF(INDIRECT(Formulas!$B$1),MID(H$1,2,2)&amp;"-"&amp;LEFT($B168,4)&amp;"*-0*",INDIRECT(Formulas!$B$3)),0)</f>
        <v>0</v>
      </c>
      <c r="I168" s="466">
        <f ca="1">ROUND(SUMIF(INDIRECT(Formulas!$B$1),MID(I$1,2,2)&amp;"-"&amp;LEFT($B168,4)&amp;"*-0*",INDIRECT(Formulas!$B$3)),0)</f>
        <v>0</v>
      </c>
      <c r="J168" s="466">
        <f ca="1">ROUND(SUMIF(INDIRECT(Formulas!$B$1),MID(J$1,2,2)&amp;"-"&amp;LEFT($B168,4)&amp;"*-0*",INDIRECT(Formulas!$B$3)),0)</f>
        <v>0</v>
      </c>
      <c r="K168" s="466">
        <f ca="1">ROUND(SUMIF(INDIRECT(Formulas!$B$1),MID(K$1,2,2)&amp;"-"&amp;LEFT($B168,4)&amp;"*-0*",INDIRECT(Formulas!$B$3)),0)</f>
        <v>0</v>
      </c>
    </row>
    <row r="169" spans="1:11" ht="12.75" customHeight="1" thickTop="1" thickBot="1" x14ac:dyDescent="0.25">
      <c r="A169" s="2205" t="s">
        <v>398</v>
      </c>
      <c r="B169" s="2206"/>
      <c r="C169" s="1705">
        <f t="shared" ref="C169:K169" ca="1" si="6">SUM(C132,C141,C145,C146:C150,C155,C156:C167,C168)</f>
        <v>93452</v>
      </c>
      <c r="D169" s="1705">
        <f t="shared" ca="1" si="6"/>
        <v>0</v>
      </c>
      <c r="E169" s="1705">
        <f t="shared" ca="1" si="6"/>
        <v>0</v>
      </c>
      <c r="F169" s="1705">
        <f t="shared" ca="1" si="6"/>
        <v>69442</v>
      </c>
      <c r="G169" s="1705">
        <f t="shared" ca="1" si="6"/>
        <v>0</v>
      </c>
      <c r="H169" s="1705">
        <f t="shared" ca="1" si="6"/>
        <v>53964</v>
      </c>
      <c r="I169" s="1705">
        <f t="shared" ca="1" si="6"/>
        <v>0</v>
      </c>
      <c r="J169" s="1705">
        <f t="shared" ca="1" si="6"/>
        <v>0</v>
      </c>
      <c r="K169" s="1686">
        <f t="shared" ca="1" si="6"/>
        <v>0</v>
      </c>
    </row>
    <row r="170" spans="1:11" ht="12.75" customHeight="1" thickTop="1" thickBot="1" x14ac:dyDescent="0.25">
      <c r="A170" s="1691" t="s">
        <v>399</v>
      </c>
      <c r="B170" s="1697" t="s">
        <v>575</v>
      </c>
      <c r="C170" s="1698">
        <f t="shared" ref="C170:K170" ca="1" si="7">SUM(C122,C169)</f>
        <v>432605</v>
      </c>
      <c r="D170" s="1698">
        <f t="shared" ca="1" si="7"/>
        <v>81801</v>
      </c>
      <c r="E170" s="1698">
        <f t="shared" ca="1" si="7"/>
        <v>0</v>
      </c>
      <c r="F170" s="1698">
        <f t="shared" ca="1" si="7"/>
        <v>163385</v>
      </c>
      <c r="G170" s="1698">
        <f t="shared" ca="1" si="7"/>
        <v>0</v>
      </c>
      <c r="H170" s="1698">
        <f t="shared" ca="1" si="7"/>
        <v>53964</v>
      </c>
      <c r="I170" s="1698">
        <f t="shared" ca="1" si="7"/>
        <v>0</v>
      </c>
      <c r="J170" s="1698">
        <f t="shared" ca="1" si="7"/>
        <v>79094</v>
      </c>
      <c r="K170" s="1685">
        <f t="shared" ca="1" si="7"/>
        <v>0</v>
      </c>
    </row>
    <row r="171" spans="1:11" ht="16.7" customHeight="1" thickTop="1" x14ac:dyDescent="0.2">
      <c r="A171" s="1572" t="s">
        <v>804</v>
      </c>
      <c r="B171" s="1550"/>
      <c r="C171" s="1553"/>
      <c r="D171" s="1554"/>
      <c r="E171" s="1554"/>
      <c r="F171" s="1554"/>
      <c r="G171" s="1554"/>
      <c r="H171" s="1554"/>
      <c r="I171" s="1554"/>
      <c r="J171" s="1554"/>
      <c r="K171" s="1555"/>
    </row>
    <row r="172" spans="1:11" ht="15.75" customHeight="1" x14ac:dyDescent="0.2">
      <c r="A172" s="2207" t="s">
        <v>1492</v>
      </c>
      <c r="B172" s="2208"/>
      <c r="C172" s="517"/>
      <c r="D172" s="517"/>
      <c r="E172" s="506"/>
      <c r="F172" s="468"/>
      <c r="G172" s="468"/>
      <c r="H172" s="468"/>
      <c r="I172" s="468"/>
      <c r="J172" s="468"/>
      <c r="K172" s="468"/>
    </row>
    <row r="173" spans="1:11" ht="12.6" customHeight="1" x14ac:dyDescent="0.2">
      <c r="A173" s="490" t="s">
        <v>1044</v>
      </c>
      <c r="B173" s="488">
        <v>4001</v>
      </c>
      <c r="C173" s="466">
        <f ca="1">ROUND(SUMIF(INDIRECT(Formulas!$B$1),MID(C$1,2,2)&amp;"-"&amp;LEFT($B173,4)&amp;"*-0*",INDIRECT(Formulas!$B$3)),0)</f>
        <v>0</v>
      </c>
      <c r="D173" s="466">
        <f ca="1">ROUND(SUMIF(INDIRECT(Formulas!$B$1),MID(D$1,2,2)&amp;"-"&amp;LEFT($B173,4)&amp;"*-0*",INDIRECT(Formulas!$B$3)),0)</f>
        <v>0</v>
      </c>
      <c r="E173" s="466">
        <f ca="1">ROUND(SUMIF(INDIRECT(Formulas!$B$1),MID(E$1,2,2)&amp;"-"&amp;LEFT($B173,4)&amp;"*-0*",INDIRECT(Formulas!$B$3)),0)</f>
        <v>0</v>
      </c>
      <c r="F173" s="466">
        <f ca="1">ROUND(SUMIF(INDIRECT(Formulas!$B$1),MID(F$1,2,2)&amp;"-"&amp;LEFT($B173,4)&amp;"*-0*",INDIRECT(Formulas!$B$3)),0)</f>
        <v>0</v>
      </c>
      <c r="G173" s="466">
        <f ca="1">ROUND(SUMIF(INDIRECT(Formulas!$B$1),MID(G$1,2,2)&amp;"-"&amp;LEFT($B173,4)&amp;"*-0*",INDIRECT(Formulas!$B$3)),0)</f>
        <v>0</v>
      </c>
      <c r="H173" s="466">
        <f ca="1">ROUND(SUMIF(INDIRECT(Formulas!$B$1),MID(H$1,2,2)&amp;"-"&amp;LEFT($B173,4)&amp;"*-0*",INDIRECT(Formulas!$B$3)),0)</f>
        <v>0</v>
      </c>
      <c r="I173" s="466">
        <f ca="1">ROUND(SUMIF(INDIRECT(Formulas!$B$1),MID(I$1,2,2)&amp;"-"&amp;LEFT($B173,4)&amp;"*-0*",INDIRECT(Formulas!$B$3)),0)</f>
        <v>0</v>
      </c>
      <c r="J173" s="466">
        <f ca="1">ROUND(SUMIF(INDIRECT(Formulas!$B$1),MID(J$1,2,2)&amp;"-"&amp;LEFT($B173,4)&amp;"*-0*",INDIRECT(Formulas!$B$3)),0)</f>
        <v>0</v>
      </c>
      <c r="K173" s="466">
        <f ca="1">ROUND(SUMIF(INDIRECT(Formulas!$B$1),MID(K$1,2,2)&amp;"-"&amp;LEFT($B173,4)&amp;"*-0*",INDIRECT(Formulas!$B$3)),0)</f>
        <v>0</v>
      </c>
    </row>
    <row r="174" spans="1:11" ht="22.5" x14ac:dyDescent="0.2">
      <c r="A174" s="557" t="s">
        <v>805</v>
      </c>
      <c r="B174" s="572">
        <v>4009</v>
      </c>
      <c r="C174" s="466">
        <f ca="1">ROUND(SUMIF(INDIRECT(Formulas!$B$1),MID(C$1,2,2)&amp;"-"&amp;LEFT($B174,4)&amp;"*-0*",INDIRECT(Formulas!$B$3)),0)</f>
        <v>0</v>
      </c>
      <c r="D174" s="466">
        <f ca="1">ROUND(SUMIF(INDIRECT(Formulas!$B$1),MID(D$1,2,2)&amp;"-"&amp;LEFT($B174,4)&amp;"*-0*",INDIRECT(Formulas!$B$3)),0)</f>
        <v>0</v>
      </c>
      <c r="E174" s="466">
        <f ca="1">ROUND(SUMIF(INDIRECT(Formulas!$B$1),MID(E$1,2,2)&amp;"-"&amp;LEFT($B174,4)&amp;"*-0*",INDIRECT(Formulas!$B$3)),0)</f>
        <v>0</v>
      </c>
      <c r="F174" s="466">
        <f ca="1">ROUND(SUMIF(INDIRECT(Formulas!$B$1),MID(F$1,2,2)&amp;"-"&amp;LEFT($B174,4)&amp;"*-0*",INDIRECT(Formulas!$B$3)),0)</f>
        <v>0</v>
      </c>
      <c r="G174" s="466">
        <f ca="1">ROUND(SUMIF(INDIRECT(Formulas!$B$1),MID(G$1,2,2)&amp;"-"&amp;LEFT($B174,4)&amp;"*-0*",INDIRECT(Formulas!$B$3)),0)</f>
        <v>0</v>
      </c>
      <c r="H174" s="466">
        <f ca="1">ROUND(SUMIF(INDIRECT(Formulas!$B$1),MID(H$1,2,2)&amp;"-"&amp;LEFT($B174,4)&amp;"*-0*",INDIRECT(Formulas!$B$3)),0)</f>
        <v>0</v>
      </c>
      <c r="I174" s="466">
        <f ca="1">ROUND(SUMIF(INDIRECT(Formulas!$B$1),MID(I$1,2,2)&amp;"-"&amp;LEFT($B174,4)&amp;"*-0*",INDIRECT(Formulas!$B$3)),0)</f>
        <v>0</v>
      </c>
      <c r="J174" s="466">
        <f ca="1">ROUND(SUMIF(INDIRECT(Formulas!$B$1),MID(J$1,2,2)&amp;"-"&amp;LEFT($B174,4)&amp;"*-0*",INDIRECT(Formulas!$B$3)),0)</f>
        <v>0</v>
      </c>
      <c r="K174" s="466">
        <f ca="1">ROUND(SUMIF(INDIRECT(Formulas!$B$1),MID(K$1,2,2)&amp;"-"&amp;LEFT($B174,4)&amp;"*-0*",INDIRECT(Formulas!$B$3)),0)</f>
        <v>0</v>
      </c>
    </row>
    <row r="175" spans="1:11" ht="13.5" thickBot="1" x14ac:dyDescent="0.25">
      <c r="A175" s="2211" t="s">
        <v>1665</v>
      </c>
      <c r="B175" s="2212"/>
      <c r="C175" s="1690">
        <f ca="1">SUM(C173:C174)</f>
        <v>0</v>
      </c>
      <c r="D175" s="1690">
        <f t="shared" ref="D175:K175" ca="1" si="8">SUM(D173:D174)</f>
        <v>0</v>
      </c>
      <c r="E175" s="1690">
        <f t="shared" ca="1" si="8"/>
        <v>0</v>
      </c>
      <c r="F175" s="1690">
        <f t="shared" ca="1" si="8"/>
        <v>0</v>
      </c>
      <c r="G175" s="1690">
        <f t="shared" ca="1" si="8"/>
        <v>0</v>
      </c>
      <c r="H175" s="1690">
        <f t="shared" ca="1" si="8"/>
        <v>0</v>
      </c>
      <c r="I175" s="1690">
        <f t="shared" ca="1" si="8"/>
        <v>0</v>
      </c>
      <c r="J175" s="1690">
        <f t="shared" ca="1" si="8"/>
        <v>0</v>
      </c>
      <c r="K175" s="1671">
        <f t="shared" ca="1" si="8"/>
        <v>0</v>
      </c>
    </row>
    <row r="176" spans="1:11" s="457" customFormat="1" ht="15.75" customHeight="1" thickTop="1" x14ac:dyDescent="0.2">
      <c r="A176" s="2215" t="s">
        <v>1664</v>
      </c>
      <c r="B176" s="2216"/>
      <c r="C176" s="584"/>
      <c r="D176" s="585"/>
      <c r="E176" s="586"/>
      <c r="F176" s="587"/>
      <c r="G176" s="587"/>
      <c r="H176" s="587"/>
      <c r="I176" s="587"/>
      <c r="J176" s="587"/>
      <c r="K176" s="587"/>
    </row>
    <row r="177" spans="1:11" ht="12.75" customHeight="1" x14ac:dyDescent="0.2">
      <c r="A177" s="463" t="s">
        <v>1045</v>
      </c>
      <c r="B177" s="470">
        <v>4045</v>
      </c>
      <c r="C177" s="466">
        <f ca="1">ROUND(SUMIF(INDIRECT(Formulas!$B$1),MID(C$1,2,2)&amp;"-"&amp;LEFT($B177,4)&amp;"*-0*",INDIRECT(Formulas!$B$3)),0)</f>
        <v>0</v>
      </c>
      <c r="D177" s="468"/>
      <c r="E177" s="555"/>
      <c r="F177" s="468"/>
      <c r="G177" s="468"/>
      <c r="H177" s="468"/>
      <c r="I177" s="468"/>
      <c r="J177" s="468"/>
      <c r="K177" s="468"/>
    </row>
    <row r="178" spans="1:11" ht="12.75" customHeight="1" x14ac:dyDescent="0.2">
      <c r="A178" s="463" t="s">
        <v>1046</v>
      </c>
      <c r="B178" s="470">
        <v>4050</v>
      </c>
      <c r="C178" s="466">
        <f ca="1">ROUND(SUMIF(INDIRECT(Formulas!$B$1),MID(C$1,2,2)&amp;"-"&amp;LEFT($B178,4)&amp;"*-0*",INDIRECT(Formulas!$B$3)),0)</f>
        <v>0</v>
      </c>
      <c r="D178" s="466">
        <f ca="1">ROUND(SUMIF(INDIRECT(Formulas!$B$1),MID(D$1,2,2)&amp;"-"&amp;LEFT($B178,4)&amp;"*-0*",INDIRECT(Formulas!$B$3)),0)</f>
        <v>0</v>
      </c>
      <c r="E178" s="555"/>
      <c r="F178" s="468"/>
      <c r="G178" s="468"/>
      <c r="H178" s="466">
        <f ca="1">ROUND(SUMIF(INDIRECT(Formulas!$B$1),MID(H$1,2,2)&amp;"-"&amp;LEFT($B178,4)&amp;"*-0*",INDIRECT(Formulas!$B$3)),0)</f>
        <v>0</v>
      </c>
      <c r="I178" s="468"/>
      <c r="J178" s="468"/>
      <c r="K178" s="468"/>
    </row>
    <row r="179" spans="1:11" ht="12.75" customHeight="1" x14ac:dyDescent="0.2">
      <c r="A179" s="463" t="s">
        <v>260</v>
      </c>
      <c r="B179" s="470">
        <v>4060</v>
      </c>
      <c r="C179" s="466">
        <f ca="1">ROUND(SUMIF(INDIRECT(Formulas!$B$1),MID(C$1,2,2)&amp;"-"&amp;LEFT($B179,4)&amp;"*-0*",INDIRECT(Formulas!$B$3)),0)</f>
        <v>0</v>
      </c>
      <c r="D179" s="466">
        <f ca="1">ROUND(SUMIF(INDIRECT(Formulas!$B$1),MID(D$1,2,2)&amp;"-"&amp;LEFT($B179,4)&amp;"*-0*",INDIRECT(Formulas!$B$3)),0)</f>
        <v>0</v>
      </c>
      <c r="E179" s="468"/>
      <c r="F179" s="466">
        <f ca="1">ROUND(SUMIF(INDIRECT(Formulas!$B$1),MID(F$1,2,2)&amp;"-"&amp;LEFT($B179,4)&amp;"*-0*",INDIRECT(Formulas!$B$3)),0)</f>
        <v>0</v>
      </c>
      <c r="G179" s="466">
        <f ca="1">ROUND(SUMIF(INDIRECT(Formulas!$B$1),MID(G$1,2,2)&amp;"-"&amp;LEFT($B179,4)&amp;"*-0*",INDIRECT(Formulas!$B$3)),0)</f>
        <v>0</v>
      </c>
      <c r="H179" s="466">
        <f ca="1">ROUND(SUMIF(INDIRECT(Formulas!$B$1),MID(H$1,2,2)&amp;"-"&amp;LEFT($B179,4)&amp;"*-0*",INDIRECT(Formulas!$B$3)),0)</f>
        <v>0</v>
      </c>
      <c r="I179" s="468"/>
      <c r="J179" s="468"/>
      <c r="K179" s="518"/>
    </row>
    <row r="180" spans="1:11" ht="22.5" x14ac:dyDescent="0.2">
      <c r="A180" s="557" t="s">
        <v>786</v>
      </c>
      <c r="B180" s="572">
        <v>4090</v>
      </c>
      <c r="C180" s="466">
        <f ca="1">ROUND(SUMIF(INDIRECT(Formulas!$B$1),MID(C$1,2,2)&amp;"-"&amp;LEFT($B180,4)&amp;"*-0*",INDIRECT(Formulas!$B$3)),0)</f>
        <v>23992</v>
      </c>
      <c r="D180" s="466">
        <f ca="1">ROUND(SUMIF(INDIRECT(Formulas!$B$1),MID(D$1,2,2)&amp;"-"&amp;LEFT($B180,4)&amp;"*-0*",INDIRECT(Formulas!$B$3)),0)</f>
        <v>0</v>
      </c>
      <c r="E180" s="468"/>
      <c r="F180" s="466">
        <f ca="1">ROUND(SUMIF(INDIRECT(Formulas!$B$1),MID(F$1,2,2)&amp;"-"&amp;LEFT($B180,4)&amp;"*-0*",INDIRECT(Formulas!$B$3)),0)</f>
        <v>0</v>
      </c>
      <c r="G180" s="466">
        <f ca="1">ROUND(SUMIF(INDIRECT(Formulas!$B$1),MID(G$1,2,2)&amp;"-"&amp;LEFT($B180,4)&amp;"*-0*",INDIRECT(Formulas!$B$3)),0)</f>
        <v>0</v>
      </c>
      <c r="H180" s="466">
        <f ca="1">ROUND(SUMIF(INDIRECT(Formulas!$B$1),MID(H$1,2,2)&amp;"-"&amp;LEFT($B180,4)&amp;"*-0*",INDIRECT(Formulas!$B$3)),0)</f>
        <v>0</v>
      </c>
      <c r="I180" s="468"/>
      <c r="J180" s="468"/>
      <c r="K180" s="466">
        <f ca="1">ROUND(SUMIF(INDIRECT(Formulas!$B$1),MID(K$1,2,2)&amp;"-"&amp;LEFT($B180,4)&amp;"*-0*",INDIRECT(Formulas!$B$3)),0)</f>
        <v>0</v>
      </c>
    </row>
    <row r="181" spans="1:11" ht="13.5" thickBot="1" x14ac:dyDescent="0.25">
      <c r="A181" s="2213" t="s">
        <v>785</v>
      </c>
      <c r="B181" s="2214"/>
      <c r="C181" s="1690">
        <f ca="1">SUM(C177:C180)</f>
        <v>23992</v>
      </c>
      <c r="D181" s="1690">
        <f ca="1">SUM(D177:D180)</f>
        <v>0</v>
      </c>
      <c r="E181" s="468"/>
      <c r="F181" s="1690">
        <f ca="1">SUM(F177:F180)</f>
        <v>0</v>
      </c>
      <c r="G181" s="1690">
        <f ca="1">SUM(G177:G180)</f>
        <v>0</v>
      </c>
      <c r="H181" s="1690">
        <f ca="1">SUM(H177:H180)</f>
        <v>0</v>
      </c>
      <c r="I181" s="468"/>
      <c r="J181" s="468"/>
      <c r="K181" s="1671">
        <f ca="1">SUM(K177:K180)</f>
        <v>0</v>
      </c>
    </row>
    <row r="182" spans="1:11" ht="22.5" customHeight="1" thickTop="1" x14ac:dyDescent="0.2">
      <c r="A182" s="2209" t="s">
        <v>1802</v>
      </c>
      <c r="B182" s="2210"/>
      <c r="C182" s="573"/>
      <c r="D182" s="560"/>
      <c r="E182" s="506"/>
      <c r="F182" s="560"/>
      <c r="G182" s="560"/>
      <c r="H182" s="468"/>
      <c r="I182" s="468"/>
      <c r="J182" s="468"/>
      <c r="K182" s="468"/>
    </row>
    <row r="183" spans="1:11" ht="15.75" customHeight="1" x14ac:dyDescent="0.2">
      <c r="A183" s="1586" t="s">
        <v>1602</v>
      </c>
      <c r="B183" s="1587"/>
      <c r="C183" s="519"/>
      <c r="D183" s="518"/>
      <c r="E183" s="506"/>
      <c r="F183" s="518"/>
      <c r="G183" s="518"/>
      <c r="H183" s="468"/>
      <c r="I183" s="468"/>
      <c r="J183" s="468"/>
      <c r="K183" s="468"/>
    </row>
    <row r="184" spans="1:11" ht="12.75" customHeight="1" x14ac:dyDescent="0.2">
      <c r="A184" s="463" t="s">
        <v>1603</v>
      </c>
      <c r="B184" s="470">
        <v>4100</v>
      </c>
      <c r="C184" s="466">
        <f ca="1">ROUND(SUMIF(INDIRECT(Formulas!$B$1),MID(C$1,2,2)&amp;"-"&amp;LEFT($B184,4)&amp;"*-0*",INDIRECT(Formulas!$B$3)),0)</f>
        <v>0</v>
      </c>
      <c r="D184" s="466">
        <f ca="1">ROUND(SUMIF(INDIRECT(Formulas!$B$1),MID(D$1,2,2)&amp;"-"&amp;LEFT($B184,4)&amp;"*-0*",INDIRECT(Formulas!$B$3)),0)</f>
        <v>0</v>
      </c>
      <c r="E184" s="555"/>
      <c r="F184" s="466">
        <f ca="1">ROUND(SUMIF(INDIRECT(Formulas!$B$1),MID(F$1,2,2)&amp;"-"&amp;LEFT($B184,4)&amp;"*-0*",INDIRECT(Formulas!$B$3)),0)</f>
        <v>0</v>
      </c>
      <c r="G184" s="466">
        <f ca="1">ROUND(SUMIF(INDIRECT(Formulas!$B$1),MID(G$1,2,2)&amp;"-"&amp;LEFT($B184,4)&amp;"*-0*",INDIRECT(Formulas!$B$3)),0)</f>
        <v>0</v>
      </c>
      <c r="H184" s="468"/>
      <c r="I184" s="468"/>
      <c r="J184" s="468"/>
      <c r="K184" s="468"/>
    </row>
    <row r="185" spans="1:11" ht="12.75" customHeight="1" x14ac:dyDescent="0.2">
      <c r="A185" s="463" t="s">
        <v>1604</v>
      </c>
      <c r="B185" s="470">
        <v>4105</v>
      </c>
      <c r="C185" s="466">
        <f ca="1">ROUND(SUMIF(INDIRECT(Formulas!$B$1),MID(C$1,2,2)&amp;"-"&amp;LEFT($B185,4)&amp;"*-0*",INDIRECT(Formulas!$B$3)),0)</f>
        <v>0</v>
      </c>
      <c r="D185" s="466">
        <f ca="1">ROUND(SUMIF(INDIRECT(Formulas!$B$1),MID(D$1,2,2)&amp;"-"&amp;LEFT($B185,4)&amp;"*-0*",INDIRECT(Formulas!$B$3)),0)</f>
        <v>0</v>
      </c>
      <c r="E185" s="555"/>
      <c r="F185" s="466">
        <f ca="1">ROUND(SUMIF(INDIRECT(Formulas!$B$1),MID(F$1,2,2)&amp;"-"&amp;LEFT($B185,4)&amp;"*-0*",INDIRECT(Formulas!$B$3)),0)</f>
        <v>0</v>
      </c>
      <c r="G185" s="466">
        <f ca="1">ROUND(SUMIF(INDIRECT(Formulas!$B$1),MID(G$1,2,2)&amp;"-"&amp;LEFT($B185,4)&amp;"*-0*",INDIRECT(Formulas!$B$3)),0)</f>
        <v>0</v>
      </c>
      <c r="H185" s="468"/>
      <c r="I185" s="468"/>
      <c r="J185" s="468"/>
      <c r="K185" s="468"/>
    </row>
    <row r="186" spans="1:11" ht="12.75" customHeight="1" x14ac:dyDescent="0.2">
      <c r="A186" s="463" t="s">
        <v>1606</v>
      </c>
      <c r="B186" s="470">
        <v>4107</v>
      </c>
      <c r="C186" s="466">
        <f ca="1">ROUND(SUMIF(INDIRECT(Formulas!$B$1),MID(C$1,2,2)&amp;"-"&amp;LEFT($B186,4)&amp;"*-0*",INDIRECT(Formulas!$B$3)),0)</f>
        <v>0</v>
      </c>
      <c r="D186" s="466">
        <f ca="1">ROUND(SUMIF(INDIRECT(Formulas!$B$1),MID(D$1,2,2)&amp;"-"&amp;LEFT($B186,4)&amp;"*-0*",INDIRECT(Formulas!$B$3)),0)</f>
        <v>0</v>
      </c>
      <c r="E186" s="555"/>
      <c r="F186" s="466">
        <f ca="1">ROUND(SUMIF(INDIRECT(Formulas!$B$1),MID(F$1,2,2)&amp;"-"&amp;LEFT($B186,4)&amp;"*-0*",INDIRECT(Formulas!$B$3)),0)</f>
        <v>0</v>
      </c>
      <c r="G186" s="466">
        <f ca="1">ROUND(SUMIF(INDIRECT(Formulas!$B$1),MID(G$1,2,2)&amp;"-"&amp;LEFT($B186,4)&amp;"*-0*",INDIRECT(Formulas!$B$3)),0)</f>
        <v>0</v>
      </c>
      <c r="H186" s="468"/>
      <c r="I186" s="468"/>
      <c r="J186" s="468"/>
      <c r="K186" s="468"/>
    </row>
    <row r="187" spans="1:11" ht="12.75" customHeight="1" x14ac:dyDescent="0.2">
      <c r="A187" s="463" t="s">
        <v>1605</v>
      </c>
      <c r="B187" s="470">
        <v>4199</v>
      </c>
      <c r="C187" s="466">
        <f ca="1">ROUND(SUMIF(INDIRECT(Formulas!$B$1),MID(C$1,2,2)&amp;"-"&amp;LEFT($B187,4)&amp;"*-0*",INDIRECT(Formulas!$B$3)),0)</f>
        <v>0</v>
      </c>
      <c r="D187" s="466">
        <f ca="1">ROUND(SUMIF(INDIRECT(Formulas!$B$1),MID(D$1,2,2)&amp;"-"&amp;LEFT($B187,4)&amp;"*-0*",INDIRECT(Formulas!$B$3)),0)</f>
        <v>0</v>
      </c>
      <c r="E187" s="555"/>
      <c r="F187" s="466">
        <f ca="1">ROUND(SUMIF(INDIRECT(Formulas!$B$1),MID(F$1,2,2)&amp;"-"&amp;LEFT($B187,4)&amp;"*-0*",INDIRECT(Formulas!$B$3)),0)</f>
        <v>0</v>
      </c>
      <c r="G187" s="466">
        <f ca="1">ROUND(SUMIF(INDIRECT(Formulas!$B$1),MID(G$1,2,2)&amp;"-"&amp;LEFT($B187,4)&amp;"*-0*",INDIRECT(Formulas!$B$3)),0)</f>
        <v>0</v>
      </c>
      <c r="H187" s="468"/>
      <c r="I187" s="468"/>
      <c r="J187" s="468"/>
      <c r="K187" s="468"/>
    </row>
    <row r="188" spans="1:11" ht="12.75" customHeight="1" thickBot="1" x14ac:dyDescent="0.25">
      <c r="A188" s="1691" t="s">
        <v>1607</v>
      </c>
      <c r="B188" s="1692"/>
      <c r="C188" s="1690">
        <f ca="1">SUM(C184:C187)</f>
        <v>0</v>
      </c>
      <c r="D188" s="1690">
        <f ca="1">SUM(D184:D187)</f>
        <v>0</v>
      </c>
      <c r="E188" s="555"/>
      <c r="F188" s="1690">
        <f ca="1">SUM(F184:F187)</f>
        <v>0</v>
      </c>
      <c r="G188" s="1690">
        <f ca="1">SUM(G184:G187)</f>
        <v>0</v>
      </c>
      <c r="H188" s="468"/>
      <c r="I188" s="468"/>
      <c r="J188" s="468"/>
      <c r="K188" s="468"/>
    </row>
    <row r="189" spans="1:11" ht="15.75" customHeight="1" thickTop="1" x14ac:dyDescent="0.2">
      <c r="A189" s="1583" t="s">
        <v>455</v>
      </c>
      <c r="B189" s="1588"/>
      <c r="C189" s="548"/>
      <c r="D189" s="560"/>
      <c r="E189" s="555"/>
      <c r="F189" s="548"/>
      <c r="G189" s="548"/>
      <c r="H189" s="468"/>
      <c r="I189" s="468"/>
      <c r="J189" s="468"/>
      <c r="K189" s="468"/>
    </row>
    <row r="190" spans="1:11" x14ac:dyDescent="0.2">
      <c r="A190" s="463" t="s">
        <v>1450</v>
      </c>
      <c r="B190" s="470">
        <v>4200</v>
      </c>
      <c r="C190" s="466">
        <f ca="1">ROUND(SUMIF(INDIRECT(Formulas!$B$1),MID(C$1,2,2)&amp;"-"&amp;LEFT($B190,4)&amp;"*-0*",INDIRECT(Formulas!$B$3)),0)</f>
        <v>0</v>
      </c>
      <c r="D190" s="468"/>
      <c r="E190" s="555"/>
      <c r="F190" s="548"/>
      <c r="G190" s="466">
        <f ca="1">ROUND(SUMIF(INDIRECT(Formulas!$B$1),MID(G$1,2,2)&amp;"-"&amp;LEFT($B190,4)&amp;"*-0*",INDIRECT(Formulas!$B$3)),0)</f>
        <v>0</v>
      </c>
      <c r="H190" s="468"/>
      <c r="I190" s="468"/>
      <c r="J190" s="468"/>
      <c r="K190" s="468"/>
    </row>
    <row r="191" spans="1:11" ht="12.75" customHeight="1" x14ac:dyDescent="0.2">
      <c r="A191" s="463" t="s">
        <v>1058</v>
      </c>
      <c r="B191" s="470">
        <v>4210</v>
      </c>
      <c r="C191" s="466">
        <f ca="1">ROUND(SUMIF(INDIRECT(Formulas!$B$1),MID(C$1,2,2)&amp;"-"&amp;LEFT($B191,4)&amp;"*-0*",INDIRECT(Formulas!$B$3)),0)</f>
        <v>28270</v>
      </c>
      <c r="D191" s="468"/>
      <c r="E191" s="555"/>
      <c r="F191" s="468"/>
      <c r="G191" s="466">
        <f ca="1">ROUND(SUMIF(INDIRECT(Formulas!$B$1),MID(G$1,2,2)&amp;"-"&amp;LEFT($B191,4)&amp;"*-0*",INDIRECT(Formulas!$B$3)),0)</f>
        <v>0</v>
      </c>
      <c r="H191" s="468"/>
      <c r="I191" s="468"/>
      <c r="J191" s="468"/>
      <c r="K191" s="468"/>
    </row>
    <row r="192" spans="1:11" ht="12.75" customHeight="1" x14ac:dyDescent="0.2">
      <c r="A192" s="463" t="s">
        <v>1047</v>
      </c>
      <c r="B192" s="470">
        <v>4215</v>
      </c>
      <c r="C192" s="466">
        <f ca="1">ROUND(SUMIF(INDIRECT(Formulas!$B$1),MID(C$1,2,2)&amp;"-"&amp;LEFT($B192,4)&amp;"*-0*",INDIRECT(Formulas!$B$3)),0)</f>
        <v>0</v>
      </c>
      <c r="D192" s="468"/>
      <c r="E192" s="555"/>
      <c r="F192" s="468"/>
      <c r="G192" s="466">
        <f ca="1">ROUND(SUMIF(INDIRECT(Formulas!$B$1),MID(G$1,2,2)&amp;"-"&amp;LEFT($B192,4)&amp;"*-0*",INDIRECT(Formulas!$B$3)),0)</f>
        <v>0</v>
      </c>
      <c r="H192" s="468"/>
      <c r="I192" s="468"/>
      <c r="J192" s="468"/>
      <c r="K192" s="468"/>
    </row>
    <row r="193" spans="1:11" ht="12.75" customHeight="1" x14ac:dyDescent="0.2">
      <c r="A193" s="463" t="s">
        <v>1059</v>
      </c>
      <c r="B193" s="470">
        <v>4220</v>
      </c>
      <c r="C193" s="466">
        <f ca="1">ROUND(SUMIF(INDIRECT(Formulas!$B$1),MID(C$1,2,2)&amp;"-"&amp;LEFT($B193,4)&amp;"*-0*",INDIRECT(Formulas!$B$3)),0)</f>
        <v>6130</v>
      </c>
      <c r="D193" s="468"/>
      <c r="E193" s="555"/>
      <c r="F193" s="468"/>
      <c r="G193" s="466">
        <f ca="1">ROUND(SUMIF(INDIRECT(Formulas!$B$1),MID(G$1,2,2)&amp;"-"&amp;LEFT($B193,4)&amp;"*-0*",INDIRECT(Formulas!$B$3)),0)</f>
        <v>0</v>
      </c>
      <c r="H193" s="468"/>
      <c r="I193" s="468"/>
      <c r="J193" s="468"/>
      <c r="K193" s="468"/>
    </row>
    <row r="194" spans="1:11" ht="12.75" customHeight="1" x14ac:dyDescent="0.2">
      <c r="A194" s="463" t="s">
        <v>1451</v>
      </c>
      <c r="B194" s="470">
        <v>4225</v>
      </c>
      <c r="C194" s="466">
        <f ca="1">ROUND(SUMIF(INDIRECT(Formulas!$B$1),MID(C$1,2,2)&amp;"-"&amp;LEFT($B194,4)&amp;"*-0*",INDIRECT(Formulas!$B$3)),0)</f>
        <v>0</v>
      </c>
      <c r="D194" s="468"/>
      <c r="E194" s="555"/>
      <c r="F194" s="468"/>
      <c r="G194" s="466">
        <f ca="1">ROUND(SUMIF(INDIRECT(Formulas!$B$1),MID(G$1,2,2)&amp;"-"&amp;LEFT($B194,4)&amp;"*-0*",INDIRECT(Formulas!$B$3)),0)</f>
        <v>0</v>
      </c>
      <c r="H194" s="468"/>
      <c r="I194" s="468"/>
      <c r="J194" s="468"/>
      <c r="K194" s="468"/>
    </row>
    <row r="195" spans="1:11" ht="12.75" customHeight="1" x14ac:dyDescent="0.2">
      <c r="A195" s="463" t="s">
        <v>1452</v>
      </c>
      <c r="B195" s="470">
        <v>4226</v>
      </c>
      <c r="C195" s="466">
        <f ca="1">ROUND(SUMIF(INDIRECT(Formulas!$B$1),MID(C$1,2,2)&amp;"-"&amp;LEFT($B195,4)&amp;"*-0*",INDIRECT(Formulas!$B$3)),0)</f>
        <v>0</v>
      </c>
      <c r="D195" s="468"/>
      <c r="E195" s="555"/>
      <c r="F195" s="468"/>
      <c r="G195" s="466">
        <f ca="1">ROUND(SUMIF(INDIRECT(Formulas!$B$1),MID(G$1,2,2)&amp;"-"&amp;LEFT($B195,4)&amp;"*-0*",INDIRECT(Formulas!$B$3)),0)</f>
        <v>0</v>
      </c>
      <c r="H195" s="468"/>
      <c r="I195" s="468"/>
      <c r="J195" s="468"/>
      <c r="K195" s="468"/>
    </row>
    <row r="196" spans="1:11" ht="12.75" customHeight="1" x14ac:dyDescent="0.2">
      <c r="A196" s="463" t="s">
        <v>792</v>
      </c>
      <c r="B196" s="470">
        <v>4240</v>
      </c>
      <c r="C196" s="466">
        <f ca="1">ROUND(SUMIF(INDIRECT(Formulas!$B$1),MID(C$1,2,2)&amp;"-"&amp;LEFT($B196,4)&amp;"*-0*",INDIRECT(Formulas!$B$3)),0)</f>
        <v>0</v>
      </c>
      <c r="D196" s="468"/>
      <c r="E196" s="555"/>
      <c r="F196" s="468"/>
      <c r="G196" s="575"/>
      <c r="H196" s="468"/>
      <c r="I196" s="468"/>
      <c r="J196" s="468"/>
      <c r="K196" s="468"/>
    </row>
    <row r="197" spans="1:11" ht="12.75" customHeight="1" x14ac:dyDescent="0.2">
      <c r="A197" s="463" t="s">
        <v>71</v>
      </c>
      <c r="B197" s="470">
        <v>4299</v>
      </c>
      <c r="C197" s="466">
        <f ca="1">ROUND(SUMIF(INDIRECT(Formulas!$B$1),MID(C$1,2,2)&amp;"-"&amp;LEFT($B197,4)&amp;"*-0*",INDIRECT(Formulas!$B$3)),0)</f>
        <v>0</v>
      </c>
      <c r="D197" s="468"/>
      <c r="E197" s="555"/>
      <c r="F197" s="468"/>
      <c r="G197" s="466">
        <f ca="1">ROUND(SUMIF(INDIRECT(Formulas!$B$1),MID(G$1,2,2)&amp;"-"&amp;LEFT($B197,4)&amp;"*-0*",INDIRECT(Formulas!$B$3)),0)</f>
        <v>0</v>
      </c>
      <c r="H197" s="468"/>
      <c r="I197" s="468"/>
      <c r="J197" s="468"/>
      <c r="K197" s="468"/>
    </row>
    <row r="198" spans="1:11" ht="12.75" customHeight="1" thickBot="1" x14ac:dyDescent="0.25">
      <c r="A198" s="1691" t="s">
        <v>548</v>
      </c>
      <c r="B198" s="1692"/>
      <c r="C198" s="1671">
        <f ca="1">SUM(C190:C197)</f>
        <v>34400</v>
      </c>
      <c r="D198" s="468"/>
      <c r="E198" s="468"/>
      <c r="F198" s="468"/>
      <c r="G198" s="1671">
        <f ca="1">SUM(G190:G197)</f>
        <v>0</v>
      </c>
      <c r="H198" s="468"/>
      <c r="I198" s="468"/>
      <c r="J198" s="468"/>
      <c r="K198" s="468"/>
    </row>
    <row r="199" spans="1:11" ht="15.75" customHeight="1" thickTop="1" x14ac:dyDescent="0.2">
      <c r="A199" s="1583" t="s">
        <v>1138</v>
      </c>
      <c r="B199" s="1588"/>
      <c r="C199" s="548"/>
      <c r="D199" s="468"/>
      <c r="E199" s="468"/>
      <c r="F199" s="468"/>
      <c r="G199" s="468"/>
      <c r="H199" s="468"/>
      <c r="I199" s="468"/>
      <c r="J199" s="468"/>
      <c r="K199" s="468"/>
    </row>
    <row r="200" spans="1:11" ht="12.75" customHeight="1" x14ac:dyDescent="0.2">
      <c r="A200" s="463" t="s">
        <v>918</v>
      </c>
      <c r="B200" s="470">
        <v>4300</v>
      </c>
      <c r="C200" s="466">
        <f ca="1">ROUND(SUMIF(INDIRECT(Formulas!$B$1),MID(C$1,2,2)&amp;"-"&amp;LEFT($B200,4)&amp;"*-0*",INDIRECT(Formulas!$B$3)),0)</f>
        <v>37345</v>
      </c>
      <c r="D200" s="466">
        <f ca="1">ROUND(SUMIF(INDIRECT(Formulas!$B$1),MID(D$1,2,2)&amp;"-"&amp;LEFT($B200,4)&amp;"*-0*",INDIRECT(Formulas!$B$3)),0)</f>
        <v>0</v>
      </c>
      <c r="E200" s="468"/>
      <c r="F200" s="466">
        <f ca="1">ROUND(SUMIF(INDIRECT(Formulas!$B$1),MID(F$1,2,2)&amp;"-"&amp;LEFT($B200,4)&amp;"*-0*",INDIRECT(Formulas!$B$3)),0)</f>
        <v>0</v>
      </c>
      <c r="G200" s="466">
        <f ca="1">ROUND(SUMIF(INDIRECT(Formulas!$B$1),MID(G$1,2,2)&amp;"-"&amp;LEFT($B200,4)&amp;"*-0*",INDIRECT(Formulas!$B$3)),0)</f>
        <v>0</v>
      </c>
      <c r="H200" s="468"/>
      <c r="I200" s="468"/>
      <c r="J200" s="468"/>
      <c r="K200" s="468"/>
    </row>
    <row r="201" spans="1:11" ht="12.75" customHeight="1" x14ac:dyDescent="0.2">
      <c r="A201" s="463" t="s">
        <v>919</v>
      </c>
      <c r="B201" s="470">
        <v>4305</v>
      </c>
      <c r="C201" s="466">
        <f ca="1">ROUND(SUMIF(INDIRECT(Formulas!$B$1),MID(C$1,2,2)&amp;"-"&amp;LEFT($B201,4)&amp;"*-0*",INDIRECT(Formulas!$B$3)),0)</f>
        <v>0</v>
      </c>
      <c r="D201" s="466">
        <f ca="1">ROUND(SUMIF(INDIRECT(Formulas!$B$1),MID(D$1,2,2)&amp;"-"&amp;LEFT($B201,4)&amp;"*-0*",INDIRECT(Formulas!$B$3)),0)</f>
        <v>0</v>
      </c>
      <c r="E201" s="468"/>
      <c r="F201" s="466">
        <f ca="1">ROUND(SUMIF(INDIRECT(Formulas!$B$1),MID(F$1,2,2)&amp;"-"&amp;LEFT($B201,4)&amp;"*-0*",INDIRECT(Formulas!$B$3)),0)</f>
        <v>0</v>
      </c>
      <c r="G201" s="466">
        <f ca="1">ROUND(SUMIF(INDIRECT(Formulas!$B$1),MID(G$1,2,2)&amp;"-"&amp;LEFT($B201,4)&amp;"*-0*",INDIRECT(Formulas!$B$3)),0)</f>
        <v>0</v>
      </c>
      <c r="H201" s="468"/>
      <c r="I201" s="468"/>
      <c r="J201" s="468"/>
      <c r="K201" s="468"/>
    </row>
    <row r="202" spans="1:11" ht="12.75" customHeight="1" x14ac:dyDescent="0.2">
      <c r="A202" s="463" t="s">
        <v>1031</v>
      </c>
      <c r="B202" s="470">
        <v>4340</v>
      </c>
      <c r="C202" s="466">
        <f ca="1">ROUND(SUMIF(INDIRECT(Formulas!$B$1),MID(C$1,2,2)&amp;"-"&amp;LEFT($B202,4)&amp;"*-0*",INDIRECT(Formulas!$B$3)),0)</f>
        <v>0</v>
      </c>
      <c r="D202" s="466">
        <f ca="1">ROUND(SUMIF(INDIRECT(Formulas!$B$1),MID(D$1,2,2)&amp;"-"&amp;LEFT($B202,4)&amp;"*-0*",INDIRECT(Formulas!$B$3)),0)</f>
        <v>0</v>
      </c>
      <c r="E202" s="468"/>
      <c r="F202" s="466">
        <f ca="1">ROUND(SUMIF(INDIRECT(Formulas!$B$1),MID(F$1,2,2)&amp;"-"&amp;LEFT($B202,4)&amp;"*-0*",INDIRECT(Formulas!$B$3)),0)</f>
        <v>0</v>
      </c>
      <c r="G202" s="466">
        <f ca="1">ROUND(SUMIF(INDIRECT(Formulas!$B$1),MID(G$1,2,2)&amp;"-"&amp;LEFT($B202,4)&amp;"*-0*",INDIRECT(Formulas!$B$3)),0)</f>
        <v>0</v>
      </c>
      <c r="H202" s="468"/>
      <c r="I202" s="468"/>
      <c r="J202" s="468"/>
      <c r="K202" s="468"/>
    </row>
    <row r="203" spans="1:11" ht="12.75" customHeight="1" x14ac:dyDescent="0.2">
      <c r="A203" s="463" t="s">
        <v>72</v>
      </c>
      <c r="B203" s="470">
        <v>4399</v>
      </c>
      <c r="C203" s="466">
        <f ca="1">ROUND(SUMIF(INDIRECT(Formulas!$B$1),MID(C$1,2,2)&amp;"-"&amp;LEFT($B203,4)&amp;"*-0*",INDIRECT(Formulas!$B$3)),0)</f>
        <v>0</v>
      </c>
      <c r="D203" s="466">
        <f ca="1">ROUND(SUMIF(INDIRECT(Formulas!$B$1),MID(D$1,2,2)&amp;"-"&amp;LEFT($B203,4)&amp;"*-0*",INDIRECT(Formulas!$B$3)),0)</f>
        <v>0</v>
      </c>
      <c r="E203" s="468"/>
      <c r="F203" s="466">
        <f ca="1">ROUND(SUMIF(INDIRECT(Formulas!$B$1),MID(F$1,2,2)&amp;"-"&amp;LEFT($B203,4)&amp;"*-0*",INDIRECT(Formulas!$B$3)),0)</f>
        <v>0</v>
      </c>
      <c r="G203" s="466">
        <f ca="1">ROUND(SUMIF(INDIRECT(Formulas!$B$1),MID(G$1,2,2)&amp;"-"&amp;LEFT($B203,4)&amp;"*-0*",INDIRECT(Formulas!$B$3)),0)</f>
        <v>0</v>
      </c>
      <c r="H203" s="468"/>
      <c r="I203" s="468"/>
      <c r="J203" s="468"/>
      <c r="K203" s="468"/>
    </row>
    <row r="204" spans="1:11" ht="12.75" customHeight="1" thickBot="1" x14ac:dyDescent="0.25">
      <c r="A204" s="1691" t="s">
        <v>400</v>
      </c>
      <c r="B204" s="1692"/>
      <c r="C204" s="1690">
        <f ca="1">SUM(C200:C203)</f>
        <v>37345</v>
      </c>
      <c r="D204" s="1690">
        <f ca="1">SUM(D200:D203)</f>
        <v>0</v>
      </c>
      <c r="E204" s="468"/>
      <c r="F204" s="1690">
        <f ca="1">SUM(F200:F203)</f>
        <v>0</v>
      </c>
      <c r="G204" s="1690">
        <f ca="1">SUM(G200:G203)</f>
        <v>0</v>
      </c>
      <c r="H204" s="468"/>
      <c r="I204" s="468"/>
      <c r="J204" s="468"/>
      <c r="K204" s="468"/>
    </row>
    <row r="205" spans="1:11" ht="15.75" customHeight="1" thickTop="1" x14ac:dyDescent="0.2">
      <c r="A205" s="1583" t="s">
        <v>1139</v>
      </c>
      <c r="B205" s="1588"/>
      <c r="C205" s="548"/>
      <c r="D205" s="548"/>
      <c r="E205" s="468"/>
      <c r="F205" s="548"/>
      <c r="G205" s="548"/>
      <c r="H205" s="468"/>
      <c r="I205" s="468"/>
      <c r="J205" s="468"/>
      <c r="K205" s="468"/>
    </row>
    <row r="206" spans="1:11" ht="12.75" customHeight="1" x14ac:dyDescent="0.2">
      <c r="A206" s="463" t="s">
        <v>759</v>
      </c>
      <c r="B206" s="470">
        <v>4400</v>
      </c>
      <c r="C206" s="466">
        <f ca="1">ROUND(SUMIF(INDIRECT(Formulas!$B$1),MID(C$1,2,2)&amp;"-"&amp;LEFT($B206,4)&amp;"*-0*",INDIRECT(Formulas!$B$3)),0)</f>
        <v>10000</v>
      </c>
      <c r="D206" s="466">
        <f ca="1">ROUND(SUMIF(INDIRECT(Formulas!$B$1),MID(D$1,2,2)&amp;"-"&amp;LEFT($B206,4)&amp;"*-0*",INDIRECT(Formulas!$B$3)),0)</f>
        <v>0</v>
      </c>
      <c r="E206" s="468"/>
      <c r="F206" s="466">
        <f ca="1">ROUND(SUMIF(INDIRECT(Formulas!$B$1),MID(F$1,2,2)&amp;"-"&amp;LEFT($B206,4)&amp;"*-0*",INDIRECT(Formulas!$B$3)),0)</f>
        <v>0</v>
      </c>
      <c r="G206" s="466">
        <f ca="1">ROUND(SUMIF(INDIRECT(Formulas!$B$1),MID(G$1,2,2)&amp;"-"&amp;LEFT($B206,4)&amp;"*-0*",INDIRECT(Formulas!$B$3)),0)</f>
        <v>0</v>
      </c>
      <c r="H206" s="468"/>
      <c r="I206" s="468"/>
      <c r="J206" s="468"/>
      <c r="K206" s="468"/>
    </row>
    <row r="207" spans="1:11" ht="12.75" customHeight="1" x14ac:dyDescent="0.2">
      <c r="A207" s="463" t="s">
        <v>1453</v>
      </c>
      <c r="B207" s="470">
        <v>4421</v>
      </c>
      <c r="C207" s="466">
        <f ca="1">ROUND(SUMIF(INDIRECT(Formulas!$B$1),MID(C$1,2,2)&amp;"-"&amp;LEFT($B207,4)&amp;"*-0*",INDIRECT(Formulas!$B$3)),0)</f>
        <v>0</v>
      </c>
      <c r="D207" s="466">
        <f ca="1">ROUND(SUMIF(INDIRECT(Formulas!$B$1),MID(D$1,2,2)&amp;"-"&amp;LEFT($B207,4)&amp;"*-0*",INDIRECT(Formulas!$B$3)),0)</f>
        <v>0</v>
      </c>
      <c r="E207" s="468"/>
      <c r="F207" s="466">
        <f ca="1">ROUND(SUMIF(INDIRECT(Formulas!$B$1),MID(F$1,2,2)&amp;"-"&amp;LEFT($B207,4)&amp;"*-0*",INDIRECT(Formulas!$B$3)),0)</f>
        <v>0</v>
      </c>
      <c r="G207" s="466">
        <f ca="1">ROUND(SUMIF(INDIRECT(Formulas!$B$1),MID(G$1,2,2)&amp;"-"&amp;LEFT($B207,4)&amp;"*-0*",INDIRECT(Formulas!$B$3)),0)</f>
        <v>0</v>
      </c>
      <c r="H207" s="468"/>
      <c r="I207" s="468"/>
      <c r="J207" s="468"/>
      <c r="K207" s="468"/>
    </row>
    <row r="208" spans="1:11" ht="12.75" customHeight="1" x14ac:dyDescent="0.2">
      <c r="A208" s="463" t="s">
        <v>73</v>
      </c>
      <c r="B208" s="470">
        <v>4499</v>
      </c>
      <c r="C208" s="466">
        <f ca="1">ROUND(SUMIF(INDIRECT(Formulas!$B$1),MID(C$1,2,2)&amp;"-"&amp;LEFT($B208,4)&amp;"*-0*",INDIRECT(Formulas!$B$3)),0)</f>
        <v>0</v>
      </c>
      <c r="D208" s="466">
        <f ca="1">ROUND(SUMIF(INDIRECT(Formulas!$B$1),MID(D$1,2,2)&amp;"-"&amp;LEFT($B208,4)&amp;"*-0*",INDIRECT(Formulas!$B$3)),0)</f>
        <v>0</v>
      </c>
      <c r="E208" s="468"/>
      <c r="F208" s="466">
        <f ca="1">ROUND(SUMIF(INDIRECT(Formulas!$B$1),MID(F$1,2,2)&amp;"-"&amp;LEFT($B208,4)&amp;"*-0*",INDIRECT(Formulas!$B$3)),0)</f>
        <v>0</v>
      </c>
      <c r="G208" s="466">
        <f ca="1">ROUND(SUMIF(INDIRECT(Formulas!$B$1),MID(G$1,2,2)&amp;"-"&amp;LEFT($B208,4)&amp;"*-0*",INDIRECT(Formulas!$B$3)),0)</f>
        <v>0</v>
      </c>
      <c r="H208" s="468"/>
      <c r="I208" s="468"/>
      <c r="J208" s="468"/>
      <c r="K208" s="468"/>
    </row>
    <row r="209" spans="1:11" ht="12.75" customHeight="1" thickBot="1" x14ac:dyDescent="0.25">
      <c r="A209" s="1691" t="s">
        <v>889</v>
      </c>
      <c r="B209" s="1692"/>
      <c r="C209" s="1690">
        <f ca="1">SUM(C206:C208)</f>
        <v>10000</v>
      </c>
      <c r="D209" s="1690">
        <f ca="1">SUM(D206:D208)</f>
        <v>0</v>
      </c>
      <c r="E209" s="468" t="s">
        <v>1169</v>
      </c>
      <c r="F209" s="1690">
        <f ca="1">SUM(F206:F208)</f>
        <v>0</v>
      </c>
      <c r="G209" s="1690">
        <f ca="1">SUM(G206:G208)</f>
        <v>0</v>
      </c>
      <c r="H209" s="468"/>
      <c r="I209" s="468"/>
      <c r="J209" s="468"/>
      <c r="K209" s="468"/>
    </row>
    <row r="210" spans="1:11" ht="15.75" customHeight="1" thickTop="1" x14ac:dyDescent="0.2">
      <c r="A210" s="1583" t="s">
        <v>1092</v>
      </c>
      <c r="B210" s="1588"/>
      <c r="C210" s="548"/>
      <c r="D210" s="548"/>
      <c r="E210" s="468"/>
      <c r="F210" s="548"/>
      <c r="G210" s="548"/>
      <c r="H210" s="468"/>
      <c r="I210" s="468"/>
      <c r="J210" s="468"/>
      <c r="K210" s="468"/>
    </row>
    <row r="211" spans="1:11" ht="12.75" customHeight="1" x14ac:dyDescent="0.2">
      <c r="A211" s="463" t="s">
        <v>1052</v>
      </c>
      <c r="B211" s="470">
        <v>4600</v>
      </c>
      <c r="C211" s="466">
        <f ca="1">ROUND(SUMIF(INDIRECT(Formulas!$B$1),MID(C$1,2,2)&amp;"-"&amp;LEFT($B211,4)&amp;"*-0*",INDIRECT(Formulas!$B$3)),0)</f>
        <v>0</v>
      </c>
      <c r="D211" s="466">
        <f ca="1">ROUND(SUMIF(INDIRECT(Formulas!$B$1),MID(D$1,2,2)&amp;"-"&amp;LEFT($B211,4)&amp;"*-0*",INDIRECT(Formulas!$B$3)),0)</f>
        <v>0</v>
      </c>
      <c r="E211" s="468"/>
      <c r="F211" s="466">
        <f ca="1">ROUND(SUMIF(INDIRECT(Formulas!$B$1),MID(F$1,2,2)&amp;"-"&amp;LEFT($B211,4)&amp;"*-0*",INDIRECT(Formulas!$B$3)),0)</f>
        <v>0</v>
      </c>
      <c r="G211" s="466">
        <f ca="1">ROUND(SUMIF(INDIRECT(Formulas!$B$1),MID(G$1,2,2)&amp;"-"&amp;LEFT($B211,4)&amp;"*-0*",INDIRECT(Formulas!$B$3)),0)</f>
        <v>0</v>
      </c>
      <c r="H211" s="468"/>
      <c r="I211" s="468"/>
      <c r="J211" s="468"/>
      <c r="K211" s="468"/>
    </row>
    <row r="212" spans="1:11" ht="12.75" customHeight="1" x14ac:dyDescent="0.2">
      <c r="A212" s="463" t="s">
        <v>1053</v>
      </c>
      <c r="B212" s="470">
        <v>4605</v>
      </c>
      <c r="C212" s="466">
        <f ca="1">ROUND(SUMIF(INDIRECT(Formulas!$B$1),MID(C$1,2,2)&amp;"-"&amp;LEFT($B212,4)&amp;"*-0*",INDIRECT(Formulas!$B$3)),0)</f>
        <v>0</v>
      </c>
      <c r="D212" s="466">
        <f ca="1">ROUND(SUMIF(INDIRECT(Formulas!$B$1),MID(D$1,2,2)&amp;"-"&amp;LEFT($B212,4)&amp;"*-0*",INDIRECT(Formulas!$B$3)),0)</f>
        <v>0</v>
      </c>
      <c r="E212" s="468"/>
      <c r="F212" s="466">
        <f ca="1">ROUND(SUMIF(INDIRECT(Formulas!$B$1),MID(F$1,2,2)&amp;"-"&amp;LEFT($B212,4)&amp;"*-0*",INDIRECT(Formulas!$B$3)),0)</f>
        <v>0</v>
      </c>
      <c r="G212" s="466">
        <f ca="1">ROUND(SUMIF(INDIRECT(Formulas!$B$1),MID(G$1,2,2)&amp;"-"&amp;LEFT($B212,4)&amp;"*-0*",INDIRECT(Formulas!$B$3)),0)</f>
        <v>0</v>
      </c>
      <c r="H212" s="468"/>
      <c r="I212" s="468"/>
      <c r="J212" s="468"/>
      <c r="K212" s="468"/>
    </row>
    <row r="213" spans="1:11" ht="12.75" customHeight="1" x14ac:dyDescent="0.2">
      <c r="A213" s="463" t="s">
        <v>1454</v>
      </c>
      <c r="B213" s="552">
        <v>4620</v>
      </c>
      <c r="C213" s="466">
        <f ca="1">ROUND(SUMIF(INDIRECT(Formulas!$B$1),MID(C$1,2,2)&amp;"-"&amp;LEFT($B213,4)&amp;"*-0*",INDIRECT(Formulas!$B$3)),0)</f>
        <v>0</v>
      </c>
      <c r="D213" s="466">
        <f ca="1">ROUND(SUMIF(INDIRECT(Formulas!$B$1),MID(D$1,2,2)&amp;"-"&amp;LEFT($B213,4)&amp;"*-0*",INDIRECT(Formulas!$B$3)),0)</f>
        <v>0</v>
      </c>
      <c r="E213" s="468"/>
      <c r="F213" s="466">
        <f ca="1">ROUND(SUMIF(INDIRECT(Formulas!$B$1),MID(F$1,2,2)&amp;"-"&amp;LEFT($B213,4)&amp;"*-0*",INDIRECT(Formulas!$B$3)),0)</f>
        <v>0</v>
      </c>
      <c r="G213" s="466">
        <f ca="1">ROUND(SUMIF(INDIRECT(Formulas!$B$1),MID(G$1,2,2)&amp;"-"&amp;LEFT($B213,4)&amp;"*-0*",INDIRECT(Formulas!$B$3)),0)</f>
        <v>0</v>
      </c>
      <c r="H213" s="468"/>
      <c r="I213" s="468"/>
      <c r="J213" s="468"/>
      <c r="K213" s="468"/>
    </row>
    <row r="214" spans="1:11" ht="12.75" customHeight="1" x14ac:dyDescent="0.2">
      <c r="A214" s="463" t="s">
        <v>1054</v>
      </c>
      <c r="B214" s="470">
        <v>4625</v>
      </c>
      <c r="C214" s="466">
        <f ca="1">ROUND(SUMIF(INDIRECT(Formulas!$B$1),MID(C$1,2,2)&amp;"-"&amp;LEFT($B214,4)&amp;"*-0*",INDIRECT(Formulas!$B$3)),0)</f>
        <v>11788</v>
      </c>
      <c r="D214" s="466">
        <f ca="1">ROUND(SUMIF(INDIRECT(Formulas!$B$1),MID(D$1,2,2)&amp;"-"&amp;LEFT($B214,4)&amp;"*-0*",INDIRECT(Formulas!$B$3)),0)</f>
        <v>0</v>
      </c>
      <c r="E214" s="468"/>
      <c r="F214" s="466">
        <f ca="1">ROUND(SUMIF(INDIRECT(Formulas!$B$1),MID(F$1,2,2)&amp;"-"&amp;LEFT($B214,4)&amp;"*-0*",INDIRECT(Formulas!$B$3)),0)</f>
        <v>0</v>
      </c>
      <c r="G214" s="466">
        <f ca="1">ROUND(SUMIF(INDIRECT(Formulas!$B$1),MID(G$1,2,2)&amp;"-"&amp;LEFT($B214,4)&amp;"*-0*",INDIRECT(Formulas!$B$3)),0)</f>
        <v>0</v>
      </c>
      <c r="H214" s="468"/>
      <c r="I214" s="468"/>
      <c r="J214" s="468"/>
      <c r="K214" s="468"/>
    </row>
    <row r="215" spans="1:11" ht="12.75" customHeight="1" x14ac:dyDescent="0.2">
      <c r="A215" s="463" t="s">
        <v>1055</v>
      </c>
      <c r="B215" s="470">
        <v>4630</v>
      </c>
      <c r="C215" s="466">
        <f ca="1">ROUND(SUMIF(INDIRECT(Formulas!$B$1),MID(C$1,2,2)&amp;"-"&amp;LEFT($B215,4)&amp;"*-0*",INDIRECT(Formulas!$B$3)),0)</f>
        <v>0</v>
      </c>
      <c r="D215" s="466">
        <f ca="1">ROUND(SUMIF(INDIRECT(Formulas!$B$1),MID(D$1,2,2)&amp;"-"&amp;LEFT($B215,4)&amp;"*-0*",INDIRECT(Formulas!$B$3)),0)</f>
        <v>0</v>
      </c>
      <c r="E215" s="468"/>
      <c r="F215" s="466">
        <f ca="1">ROUND(SUMIF(INDIRECT(Formulas!$B$1),MID(F$1,2,2)&amp;"-"&amp;LEFT($B215,4)&amp;"*-0*",INDIRECT(Formulas!$B$3)),0)</f>
        <v>0</v>
      </c>
      <c r="G215" s="466">
        <f ca="1">ROUND(SUMIF(INDIRECT(Formulas!$B$1),MID(G$1,2,2)&amp;"-"&amp;LEFT($B215,4)&amp;"*-0*",INDIRECT(Formulas!$B$3)),0)</f>
        <v>0</v>
      </c>
      <c r="H215" s="468"/>
      <c r="I215" s="468"/>
      <c r="J215" s="468"/>
      <c r="K215" s="468"/>
    </row>
    <row r="216" spans="1:11" ht="12.75" customHeight="1" x14ac:dyDescent="0.2">
      <c r="A216" s="1484" t="s">
        <v>74</v>
      </c>
      <c r="B216" s="552">
        <v>4699</v>
      </c>
      <c r="C216" s="466">
        <f ca="1">ROUND(SUMIF(INDIRECT(Formulas!$B$1),MID(C$1,2,2)&amp;"-"&amp;LEFT($B216,4)&amp;"*-0*",INDIRECT(Formulas!$B$3)),0)</f>
        <v>0</v>
      </c>
      <c r="D216" s="466">
        <f ca="1">ROUND(SUMIF(INDIRECT(Formulas!$B$1),MID(D$1,2,2)&amp;"-"&amp;LEFT($B216,4)&amp;"*-0*",INDIRECT(Formulas!$B$3)),0)</f>
        <v>0</v>
      </c>
      <c r="E216" s="468"/>
      <c r="F216" s="466">
        <f ca="1">ROUND(SUMIF(INDIRECT(Formulas!$B$1),MID(F$1,2,2)&amp;"-"&amp;LEFT($B216,4)&amp;"*-0*",INDIRECT(Formulas!$B$3)),0)</f>
        <v>0</v>
      </c>
      <c r="G216" s="466">
        <f ca="1">ROUND(SUMIF(INDIRECT(Formulas!$B$1),MID(G$1,2,2)&amp;"-"&amp;LEFT($B216,4)&amp;"*-0*",INDIRECT(Formulas!$B$3)),0)</f>
        <v>0</v>
      </c>
      <c r="H216" s="468"/>
      <c r="I216" s="468"/>
      <c r="J216" s="468"/>
      <c r="K216" s="468"/>
    </row>
    <row r="217" spans="1:11" ht="12.75" customHeight="1" thickBot="1" x14ac:dyDescent="0.25">
      <c r="A217" s="1691" t="s">
        <v>447</v>
      </c>
      <c r="B217" s="1692"/>
      <c r="C217" s="1690">
        <f ca="1">SUM(C211:C216)</f>
        <v>11788</v>
      </c>
      <c r="D217" s="1690">
        <f ca="1">SUM(D211:D216)</f>
        <v>0</v>
      </c>
      <c r="E217" s="468"/>
      <c r="F217" s="1690">
        <f ca="1">SUM(F211:F216)</f>
        <v>0</v>
      </c>
      <c r="G217" s="1690">
        <f ca="1">SUM(G211:G216)</f>
        <v>0</v>
      </c>
      <c r="H217" s="468"/>
      <c r="I217" s="468"/>
      <c r="J217" s="468"/>
      <c r="K217" s="468"/>
    </row>
    <row r="218" spans="1:11" ht="15.75" customHeight="1" thickTop="1" x14ac:dyDescent="0.2">
      <c r="A218" s="1583" t="s">
        <v>1093</v>
      </c>
      <c r="B218" s="1588"/>
      <c r="C218" s="548"/>
      <c r="D218" s="548"/>
      <c r="E218" s="468"/>
      <c r="F218" s="548"/>
      <c r="G218" s="548"/>
      <c r="H218" s="468"/>
      <c r="I218" s="468"/>
      <c r="J218" s="468"/>
      <c r="K218" s="468"/>
    </row>
    <row r="219" spans="1:11" ht="12.75" customHeight="1" x14ac:dyDescent="0.2">
      <c r="A219" s="463" t="s">
        <v>787</v>
      </c>
      <c r="B219" s="470">
        <v>4770</v>
      </c>
      <c r="C219" s="466">
        <f ca="1">ROUND(SUMIF(INDIRECT(Formulas!$B$1),MID(C$1,2,2)&amp;"-"&amp;LEFT($B219,4)&amp;"*-0*",INDIRECT(Formulas!$B$3)),0)</f>
        <v>0</v>
      </c>
      <c r="D219" s="466">
        <f ca="1">ROUND(SUMIF(INDIRECT(Formulas!$B$1),MID(D$1,2,2)&amp;"-"&amp;LEFT($B219,4)&amp;"*-0*",INDIRECT(Formulas!$B$3)),0)</f>
        <v>0</v>
      </c>
      <c r="E219" s="468"/>
      <c r="F219" s="468"/>
      <c r="G219" s="466">
        <f ca="1">ROUND(SUMIF(INDIRECT(Formulas!$B$1),MID(G$1,2,2)&amp;"-"&amp;LEFT($B219,4)&amp;"*-0*",INDIRECT(Formulas!$B$3)),0)</f>
        <v>0</v>
      </c>
      <c r="H219" s="468"/>
      <c r="I219" s="468"/>
      <c r="J219" s="468"/>
      <c r="K219" s="468"/>
    </row>
    <row r="220" spans="1:11" ht="12.75" customHeight="1" x14ac:dyDescent="0.2">
      <c r="A220" s="463" t="s">
        <v>67</v>
      </c>
      <c r="B220" s="470">
        <v>4799</v>
      </c>
      <c r="C220" s="466">
        <f ca="1">ROUND(SUMIF(INDIRECT(Formulas!$B$1),MID(C$1,2,2)&amp;"-"&amp;LEFT($B220,4)&amp;"*-0*",INDIRECT(Formulas!$B$3)),0)</f>
        <v>0</v>
      </c>
      <c r="D220" s="466">
        <f ca="1">ROUND(SUMIF(INDIRECT(Formulas!$B$1),MID(D$1,2,2)&amp;"-"&amp;LEFT($B220,4)&amp;"*-0*",INDIRECT(Formulas!$B$3)),0)</f>
        <v>0</v>
      </c>
      <c r="E220" s="468"/>
      <c r="F220" s="468"/>
      <c r="G220" s="466">
        <f ca="1">ROUND(SUMIF(INDIRECT(Formulas!$B$1),MID(G$1,2,2)&amp;"-"&amp;LEFT($B220,4)&amp;"*-0*",INDIRECT(Formulas!$B$3)),0)</f>
        <v>0</v>
      </c>
      <c r="H220" s="468"/>
      <c r="I220" s="468"/>
      <c r="J220" s="468"/>
      <c r="K220" s="468"/>
    </row>
    <row r="221" spans="1:11" ht="12.75" customHeight="1" thickBot="1" x14ac:dyDescent="0.25">
      <c r="A221" s="1706" t="s">
        <v>1085</v>
      </c>
      <c r="B221" s="1707"/>
      <c r="C221" s="1690">
        <f ca="1">SUM(C219:C220)</f>
        <v>0</v>
      </c>
      <c r="D221" s="1690">
        <f ca="1">SUM(D219:D220)</f>
        <v>0</v>
      </c>
      <c r="E221" s="468"/>
      <c r="F221" s="468"/>
      <c r="G221" s="1690">
        <f ca="1">SUM(G219:G220)</f>
        <v>0</v>
      </c>
      <c r="H221" s="468"/>
      <c r="I221" s="468"/>
      <c r="J221" s="468"/>
      <c r="K221" s="468"/>
    </row>
    <row r="222" spans="1:11" ht="12.75" customHeight="1" thickTop="1" x14ac:dyDescent="0.2">
      <c r="A222" s="490" t="s">
        <v>757</v>
      </c>
      <c r="B222" s="488">
        <v>4810</v>
      </c>
      <c r="C222" s="466">
        <f ca="1">ROUND(SUMIF(INDIRECT(Formulas!$B$1),MID(C$1,2,2)&amp;"-"&amp;LEFT($B222,4)&amp;"*-0*",INDIRECT(Formulas!$B$3)),0)</f>
        <v>0</v>
      </c>
      <c r="D222" s="466">
        <f ca="1">ROUND(SUMIF(INDIRECT(Formulas!$B$1),MID(D$1,2,2)&amp;"-"&amp;LEFT($B222,4)&amp;"*-0*",INDIRECT(Formulas!$B$3)),0)</f>
        <v>0</v>
      </c>
      <c r="E222" s="468"/>
      <c r="F222" s="468"/>
      <c r="G222" s="466">
        <f ca="1">ROUND(SUMIF(INDIRECT(Formulas!$B$1),MID(G$1,2,2)&amp;"-"&amp;LEFT($B222,4)&amp;"*-0*",INDIRECT(Formulas!$B$3)),0)</f>
        <v>0</v>
      </c>
      <c r="H222" s="468"/>
      <c r="I222" s="468"/>
      <c r="J222" s="468"/>
      <c r="K222" s="468"/>
    </row>
    <row r="223" spans="1:11" ht="12.75" customHeight="1" x14ac:dyDescent="0.2">
      <c r="A223" s="490" t="s">
        <v>350</v>
      </c>
      <c r="B223" s="488">
        <v>4850</v>
      </c>
      <c r="C223" s="466">
        <f ca="1">ROUND(SUMIF(INDIRECT(Formulas!$B$1),MID(C$1,2,2)&amp;"-"&amp;LEFT($B223,4)&amp;"*-0*",INDIRECT(Formulas!$B$3)),0)</f>
        <v>0</v>
      </c>
      <c r="D223" s="466">
        <f ca="1">ROUND(SUMIF(INDIRECT(Formulas!$B$1),MID(D$1,2,2)&amp;"-"&amp;LEFT($B223,4)&amp;"*-0*",INDIRECT(Formulas!$B$3)),0)</f>
        <v>0</v>
      </c>
      <c r="E223" s="466">
        <f ca="1">ROUND(SUMIF(INDIRECT(Formulas!$B$1),MID(E$1,2,2)&amp;"-"&amp;LEFT($B223,4)&amp;"*-0*",INDIRECT(Formulas!$B$3)),0)</f>
        <v>0</v>
      </c>
      <c r="F223" s="466">
        <f ca="1">ROUND(SUMIF(INDIRECT(Formulas!$B$1),MID(F$1,2,2)&amp;"-"&amp;LEFT($B223,4)&amp;"*-0*",INDIRECT(Formulas!$B$3)),0)</f>
        <v>0</v>
      </c>
      <c r="G223" s="466">
        <f ca="1">ROUND(SUMIF(INDIRECT(Formulas!$B$1),MID(G$1,2,2)&amp;"-"&amp;LEFT($B223,4)&amp;"*-0*",INDIRECT(Formulas!$B$3)),0)</f>
        <v>0</v>
      </c>
      <c r="H223" s="466">
        <f ca="1">ROUND(SUMIF(INDIRECT(Formulas!$B$1),MID(H$1,2,2)&amp;"-"&amp;LEFT($B223,4)&amp;"*-0*",INDIRECT(Formulas!$B$3)),0)</f>
        <v>0</v>
      </c>
      <c r="I223" s="468"/>
      <c r="J223" s="466">
        <f ca="1">ROUND(SUMIF(INDIRECT(Formulas!$B$1),MID(J$1,2,2)&amp;"-"&amp;LEFT($B223,4)&amp;"*-0*",INDIRECT(Formulas!$B$3)),0)</f>
        <v>0</v>
      </c>
      <c r="K223" s="466">
        <f ca="1">ROUND(SUMIF(INDIRECT(Formulas!$B$1),MID(K$1,2,2)&amp;"-"&amp;LEFT($B223,4)&amp;"*-0*",INDIRECT(Formulas!$B$3)),0)</f>
        <v>0</v>
      </c>
    </row>
    <row r="224" spans="1:11" ht="12.75" customHeight="1" x14ac:dyDescent="0.2">
      <c r="A224" s="490" t="s">
        <v>351</v>
      </c>
      <c r="B224" s="488">
        <v>4851</v>
      </c>
      <c r="C224" s="466">
        <f ca="1">ROUND(SUMIF(INDIRECT(Formulas!$B$1),MID(C$1,2,2)&amp;"-"&amp;LEFT($B224,4)&amp;"*-0*",INDIRECT(Formulas!$B$3)),0)</f>
        <v>0</v>
      </c>
      <c r="D224" s="466">
        <f ca="1">ROUND(SUMIF(INDIRECT(Formulas!$B$1),MID(D$1,2,2)&amp;"-"&amp;LEFT($B224,4)&amp;"*-0*",INDIRECT(Formulas!$B$3)),0)</f>
        <v>0</v>
      </c>
      <c r="E224" s="468"/>
      <c r="F224" s="466">
        <f ca="1">ROUND(SUMIF(INDIRECT(Formulas!$B$1),MID(F$1,2,2)&amp;"-"&amp;LEFT($B224,4)&amp;"*-0*",INDIRECT(Formulas!$B$3)),0)</f>
        <v>0</v>
      </c>
      <c r="G224" s="466">
        <f ca="1">ROUND(SUMIF(INDIRECT(Formulas!$B$1),MID(G$1,2,2)&amp;"-"&amp;LEFT($B224,4)&amp;"*-0*",INDIRECT(Formulas!$B$3)),0)</f>
        <v>0</v>
      </c>
      <c r="H224" s="468"/>
      <c r="I224" s="468"/>
      <c r="J224" s="468"/>
      <c r="K224" s="468"/>
    </row>
    <row r="225" spans="1:11" ht="12.75" customHeight="1" x14ac:dyDescent="0.2">
      <c r="A225" s="490" t="s">
        <v>352</v>
      </c>
      <c r="B225" s="488">
        <v>4852</v>
      </c>
      <c r="C225" s="466">
        <f ca="1">ROUND(SUMIF(INDIRECT(Formulas!$B$1),MID(C$1,2,2)&amp;"-"&amp;LEFT($B225,4)&amp;"*-0*",INDIRECT(Formulas!$B$3)),0)</f>
        <v>0</v>
      </c>
      <c r="D225" s="466">
        <f ca="1">ROUND(SUMIF(INDIRECT(Formulas!$B$1),MID(D$1,2,2)&amp;"-"&amp;LEFT($B225,4)&amp;"*-0*",INDIRECT(Formulas!$B$3)),0)</f>
        <v>0</v>
      </c>
      <c r="E225" s="466">
        <f ca="1">ROUND(SUMIF(INDIRECT(Formulas!$B$1),MID(E$1,2,2)&amp;"-"&amp;LEFT($B225,4)&amp;"*-0*",INDIRECT(Formulas!$B$3)),0)</f>
        <v>0</v>
      </c>
      <c r="F225" s="466">
        <f ca="1">ROUND(SUMIF(INDIRECT(Formulas!$B$1),MID(F$1,2,2)&amp;"-"&amp;LEFT($B225,4)&amp;"*-0*",INDIRECT(Formulas!$B$3)),0)</f>
        <v>0</v>
      </c>
      <c r="G225" s="466">
        <f ca="1">ROUND(SUMIF(INDIRECT(Formulas!$B$1),MID(G$1,2,2)&amp;"-"&amp;LEFT($B225,4)&amp;"*-0*",INDIRECT(Formulas!$B$3)),0)</f>
        <v>0</v>
      </c>
      <c r="H225" s="466">
        <f ca="1">ROUND(SUMIF(INDIRECT(Formulas!$B$1),MID(H$1,2,2)&amp;"-"&amp;LEFT($B225,4)&amp;"*-0*",INDIRECT(Formulas!$B$3)),0)</f>
        <v>0</v>
      </c>
      <c r="I225" s="468"/>
      <c r="J225" s="466">
        <f ca="1">ROUND(SUMIF(INDIRECT(Formulas!$B$1),MID(J$1,2,2)&amp;"-"&amp;LEFT($B225,4)&amp;"*-0*",INDIRECT(Formulas!$B$3)),0)</f>
        <v>0</v>
      </c>
      <c r="K225" s="466">
        <f ca="1">ROUND(SUMIF(INDIRECT(Formulas!$B$1),MID(K$1,2,2)&amp;"-"&amp;LEFT($B225,4)&amp;"*-0*",INDIRECT(Formulas!$B$3)),0)</f>
        <v>0</v>
      </c>
    </row>
    <row r="226" spans="1:11" ht="12.75" customHeight="1" x14ac:dyDescent="0.2">
      <c r="A226" s="490" t="s">
        <v>353</v>
      </c>
      <c r="B226" s="488">
        <v>4853</v>
      </c>
      <c r="C226" s="466">
        <f ca="1">ROUND(SUMIF(INDIRECT(Formulas!$B$1),MID(C$1,2,2)&amp;"-"&amp;LEFT($B226,4)&amp;"*-0*",INDIRECT(Formulas!$B$3)),0)</f>
        <v>0</v>
      </c>
      <c r="D226" s="466">
        <f ca="1">ROUND(SUMIF(INDIRECT(Formulas!$B$1),MID(D$1,2,2)&amp;"-"&amp;LEFT($B226,4)&amp;"*-0*",INDIRECT(Formulas!$B$3)),0)</f>
        <v>0</v>
      </c>
      <c r="E226" s="466">
        <f ca="1">ROUND(SUMIF(INDIRECT(Formulas!$B$1),MID(E$1,2,2)&amp;"-"&amp;LEFT($B226,4)&amp;"*-0*",INDIRECT(Formulas!$B$3)),0)</f>
        <v>0</v>
      </c>
      <c r="F226" s="466">
        <f ca="1">ROUND(SUMIF(INDIRECT(Formulas!$B$1),MID(F$1,2,2)&amp;"-"&amp;LEFT($B226,4)&amp;"*-0*",INDIRECT(Formulas!$B$3)),0)</f>
        <v>0</v>
      </c>
      <c r="G226" s="466">
        <f ca="1">ROUND(SUMIF(INDIRECT(Formulas!$B$1),MID(G$1,2,2)&amp;"-"&amp;LEFT($B226,4)&amp;"*-0*",INDIRECT(Formulas!$B$3)),0)</f>
        <v>0</v>
      </c>
      <c r="H226" s="466">
        <f ca="1">ROUND(SUMIF(INDIRECT(Formulas!$B$1),MID(H$1,2,2)&amp;"-"&amp;LEFT($B226,4)&amp;"*-0*",INDIRECT(Formulas!$B$3)),0)</f>
        <v>0</v>
      </c>
      <c r="I226" s="468"/>
      <c r="J226" s="466">
        <f ca="1">ROUND(SUMIF(INDIRECT(Formulas!$B$1),MID(J$1,2,2)&amp;"-"&amp;LEFT($B226,4)&amp;"*-0*",INDIRECT(Formulas!$B$3)),0)</f>
        <v>0</v>
      </c>
      <c r="K226" s="466">
        <f ca="1">ROUND(SUMIF(INDIRECT(Formulas!$B$1),MID(K$1,2,2)&amp;"-"&amp;LEFT($B226,4)&amp;"*-0*",INDIRECT(Formulas!$B$3)),0)</f>
        <v>0</v>
      </c>
    </row>
    <row r="227" spans="1:11" ht="12.75" customHeight="1" x14ac:dyDescent="0.2">
      <c r="A227" s="490" t="s">
        <v>354</v>
      </c>
      <c r="B227" s="488">
        <v>4854</v>
      </c>
      <c r="C227" s="466">
        <f ca="1">ROUND(SUMIF(INDIRECT(Formulas!$B$1),MID(C$1,2,2)&amp;"-"&amp;LEFT($B227,4)&amp;"*-0*",INDIRECT(Formulas!$B$3)),0)</f>
        <v>0</v>
      </c>
      <c r="D227" s="466">
        <f ca="1">ROUND(SUMIF(INDIRECT(Formulas!$B$1),MID(D$1,2,2)&amp;"-"&amp;LEFT($B227,4)&amp;"*-0*",INDIRECT(Formulas!$B$3)),0)</f>
        <v>0</v>
      </c>
      <c r="E227" s="466">
        <f ca="1">ROUND(SUMIF(INDIRECT(Formulas!$B$1),MID(E$1,2,2)&amp;"-"&amp;LEFT($B227,4)&amp;"*-0*",INDIRECT(Formulas!$B$3)),0)</f>
        <v>0</v>
      </c>
      <c r="F227" s="466">
        <f ca="1">ROUND(SUMIF(INDIRECT(Formulas!$B$1),MID(F$1,2,2)&amp;"-"&amp;LEFT($B227,4)&amp;"*-0*",INDIRECT(Formulas!$B$3)),0)</f>
        <v>0</v>
      </c>
      <c r="G227" s="466">
        <f ca="1">ROUND(SUMIF(INDIRECT(Formulas!$B$1),MID(G$1,2,2)&amp;"-"&amp;LEFT($B227,4)&amp;"*-0*",INDIRECT(Formulas!$B$3)),0)</f>
        <v>0</v>
      </c>
      <c r="H227" s="466">
        <f ca="1">ROUND(SUMIF(INDIRECT(Formulas!$B$1),MID(H$1,2,2)&amp;"-"&amp;LEFT($B227,4)&amp;"*-0*",INDIRECT(Formulas!$B$3)),0)</f>
        <v>0</v>
      </c>
      <c r="I227" s="468"/>
      <c r="J227" s="466">
        <f ca="1">ROUND(SUMIF(INDIRECT(Formulas!$B$1),MID(J$1,2,2)&amp;"-"&amp;LEFT($B227,4)&amp;"*-0*",INDIRECT(Formulas!$B$3)),0)</f>
        <v>0</v>
      </c>
      <c r="K227" s="466">
        <f ca="1">ROUND(SUMIF(INDIRECT(Formulas!$B$1),MID(K$1,2,2)&amp;"-"&amp;LEFT($B227,4)&amp;"*-0*",INDIRECT(Formulas!$B$3)),0)</f>
        <v>0</v>
      </c>
    </row>
    <row r="228" spans="1:11" ht="12.75" customHeight="1" x14ac:dyDescent="0.2">
      <c r="A228" s="490" t="s">
        <v>464</v>
      </c>
      <c r="B228" s="488">
        <v>4855</v>
      </c>
      <c r="C228" s="466">
        <f ca="1">ROUND(SUMIF(INDIRECT(Formulas!$B$1),MID(C$1,2,2)&amp;"-"&amp;LEFT($B228,4)&amp;"*-0*",INDIRECT(Formulas!$B$3)),0)</f>
        <v>0</v>
      </c>
      <c r="D228" s="466">
        <f ca="1">ROUND(SUMIF(INDIRECT(Formulas!$B$1),MID(D$1,2,2)&amp;"-"&amp;LEFT($B228,4)&amp;"*-0*",INDIRECT(Formulas!$B$3)),0)</f>
        <v>0</v>
      </c>
      <c r="E228" s="466">
        <f ca="1">ROUND(SUMIF(INDIRECT(Formulas!$B$1),MID(E$1,2,2)&amp;"-"&amp;LEFT($B228,4)&amp;"*-0*",INDIRECT(Formulas!$B$3)),0)</f>
        <v>0</v>
      </c>
      <c r="F228" s="466">
        <f ca="1">ROUND(SUMIF(INDIRECT(Formulas!$B$1),MID(F$1,2,2)&amp;"-"&amp;LEFT($B228,4)&amp;"*-0*",INDIRECT(Formulas!$B$3)),0)</f>
        <v>0</v>
      </c>
      <c r="G228" s="466">
        <f ca="1">ROUND(SUMIF(INDIRECT(Formulas!$B$1),MID(G$1,2,2)&amp;"-"&amp;LEFT($B228,4)&amp;"*-0*",INDIRECT(Formulas!$B$3)),0)</f>
        <v>0</v>
      </c>
      <c r="H228" s="466">
        <f ca="1">ROUND(SUMIF(INDIRECT(Formulas!$B$1),MID(H$1,2,2)&amp;"-"&amp;LEFT($B228,4)&amp;"*-0*",INDIRECT(Formulas!$B$3)),0)</f>
        <v>0</v>
      </c>
      <c r="I228" s="468"/>
      <c r="J228" s="466">
        <f ca="1">ROUND(SUMIF(INDIRECT(Formulas!$B$1),MID(J$1,2,2)&amp;"-"&amp;LEFT($B228,4)&amp;"*-0*",INDIRECT(Formulas!$B$3)),0)</f>
        <v>0</v>
      </c>
      <c r="K228" s="466">
        <f ca="1">ROUND(SUMIF(INDIRECT(Formulas!$B$1),MID(K$1,2,2)&amp;"-"&amp;LEFT($B228,4)&amp;"*-0*",INDIRECT(Formulas!$B$3)),0)</f>
        <v>0</v>
      </c>
    </row>
    <row r="229" spans="1:11" ht="12.75" customHeight="1" x14ac:dyDescent="0.2">
      <c r="A229" s="490" t="s">
        <v>355</v>
      </c>
      <c r="B229" s="488">
        <v>4856</v>
      </c>
      <c r="C229" s="466">
        <f ca="1">ROUND(SUMIF(INDIRECT(Formulas!$B$1),MID(C$1,2,2)&amp;"-"&amp;LEFT($B229,4)&amp;"*-0*",INDIRECT(Formulas!$B$3)),0)</f>
        <v>0</v>
      </c>
      <c r="D229" s="466">
        <f ca="1">ROUND(SUMIF(INDIRECT(Formulas!$B$1),MID(D$1,2,2)&amp;"-"&amp;LEFT($B229,4)&amp;"*-0*",INDIRECT(Formulas!$B$3)),0)</f>
        <v>0</v>
      </c>
      <c r="E229" s="466">
        <f ca="1">ROUND(SUMIF(INDIRECT(Formulas!$B$1),MID(E$1,2,2)&amp;"-"&amp;LEFT($B229,4)&amp;"*-0*",INDIRECT(Formulas!$B$3)),0)</f>
        <v>0</v>
      </c>
      <c r="F229" s="466">
        <f ca="1">ROUND(SUMIF(INDIRECT(Formulas!$B$1),MID(F$1,2,2)&amp;"-"&amp;LEFT($B229,4)&amp;"*-0*",INDIRECT(Formulas!$B$3)),0)</f>
        <v>0</v>
      </c>
      <c r="G229" s="466">
        <f ca="1">ROUND(SUMIF(INDIRECT(Formulas!$B$1),MID(G$1,2,2)&amp;"-"&amp;LEFT($B229,4)&amp;"*-0*",INDIRECT(Formulas!$B$3)),0)</f>
        <v>0</v>
      </c>
      <c r="H229" s="466">
        <f ca="1">ROUND(SUMIF(INDIRECT(Formulas!$B$1),MID(H$1,2,2)&amp;"-"&amp;LEFT($B229,4)&amp;"*-0*",INDIRECT(Formulas!$B$3)),0)</f>
        <v>0</v>
      </c>
      <c r="I229" s="468"/>
      <c r="J229" s="466">
        <f ca="1">ROUND(SUMIF(INDIRECT(Formulas!$B$1),MID(J$1,2,2)&amp;"-"&amp;LEFT($B229,4)&amp;"*-0*",INDIRECT(Formulas!$B$3)),0)</f>
        <v>0</v>
      </c>
      <c r="K229" s="466">
        <f ca="1">ROUND(SUMIF(INDIRECT(Formulas!$B$1),MID(K$1,2,2)&amp;"-"&amp;LEFT($B229,4)&amp;"*-0*",INDIRECT(Formulas!$B$3)),0)</f>
        <v>0</v>
      </c>
    </row>
    <row r="230" spans="1:11" ht="12.75" customHeight="1" x14ac:dyDescent="0.2">
      <c r="A230" s="490" t="s">
        <v>356</v>
      </c>
      <c r="B230" s="488">
        <v>4857</v>
      </c>
      <c r="C230" s="466">
        <f ca="1">ROUND(SUMIF(INDIRECT(Formulas!$B$1),MID(C$1,2,2)&amp;"-"&amp;LEFT($B230,4)&amp;"*-0*",INDIRECT(Formulas!$B$3)),0)</f>
        <v>0</v>
      </c>
      <c r="D230" s="466">
        <f ca="1">ROUND(SUMIF(INDIRECT(Formulas!$B$1),MID(D$1,2,2)&amp;"-"&amp;LEFT($B230,4)&amp;"*-0*",INDIRECT(Formulas!$B$3)),0)</f>
        <v>0</v>
      </c>
      <c r="E230" s="466">
        <f ca="1">ROUND(SUMIF(INDIRECT(Formulas!$B$1),MID(E$1,2,2)&amp;"-"&amp;LEFT($B230,4)&amp;"*-0*",INDIRECT(Formulas!$B$3)),0)</f>
        <v>0</v>
      </c>
      <c r="F230" s="466">
        <f ca="1">ROUND(SUMIF(INDIRECT(Formulas!$B$1),MID(F$1,2,2)&amp;"-"&amp;LEFT($B230,4)&amp;"*-0*",INDIRECT(Formulas!$B$3)),0)</f>
        <v>0</v>
      </c>
      <c r="G230" s="466">
        <f ca="1">ROUND(SUMIF(INDIRECT(Formulas!$B$1),MID(G$1,2,2)&amp;"-"&amp;LEFT($B230,4)&amp;"*-0*",INDIRECT(Formulas!$B$3)),0)</f>
        <v>0</v>
      </c>
      <c r="H230" s="466">
        <f ca="1">ROUND(SUMIF(INDIRECT(Formulas!$B$1),MID(H$1,2,2)&amp;"-"&amp;LEFT($B230,4)&amp;"*-0*",INDIRECT(Formulas!$B$3)),0)</f>
        <v>0</v>
      </c>
      <c r="I230" s="468"/>
      <c r="J230" s="466">
        <f ca="1">ROUND(SUMIF(INDIRECT(Formulas!$B$1),MID(J$1,2,2)&amp;"-"&amp;LEFT($B230,4)&amp;"*-0*",INDIRECT(Formulas!$B$3)),0)</f>
        <v>0</v>
      </c>
      <c r="K230" s="466">
        <f ca="1">ROUND(SUMIF(INDIRECT(Formulas!$B$1),MID(K$1,2,2)&amp;"-"&amp;LEFT($B230,4)&amp;"*-0*",INDIRECT(Formulas!$B$3)),0)</f>
        <v>0</v>
      </c>
    </row>
    <row r="231" spans="1:11" ht="12.75" customHeight="1" x14ac:dyDescent="0.2">
      <c r="A231" s="490" t="s">
        <v>357</v>
      </c>
      <c r="B231" s="488">
        <v>4860</v>
      </c>
      <c r="C231" s="466">
        <f ca="1">ROUND(SUMIF(INDIRECT(Formulas!$B$1),MID(C$1,2,2)&amp;"-"&amp;LEFT($B231,4)&amp;"*-0*",INDIRECT(Formulas!$B$3)),0)</f>
        <v>0</v>
      </c>
      <c r="D231" s="466">
        <f ca="1">ROUND(SUMIF(INDIRECT(Formulas!$B$1),MID(D$1,2,2)&amp;"-"&amp;LEFT($B231,4)&amp;"*-0*",INDIRECT(Formulas!$B$3)),0)</f>
        <v>0</v>
      </c>
      <c r="E231" s="466">
        <f ca="1">ROUND(SUMIF(INDIRECT(Formulas!$B$1),MID(E$1,2,2)&amp;"-"&amp;LEFT($B231,4)&amp;"*-0*",INDIRECT(Formulas!$B$3)),0)</f>
        <v>0</v>
      </c>
      <c r="F231" s="466">
        <f ca="1">ROUND(SUMIF(INDIRECT(Formulas!$B$1),MID(F$1,2,2)&amp;"-"&amp;LEFT($B231,4)&amp;"*-0*",INDIRECT(Formulas!$B$3)),0)</f>
        <v>0</v>
      </c>
      <c r="G231" s="466">
        <f ca="1">ROUND(SUMIF(INDIRECT(Formulas!$B$1),MID(G$1,2,2)&amp;"-"&amp;LEFT($B231,4)&amp;"*-0*",INDIRECT(Formulas!$B$3)),0)</f>
        <v>0</v>
      </c>
      <c r="H231" s="466">
        <f ca="1">ROUND(SUMIF(INDIRECT(Formulas!$B$1),MID(H$1,2,2)&amp;"-"&amp;LEFT($B231,4)&amp;"*-0*",INDIRECT(Formulas!$B$3)),0)</f>
        <v>0</v>
      </c>
      <c r="I231" s="468"/>
      <c r="J231" s="466">
        <f ca="1">ROUND(SUMIF(INDIRECT(Formulas!$B$1),MID(J$1,2,2)&amp;"-"&amp;LEFT($B231,4)&amp;"*-0*",INDIRECT(Formulas!$B$3)),0)</f>
        <v>0</v>
      </c>
      <c r="K231" s="466">
        <f ca="1">ROUND(SUMIF(INDIRECT(Formulas!$B$1),MID(K$1,2,2)&amp;"-"&amp;LEFT($B231,4)&amp;"*-0*",INDIRECT(Formulas!$B$3)),0)</f>
        <v>0</v>
      </c>
    </row>
    <row r="232" spans="1:11" ht="12.75" customHeight="1" x14ac:dyDescent="0.2">
      <c r="A232" s="490" t="s">
        <v>358</v>
      </c>
      <c r="B232" s="488">
        <v>4861</v>
      </c>
      <c r="C232" s="466">
        <f ca="1">ROUND(SUMIF(INDIRECT(Formulas!$B$1),MID(C$1,2,2)&amp;"-"&amp;LEFT($B232,4)&amp;"*-0*",INDIRECT(Formulas!$B$3)),0)</f>
        <v>0</v>
      </c>
      <c r="D232" s="466">
        <f ca="1">ROUND(SUMIF(INDIRECT(Formulas!$B$1),MID(D$1,2,2)&amp;"-"&amp;LEFT($B232,4)&amp;"*-0*",INDIRECT(Formulas!$B$3)),0)</f>
        <v>0</v>
      </c>
      <c r="E232" s="466">
        <f ca="1">ROUND(SUMIF(INDIRECT(Formulas!$B$1),MID(E$1,2,2)&amp;"-"&amp;LEFT($B232,4)&amp;"*-0*",INDIRECT(Formulas!$B$3)),0)</f>
        <v>0</v>
      </c>
      <c r="F232" s="466">
        <f ca="1">ROUND(SUMIF(INDIRECT(Formulas!$B$1),MID(F$1,2,2)&amp;"-"&amp;LEFT($B232,4)&amp;"*-0*",INDIRECT(Formulas!$B$3)),0)</f>
        <v>0</v>
      </c>
      <c r="G232" s="466">
        <f ca="1">ROUND(SUMIF(INDIRECT(Formulas!$B$1),MID(G$1,2,2)&amp;"-"&amp;LEFT($B232,4)&amp;"*-0*",INDIRECT(Formulas!$B$3)),0)</f>
        <v>0</v>
      </c>
      <c r="H232" s="466">
        <f ca="1">ROUND(SUMIF(INDIRECT(Formulas!$B$1),MID(H$1,2,2)&amp;"-"&amp;LEFT($B232,4)&amp;"*-0*",INDIRECT(Formulas!$B$3)),0)</f>
        <v>0</v>
      </c>
      <c r="I232" s="468"/>
      <c r="J232" s="466">
        <f ca="1">ROUND(SUMIF(INDIRECT(Formulas!$B$1),MID(J$1,2,2)&amp;"-"&amp;LEFT($B232,4)&amp;"*-0*",INDIRECT(Formulas!$B$3)),0)</f>
        <v>0</v>
      </c>
      <c r="K232" s="466">
        <f ca="1">ROUND(SUMIF(INDIRECT(Formulas!$B$1),MID(K$1,2,2)&amp;"-"&amp;LEFT($B232,4)&amp;"*-0*",INDIRECT(Formulas!$B$3)),0)</f>
        <v>0</v>
      </c>
    </row>
    <row r="233" spans="1:11" ht="12.75" customHeight="1" x14ac:dyDescent="0.2">
      <c r="A233" s="490" t="s">
        <v>359</v>
      </c>
      <c r="B233" s="488">
        <v>4862</v>
      </c>
      <c r="C233" s="466">
        <f ca="1">ROUND(SUMIF(INDIRECT(Formulas!$B$1),MID(C$1,2,2)&amp;"-"&amp;LEFT($B233,4)&amp;"*-0*",INDIRECT(Formulas!$B$3)),0)</f>
        <v>0</v>
      </c>
      <c r="D233" s="466">
        <f ca="1">ROUND(SUMIF(INDIRECT(Formulas!$B$1),MID(D$1,2,2)&amp;"-"&amp;LEFT($B233,4)&amp;"*-0*",INDIRECT(Formulas!$B$3)),0)</f>
        <v>0</v>
      </c>
      <c r="E233" s="475"/>
      <c r="F233" s="466">
        <f ca="1">ROUND(SUMIF(INDIRECT(Formulas!$B$1),MID(F$1,2,2)&amp;"-"&amp;LEFT($B233,4)&amp;"*-0*",INDIRECT(Formulas!$B$3)),0)</f>
        <v>0</v>
      </c>
      <c r="G233" s="466">
        <f ca="1">ROUND(SUMIF(INDIRECT(Formulas!$B$1),MID(G$1,2,2)&amp;"-"&amp;LEFT($B233,4)&amp;"*-0*",INDIRECT(Formulas!$B$3)),0)</f>
        <v>0</v>
      </c>
      <c r="H233" s="475"/>
      <c r="I233" s="468"/>
      <c r="J233" s="475"/>
      <c r="K233" s="475"/>
    </row>
    <row r="234" spans="1:11" ht="12.75" customHeight="1" x14ac:dyDescent="0.2">
      <c r="A234" s="490" t="s">
        <v>360</v>
      </c>
      <c r="B234" s="488">
        <v>4863</v>
      </c>
      <c r="C234" s="466">
        <f ca="1">ROUND(SUMIF(INDIRECT(Formulas!$B$1),MID(C$1,2,2)&amp;"-"&amp;LEFT($B234,4)&amp;"*-0*",INDIRECT(Formulas!$B$3)),0)</f>
        <v>0</v>
      </c>
      <c r="D234" s="466">
        <f ca="1">ROUND(SUMIF(INDIRECT(Formulas!$B$1),MID(D$1,2,2)&amp;"-"&amp;LEFT($B234,4)&amp;"*-0*",INDIRECT(Formulas!$B$3)),0)</f>
        <v>0</v>
      </c>
      <c r="E234" s="468"/>
      <c r="F234" s="475"/>
      <c r="G234" s="523"/>
      <c r="H234" s="468"/>
      <c r="I234" s="468"/>
      <c r="J234" s="468"/>
      <c r="K234" s="468"/>
    </row>
    <row r="235" spans="1:11" ht="12.75" customHeight="1" x14ac:dyDescent="0.2">
      <c r="A235" s="490" t="s">
        <v>469</v>
      </c>
      <c r="B235" s="488">
        <v>4864</v>
      </c>
      <c r="C235" s="466">
        <f ca="1">ROUND(SUMIF(INDIRECT(Formulas!$B$1),MID(C$1,2,2)&amp;"-"&amp;LEFT($B235,4)&amp;"*-0*",INDIRECT(Formulas!$B$3)),0)</f>
        <v>0</v>
      </c>
      <c r="D235" s="466">
        <f ca="1">ROUND(SUMIF(INDIRECT(Formulas!$B$1),MID(D$1,2,2)&amp;"-"&amp;LEFT($B235,4)&amp;"*-0*",INDIRECT(Formulas!$B$3)),0)</f>
        <v>0</v>
      </c>
      <c r="E235" s="466">
        <f ca="1">ROUND(SUMIF(INDIRECT(Formulas!$B$1),MID(E$1,2,2)&amp;"-"&amp;LEFT($B235,4)&amp;"*-0*",INDIRECT(Formulas!$B$3)),0)</f>
        <v>0</v>
      </c>
      <c r="F235" s="466">
        <f ca="1">ROUND(SUMIF(INDIRECT(Formulas!$B$1),MID(F$1,2,2)&amp;"-"&amp;LEFT($B235,4)&amp;"*-0*",INDIRECT(Formulas!$B$3)),0)</f>
        <v>0</v>
      </c>
      <c r="G235" s="466">
        <f ca="1">ROUND(SUMIF(INDIRECT(Formulas!$B$1),MID(G$1,2,2)&amp;"-"&amp;LEFT($B235,4)&amp;"*-0*",INDIRECT(Formulas!$B$3)),0)</f>
        <v>0</v>
      </c>
      <c r="H235" s="466">
        <f ca="1">ROUND(SUMIF(INDIRECT(Formulas!$B$1),MID(H$1,2,2)&amp;"-"&amp;LEFT($B235,4)&amp;"*-0*",INDIRECT(Formulas!$B$3)),0)</f>
        <v>0</v>
      </c>
      <c r="I235" s="468"/>
      <c r="J235" s="466">
        <f ca="1">ROUND(SUMIF(INDIRECT(Formulas!$B$1),MID(J$1,2,2)&amp;"-"&amp;LEFT($B235,4)&amp;"*-0*",INDIRECT(Formulas!$B$3)),0)</f>
        <v>0</v>
      </c>
      <c r="K235" s="466">
        <f ca="1">ROUND(SUMIF(INDIRECT(Formulas!$B$1),MID(K$1,2,2)&amp;"-"&amp;LEFT($B235,4)&amp;"*-0*",INDIRECT(Formulas!$B$3)),0)</f>
        <v>0</v>
      </c>
    </row>
    <row r="236" spans="1:11" ht="12.75" customHeight="1" x14ac:dyDescent="0.2">
      <c r="A236" s="490" t="s">
        <v>470</v>
      </c>
      <c r="B236" s="488">
        <v>4865</v>
      </c>
      <c r="C236" s="466">
        <f ca="1">ROUND(SUMIF(INDIRECT(Formulas!$B$1),MID(C$1,2,2)&amp;"-"&amp;LEFT($B236,4)&amp;"*-0*",INDIRECT(Formulas!$B$3)),0)</f>
        <v>0</v>
      </c>
      <c r="D236" s="466">
        <f ca="1">ROUND(SUMIF(INDIRECT(Formulas!$B$1),MID(D$1,2,2)&amp;"-"&amp;LEFT($B236,4)&amp;"*-0*",INDIRECT(Formulas!$B$3)),0)</f>
        <v>0</v>
      </c>
      <c r="E236" s="466">
        <f ca="1">ROUND(SUMIF(INDIRECT(Formulas!$B$1),MID(E$1,2,2)&amp;"-"&amp;LEFT($B236,4)&amp;"*-0*",INDIRECT(Formulas!$B$3)),0)</f>
        <v>0</v>
      </c>
      <c r="F236" s="466">
        <f ca="1">ROUND(SUMIF(INDIRECT(Formulas!$B$1),MID(F$1,2,2)&amp;"-"&amp;LEFT($B236,4)&amp;"*-0*",INDIRECT(Formulas!$B$3)),0)</f>
        <v>0</v>
      </c>
      <c r="G236" s="466">
        <f ca="1">ROUND(SUMIF(INDIRECT(Formulas!$B$1),MID(G$1,2,2)&amp;"-"&amp;LEFT($B236,4)&amp;"*-0*",INDIRECT(Formulas!$B$3)),0)</f>
        <v>0</v>
      </c>
      <c r="H236" s="466">
        <f ca="1">ROUND(SUMIF(INDIRECT(Formulas!$B$1),MID(H$1,2,2)&amp;"-"&amp;LEFT($B236,4)&amp;"*-0*",INDIRECT(Formulas!$B$3)),0)</f>
        <v>0</v>
      </c>
      <c r="I236" s="468"/>
      <c r="J236" s="466">
        <f ca="1">ROUND(SUMIF(INDIRECT(Formulas!$B$1),MID(J$1,2,2)&amp;"-"&amp;LEFT($B236,4)&amp;"*-0*",INDIRECT(Formulas!$B$3)),0)</f>
        <v>0</v>
      </c>
      <c r="K236" s="466">
        <f ca="1">ROUND(SUMIF(INDIRECT(Formulas!$B$1),MID(K$1,2,2)&amp;"-"&amp;LEFT($B236,4)&amp;"*-0*",INDIRECT(Formulas!$B$3)),0)</f>
        <v>0</v>
      </c>
    </row>
    <row r="237" spans="1:11" ht="12.75" customHeight="1" x14ac:dyDescent="0.2">
      <c r="A237" s="490" t="s">
        <v>468</v>
      </c>
      <c r="B237" s="488">
        <v>4866</v>
      </c>
      <c r="C237" s="466">
        <f ca="1">ROUND(SUMIF(INDIRECT(Formulas!$B$1),MID(C$1,2,2)&amp;"-"&amp;LEFT($B237,4)&amp;"*-0*",INDIRECT(Formulas!$B$3)),0)</f>
        <v>0</v>
      </c>
      <c r="D237" s="466">
        <f ca="1">ROUND(SUMIF(INDIRECT(Formulas!$B$1),MID(D$1,2,2)&amp;"-"&amp;LEFT($B237,4)&amp;"*-0*",INDIRECT(Formulas!$B$3)),0)</f>
        <v>0</v>
      </c>
      <c r="E237" s="466">
        <f ca="1">ROUND(SUMIF(INDIRECT(Formulas!$B$1),MID(E$1,2,2)&amp;"-"&amp;LEFT($B237,4)&amp;"*-0*",INDIRECT(Formulas!$B$3)),0)</f>
        <v>0</v>
      </c>
      <c r="F237" s="466">
        <f ca="1">ROUND(SUMIF(INDIRECT(Formulas!$B$1),MID(F$1,2,2)&amp;"-"&amp;LEFT($B237,4)&amp;"*-0*",INDIRECT(Formulas!$B$3)),0)</f>
        <v>0</v>
      </c>
      <c r="G237" s="466">
        <f ca="1">ROUND(SUMIF(INDIRECT(Formulas!$B$1),MID(G$1,2,2)&amp;"-"&amp;LEFT($B237,4)&amp;"*-0*",INDIRECT(Formulas!$B$3)),0)</f>
        <v>0</v>
      </c>
      <c r="H237" s="466">
        <f ca="1">ROUND(SUMIF(INDIRECT(Formulas!$B$1),MID(H$1,2,2)&amp;"-"&amp;LEFT($B237,4)&amp;"*-0*",INDIRECT(Formulas!$B$3)),0)</f>
        <v>0</v>
      </c>
      <c r="I237" s="468"/>
      <c r="J237" s="466">
        <f ca="1">ROUND(SUMIF(INDIRECT(Formulas!$B$1),MID(J$1,2,2)&amp;"-"&amp;LEFT($B237,4)&amp;"*-0*",INDIRECT(Formulas!$B$3)),0)</f>
        <v>0</v>
      </c>
      <c r="K237" s="466">
        <f ca="1">ROUND(SUMIF(INDIRECT(Formulas!$B$1),MID(K$1,2,2)&amp;"-"&amp;LEFT($B237,4)&amp;"*-0*",INDIRECT(Formulas!$B$3)),0)</f>
        <v>0</v>
      </c>
    </row>
    <row r="238" spans="1:11" ht="12.75" customHeight="1" x14ac:dyDescent="0.2">
      <c r="A238" s="490" t="s">
        <v>467</v>
      </c>
      <c r="B238" s="488">
        <v>4867</v>
      </c>
      <c r="C238" s="466">
        <f ca="1">ROUND(SUMIF(INDIRECT(Formulas!$B$1),MID(C$1,2,2)&amp;"-"&amp;LEFT($B238,4)&amp;"*-0*",INDIRECT(Formulas!$B$3)),0)</f>
        <v>0</v>
      </c>
      <c r="D238" s="466">
        <f ca="1">ROUND(SUMIF(INDIRECT(Formulas!$B$1),MID(D$1,2,2)&amp;"-"&amp;LEFT($B238,4)&amp;"*-0*",INDIRECT(Formulas!$B$3)),0)</f>
        <v>0</v>
      </c>
      <c r="E238" s="466">
        <f ca="1">ROUND(SUMIF(INDIRECT(Formulas!$B$1),MID(E$1,2,2)&amp;"-"&amp;LEFT($B238,4)&amp;"*-0*",INDIRECT(Formulas!$B$3)),0)</f>
        <v>0</v>
      </c>
      <c r="F238" s="466">
        <f ca="1">ROUND(SUMIF(INDIRECT(Formulas!$B$1),MID(F$1,2,2)&amp;"-"&amp;LEFT($B238,4)&amp;"*-0*",INDIRECT(Formulas!$B$3)),0)</f>
        <v>0</v>
      </c>
      <c r="G238" s="466">
        <f ca="1">ROUND(SUMIF(INDIRECT(Formulas!$B$1),MID(G$1,2,2)&amp;"-"&amp;LEFT($B238,4)&amp;"*-0*",INDIRECT(Formulas!$B$3)),0)</f>
        <v>0</v>
      </c>
      <c r="H238" s="466">
        <f ca="1">ROUND(SUMIF(INDIRECT(Formulas!$B$1),MID(H$1,2,2)&amp;"-"&amp;LEFT($B238,4)&amp;"*-0*",INDIRECT(Formulas!$B$3)),0)</f>
        <v>0</v>
      </c>
      <c r="I238" s="468"/>
      <c r="J238" s="466">
        <f ca="1">ROUND(SUMIF(INDIRECT(Formulas!$B$1),MID(J$1,2,2)&amp;"-"&amp;LEFT($B238,4)&amp;"*-0*",INDIRECT(Formulas!$B$3)),0)</f>
        <v>0</v>
      </c>
      <c r="K238" s="466">
        <f ca="1">ROUND(SUMIF(INDIRECT(Formulas!$B$1),MID(K$1,2,2)&amp;"-"&amp;LEFT($B238,4)&amp;"*-0*",INDIRECT(Formulas!$B$3)),0)</f>
        <v>0</v>
      </c>
    </row>
    <row r="239" spans="1:11" ht="12.75" customHeight="1" x14ac:dyDescent="0.2">
      <c r="A239" s="490" t="s">
        <v>466</v>
      </c>
      <c r="B239" s="488">
        <v>4868</v>
      </c>
      <c r="C239" s="466">
        <f ca="1">ROUND(SUMIF(INDIRECT(Formulas!$B$1),MID(C$1,2,2)&amp;"-"&amp;LEFT($B239,4)&amp;"*-0*",INDIRECT(Formulas!$B$3)),0)</f>
        <v>0</v>
      </c>
      <c r="D239" s="466">
        <f ca="1">ROUND(SUMIF(INDIRECT(Formulas!$B$1),MID(D$1,2,2)&amp;"-"&amp;LEFT($B239,4)&amp;"*-0*",INDIRECT(Formulas!$B$3)),0)</f>
        <v>0</v>
      </c>
      <c r="E239" s="466">
        <f ca="1">ROUND(SUMIF(INDIRECT(Formulas!$B$1),MID(E$1,2,2)&amp;"-"&amp;LEFT($B239,4)&amp;"*-0*",INDIRECT(Formulas!$B$3)),0)</f>
        <v>0</v>
      </c>
      <c r="F239" s="466">
        <f ca="1">ROUND(SUMIF(INDIRECT(Formulas!$B$1),MID(F$1,2,2)&amp;"-"&amp;LEFT($B239,4)&amp;"*-0*",INDIRECT(Formulas!$B$3)),0)</f>
        <v>0</v>
      </c>
      <c r="G239" s="466">
        <f ca="1">ROUND(SUMIF(INDIRECT(Formulas!$B$1),MID(G$1,2,2)&amp;"-"&amp;LEFT($B239,4)&amp;"*-0*",INDIRECT(Formulas!$B$3)),0)</f>
        <v>0</v>
      </c>
      <c r="H239" s="466">
        <f ca="1">ROUND(SUMIF(INDIRECT(Formulas!$B$1),MID(H$1,2,2)&amp;"-"&amp;LEFT($B239,4)&amp;"*-0*",INDIRECT(Formulas!$B$3)),0)</f>
        <v>0</v>
      </c>
      <c r="I239" s="468"/>
      <c r="J239" s="466">
        <f ca="1">ROUND(SUMIF(INDIRECT(Formulas!$B$1),MID(J$1,2,2)&amp;"-"&amp;LEFT($B239,4)&amp;"*-0*",INDIRECT(Formulas!$B$3)),0)</f>
        <v>0</v>
      </c>
      <c r="K239" s="466">
        <f ca="1">ROUND(SUMIF(INDIRECT(Formulas!$B$1),MID(K$1,2,2)&amp;"-"&amp;LEFT($B239,4)&amp;"*-0*",INDIRECT(Formulas!$B$3)),0)</f>
        <v>0</v>
      </c>
    </row>
    <row r="240" spans="1:11" ht="12.75" customHeight="1" x14ac:dyDescent="0.2">
      <c r="A240" s="490" t="s">
        <v>465</v>
      </c>
      <c r="B240" s="488">
        <v>4869</v>
      </c>
      <c r="C240" s="466">
        <f ca="1">ROUND(SUMIF(INDIRECT(Formulas!$B$1),MID(C$1,2,2)&amp;"-"&amp;LEFT($B240,4)&amp;"*-0*",INDIRECT(Formulas!$B$3)),0)</f>
        <v>0</v>
      </c>
      <c r="D240" s="466">
        <f ca="1">ROUND(SUMIF(INDIRECT(Formulas!$B$1),MID(D$1,2,2)&amp;"-"&amp;LEFT($B240,4)&amp;"*-0*",INDIRECT(Formulas!$B$3)),0)</f>
        <v>0</v>
      </c>
      <c r="E240" s="466">
        <f ca="1">ROUND(SUMIF(INDIRECT(Formulas!$B$1),MID(E$1,2,2)&amp;"-"&amp;LEFT($B240,4)&amp;"*-0*",INDIRECT(Formulas!$B$3)),0)</f>
        <v>0</v>
      </c>
      <c r="F240" s="466">
        <f ca="1">ROUND(SUMIF(INDIRECT(Formulas!$B$1),MID(F$1,2,2)&amp;"-"&amp;LEFT($B240,4)&amp;"*-0*",INDIRECT(Formulas!$B$3)),0)</f>
        <v>0</v>
      </c>
      <c r="G240" s="466">
        <f ca="1">ROUND(SUMIF(INDIRECT(Formulas!$B$1),MID(G$1,2,2)&amp;"-"&amp;LEFT($B240,4)&amp;"*-0*",INDIRECT(Formulas!$B$3)),0)</f>
        <v>0</v>
      </c>
      <c r="H240" s="466">
        <f ca="1">ROUND(SUMIF(INDIRECT(Formulas!$B$1),MID(H$1,2,2)&amp;"-"&amp;LEFT($B240,4)&amp;"*-0*",INDIRECT(Formulas!$B$3)),0)</f>
        <v>0</v>
      </c>
      <c r="I240" s="468"/>
      <c r="J240" s="466">
        <f ca="1">ROUND(SUMIF(INDIRECT(Formulas!$B$1),MID(J$1,2,2)&amp;"-"&amp;LEFT($B240,4)&amp;"*-0*",INDIRECT(Formulas!$B$3)),0)</f>
        <v>0</v>
      </c>
      <c r="K240" s="466">
        <f ca="1">ROUND(SUMIF(INDIRECT(Formulas!$B$1),MID(K$1,2,2)&amp;"-"&amp;LEFT($B240,4)&amp;"*-0*",INDIRECT(Formulas!$B$3)),0)</f>
        <v>0</v>
      </c>
    </row>
    <row r="241" spans="1:11" ht="12.75" customHeight="1" x14ac:dyDescent="0.2">
      <c r="A241" s="490" t="s">
        <v>1128</v>
      </c>
      <c r="B241" s="488">
        <v>4870</v>
      </c>
      <c r="C241" s="466">
        <f ca="1">ROUND(SUMIF(INDIRECT(Formulas!$B$1),MID(C$1,2,2)&amp;"-"&amp;LEFT($B241,4)&amp;"*-0*",INDIRECT(Formulas!$B$3)),0)</f>
        <v>0</v>
      </c>
      <c r="D241" s="466">
        <f ca="1">ROUND(SUMIF(INDIRECT(Formulas!$B$1),MID(D$1,2,2)&amp;"-"&amp;LEFT($B241,4)&amp;"*-0*",INDIRECT(Formulas!$B$3)),0)</f>
        <v>0</v>
      </c>
      <c r="E241" s="466">
        <f ca="1">ROUND(SUMIF(INDIRECT(Formulas!$B$1),MID(E$1,2,2)&amp;"-"&amp;LEFT($B241,4)&amp;"*-0*",INDIRECT(Formulas!$B$3)),0)</f>
        <v>0</v>
      </c>
      <c r="F241" s="466">
        <f ca="1">ROUND(SUMIF(INDIRECT(Formulas!$B$1),MID(F$1,2,2)&amp;"-"&amp;LEFT($B241,4)&amp;"*-0*",INDIRECT(Formulas!$B$3)),0)</f>
        <v>0</v>
      </c>
      <c r="G241" s="466">
        <f ca="1">ROUND(SUMIF(INDIRECT(Formulas!$B$1),MID(G$1,2,2)&amp;"-"&amp;LEFT($B241,4)&amp;"*-0*",INDIRECT(Formulas!$B$3)),0)</f>
        <v>0</v>
      </c>
      <c r="H241" s="466">
        <f ca="1">ROUND(SUMIF(INDIRECT(Formulas!$B$1),MID(H$1,2,2)&amp;"-"&amp;LEFT($B241,4)&amp;"*-0*",INDIRECT(Formulas!$B$3)),0)</f>
        <v>0</v>
      </c>
      <c r="I241" s="468"/>
      <c r="J241" s="466">
        <f ca="1">ROUND(SUMIF(INDIRECT(Formulas!$B$1),MID(J$1,2,2)&amp;"-"&amp;LEFT($B241,4)&amp;"*-0*",INDIRECT(Formulas!$B$3)),0)</f>
        <v>0</v>
      </c>
      <c r="K241" s="466">
        <f ca="1">ROUND(SUMIF(INDIRECT(Formulas!$B$1),MID(K$1,2,2)&amp;"-"&amp;LEFT($B241,4)&amp;"*-0*",INDIRECT(Formulas!$B$3)),0)</f>
        <v>0</v>
      </c>
    </row>
    <row r="242" spans="1:11" ht="12.75" customHeight="1" x14ac:dyDescent="0.2">
      <c r="A242" s="490" t="s">
        <v>788</v>
      </c>
      <c r="B242" s="488">
        <v>4871</v>
      </c>
      <c r="C242" s="466">
        <f ca="1">ROUND(SUMIF(INDIRECT(Formulas!$B$1),MID(C$1,2,2)&amp;"-"&amp;LEFT($B242,4)&amp;"*-0*",INDIRECT(Formulas!$B$3)),0)</f>
        <v>0</v>
      </c>
      <c r="D242" s="466">
        <f ca="1">ROUND(SUMIF(INDIRECT(Formulas!$B$1),MID(D$1,2,2)&amp;"-"&amp;LEFT($B242,4)&amp;"*-0*",INDIRECT(Formulas!$B$3)),0)</f>
        <v>0</v>
      </c>
      <c r="E242" s="466">
        <f ca="1">ROUND(SUMIF(INDIRECT(Formulas!$B$1),MID(E$1,2,2)&amp;"-"&amp;LEFT($B242,4)&amp;"*-0*",INDIRECT(Formulas!$B$3)),0)</f>
        <v>0</v>
      </c>
      <c r="F242" s="466">
        <f ca="1">ROUND(SUMIF(INDIRECT(Formulas!$B$1),MID(F$1,2,2)&amp;"-"&amp;LEFT($B242,4)&amp;"*-0*",INDIRECT(Formulas!$B$3)),0)</f>
        <v>0</v>
      </c>
      <c r="G242" s="466">
        <f ca="1">ROUND(SUMIF(INDIRECT(Formulas!$B$1),MID(G$1,2,2)&amp;"-"&amp;LEFT($B242,4)&amp;"*-0*",INDIRECT(Formulas!$B$3)),0)</f>
        <v>0</v>
      </c>
      <c r="H242" s="466">
        <f ca="1">ROUND(SUMIF(INDIRECT(Formulas!$B$1),MID(H$1,2,2)&amp;"-"&amp;LEFT($B242,4)&amp;"*-0*",INDIRECT(Formulas!$B$3)),0)</f>
        <v>0</v>
      </c>
      <c r="I242" s="468"/>
      <c r="J242" s="466">
        <f ca="1">ROUND(SUMIF(INDIRECT(Formulas!$B$1),MID(J$1,2,2)&amp;"-"&amp;LEFT($B242,4)&amp;"*-0*",INDIRECT(Formulas!$B$3)),0)</f>
        <v>0</v>
      </c>
      <c r="K242" s="466">
        <f ca="1">ROUND(SUMIF(INDIRECT(Formulas!$B$1),MID(K$1,2,2)&amp;"-"&amp;LEFT($B242,4)&amp;"*-0*",INDIRECT(Formulas!$B$3)),0)</f>
        <v>0</v>
      </c>
    </row>
    <row r="243" spans="1:11" ht="12.75" customHeight="1" x14ac:dyDescent="0.2">
      <c r="A243" s="490" t="s">
        <v>789</v>
      </c>
      <c r="B243" s="488">
        <v>4872</v>
      </c>
      <c r="C243" s="466">
        <f ca="1">ROUND(SUMIF(INDIRECT(Formulas!$B$1),MID(C$1,2,2)&amp;"-"&amp;LEFT($B243,4)&amp;"*-0*",INDIRECT(Formulas!$B$3)),0)</f>
        <v>0</v>
      </c>
      <c r="D243" s="466">
        <f ca="1">ROUND(SUMIF(INDIRECT(Formulas!$B$1),MID(D$1,2,2)&amp;"-"&amp;LEFT($B243,4)&amp;"*-0*",INDIRECT(Formulas!$B$3)),0)</f>
        <v>0</v>
      </c>
      <c r="E243" s="466">
        <f ca="1">ROUND(SUMIF(INDIRECT(Formulas!$B$1),MID(E$1,2,2)&amp;"-"&amp;LEFT($B243,4)&amp;"*-0*",INDIRECT(Formulas!$B$3)),0)</f>
        <v>0</v>
      </c>
      <c r="F243" s="466">
        <f ca="1">ROUND(SUMIF(INDIRECT(Formulas!$B$1),MID(F$1,2,2)&amp;"-"&amp;LEFT($B243,4)&amp;"*-0*",INDIRECT(Formulas!$B$3)),0)</f>
        <v>0</v>
      </c>
      <c r="G243" s="466">
        <f ca="1">ROUND(SUMIF(INDIRECT(Formulas!$B$1),MID(G$1,2,2)&amp;"-"&amp;LEFT($B243,4)&amp;"*-0*",INDIRECT(Formulas!$B$3)),0)</f>
        <v>0</v>
      </c>
      <c r="H243" s="466">
        <f ca="1">ROUND(SUMIF(INDIRECT(Formulas!$B$1),MID(H$1,2,2)&amp;"-"&amp;LEFT($B243,4)&amp;"*-0*",INDIRECT(Formulas!$B$3)),0)</f>
        <v>0</v>
      </c>
      <c r="I243" s="468"/>
      <c r="J243" s="466">
        <f ca="1">ROUND(SUMIF(INDIRECT(Formulas!$B$1),MID(J$1,2,2)&amp;"-"&amp;LEFT($B243,4)&amp;"*-0*",INDIRECT(Formulas!$B$3)),0)</f>
        <v>0</v>
      </c>
      <c r="K243" s="466">
        <f ca="1">ROUND(SUMIF(INDIRECT(Formulas!$B$1),MID(K$1,2,2)&amp;"-"&amp;LEFT($B243,4)&amp;"*-0*",INDIRECT(Formulas!$B$3)),0)</f>
        <v>0</v>
      </c>
    </row>
    <row r="244" spans="1:11" ht="12.75" customHeight="1" x14ac:dyDescent="0.2">
      <c r="A244" s="490" t="s">
        <v>790</v>
      </c>
      <c r="B244" s="488">
        <v>4873</v>
      </c>
      <c r="C244" s="466">
        <f ca="1">ROUND(SUMIF(INDIRECT(Formulas!$B$1),MID(C$1,2,2)&amp;"-"&amp;LEFT($B244,4)&amp;"*-0*",INDIRECT(Formulas!$B$3)),0)</f>
        <v>0</v>
      </c>
      <c r="D244" s="466">
        <f ca="1">ROUND(SUMIF(INDIRECT(Formulas!$B$1),MID(D$1,2,2)&amp;"-"&amp;LEFT($B244,4)&amp;"*-0*",INDIRECT(Formulas!$B$3)),0)</f>
        <v>0</v>
      </c>
      <c r="E244" s="466">
        <f ca="1">ROUND(SUMIF(INDIRECT(Formulas!$B$1),MID(E$1,2,2)&amp;"-"&amp;LEFT($B244,4)&amp;"*-0*",INDIRECT(Formulas!$B$3)),0)</f>
        <v>0</v>
      </c>
      <c r="F244" s="466">
        <f ca="1">ROUND(SUMIF(INDIRECT(Formulas!$B$1),MID(F$1,2,2)&amp;"-"&amp;LEFT($B244,4)&amp;"*-0*",INDIRECT(Formulas!$B$3)),0)</f>
        <v>0</v>
      </c>
      <c r="G244" s="466">
        <f ca="1">ROUND(SUMIF(INDIRECT(Formulas!$B$1),MID(G$1,2,2)&amp;"-"&amp;LEFT($B244,4)&amp;"*-0*",INDIRECT(Formulas!$B$3)),0)</f>
        <v>0</v>
      </c>
      <c r="H244" s="466">
        <f ca="1">ROUND(SUMIF(INDIRECT(Formulas!$B$1),MID(H$1,2,2)&amp;"-"&amp;LEFT($B244,4)&amp;"*-0*",INDIRECT(Formulas!$B$3)),0)</f>
        <v>0</v>
      </c>
      <c r="I244" s="468"/>
      <c r="J244" s="466">
        <f ca="1">ROUND(SUMIF(INDIRECT(Formulas!$B$1),MID(J$1,2,2)&amp;"-"&amp;LEFT($B244,4)&amp;"*-0*",INDIRECT(Formulas!$B$3)),0)</f>
        <v>0</v>
      </c>
      <c r="K244" s="466">
        <f ca="1">ROUND(SUMIF(INDIRECT(Formulas!$B$1),MID(K$1,2,2)&amp;"-"&amp;LEFT($B244,4)&amp;"*-0*",INDIRECT(Formulas!$B$3)),0)</f>
        <v>0</v>
      </c>
    </row>
    <row r="245" spans="1:11" ht="12.75" customHeight="1" x14ac:dyDescent="0.2">
      <c r="A245" s="490" t="s">
        <v>791</v>
      </c>
      <c r="B245" s="488">
        <v>4874</v>
      </c>
      <c r="C245" s="466">
        <f ca="1">ROUND(SUMIF(INDIRECT(Formulas!$B$1),MID(C$1,2,2)&amp;"-"&amp;LEFT($B245,4)&amp;"*-0*",INDIRECT(Formulas!$B$3)),0)</f>
        <v>0</v>
      </c>
      <c r="D245" s="466">
        <f ca="1">ROUND(SUMIF(INDIRECT(Formulas!$B$1),MID(D$1,2,2)&amp;"-"&amp;LEFT($B245,4)&amp;"*-0*",INDIRECT(Formulas!$B$3)),0)</f>
        <v>0</v>
      </c>
      <c r="E245" s="466">
        <f ca="1">ROUND(SUMIF(INDIRECT(Formulas!$B$1),MID(E$1,2,2)&amp;"-"&amp;LEFT($B245,4)&amp;"*-0*",INDIRECT(Formulas!$B$3)),0)</f>
        <v>0</v>
      </c>
      <c r="F245" s="466">
        <f ca="1">ROUND(SUMIF(INDIRECT(Formulas!$B$1),MID(F$1,2,2)&amp;"-"&amp;LEFT($B245,4)&amp;"*-0*",INDIRECT(Formulas!$B$3)),0)</f>
        <v>0</v>
      </c>
      <c r="G245" s="466">
        <f ca="1">ROUND(SUMIF(INDIRECT(Formulas!$B$1),MID(G$1,2,2)&amp;"-"&amp;LEFT($B245,4)&amp;"*-0*",INDIRECT(Formulas!$B$3)),0)</f>
        <v>0</v>
      </c>
      <c r="H245" s="466">
        <f ca="1">ROUND(SUMIF(INDIRECT(Formulas!$B$1),MID(H$1,2,2)&amp;"-"&amp;LEFT($B245,4)&amp;"*-0*",INDIRECT(Formulas!$B$3)),0)</f>
        <v>0</v>
      </c>
      <c r="I245" s="468"/>
      <c r="J245" s="466">
        <f ca="1">ROUND(SUMIF(INDIRECT(Formulas!$B$1),MID(J$1,2,2)&amp;"-"&amp;LEFT($B245,4)&amp;"*-0*",INDIRECT(Formulas!$B$3)),0)</f>
        <v>0</v>
      </c>
      <c r="K245" s="466">
        <f ca="1">ROUND(SUMIF(INDIRECT(Formulas!$B$1),MID(K$1,2,2)&amp;"-"&amp;LEFT($B245,4)&amp;"*-0*",INDIRECT(Formulas!$B$3)),0)</f>
        <v>0</v>
      </c>
    </row>
    <row r="246" spans="1:11" ht="12.75" customHeight="1" x14ac:dyDescent="0.2">
      <c r="A246" s="490" t="s">
        <v>471</v>
      </c>
      <c r="B246" s="488">
        <v>4875</v>
      </c>
      <c r="C246" s="466">
        <f ca="1">ROUND(SUMIF(INDIRECT(Formulas!$B$1),MID(C$1,2,2)&amp;"-"&amp;LEFT($B246,4)&amp;"*-0*",INDIRECT(Formulas!$B$3)),0)</f>
        <v>0</v>
      </c>
      <c r="D246" s="466">
        <f ca="1">ROUND(SUMIF(INDIRECT(Formulas!$B$1),MID(D$1,2,2)&amp;"-"&amp;LEFT($B246,4)&amp;"*-0*",INDIRECT(Formulas!$B$3)),0)</f>
        <v>0</v>
      </c>
      <c r="E246" s="466">
        <f ca="1">ROUND(SUMIF(INDIRECT(Formulas!$B$1),MID(E$1,2,2)&amp;"-"&amp;LEFT($B246,4)&amp;"*-0*",INDIRECT(Formulas!$B$3)),0)</f>
        <v>0</v>
      </c>
      <c r="F246" s="466">
        <f ca="1">ROUND(SUMIF(INDIRECT(Formulas!$B$1),MID(F$1,2,2)&amp;"-"&amp;LEFT($B246,4)&amp;"*-0*",INDIRECT(Formulas!$B$3)),0)</f>
        <v>0</v>
      </c>
      <c r="G246" s="466">
        <f ca="1">ROUND(SUMIF(INDIRECT(Formulas!$B$1),MID(G$1,2,2)&amp;"-"&amp;LEFT($B246,4)&amp;"*-0*",INDIRECT(Formulas!$B$3)),0)</f>
        <v>0</v>
      </c>
      <c r="H246" s="466">
        <f ca="1">ROUND(SUMIF(INDIRECT(Formulas!$B$1),MID(H$1,2,2)&amp;"-"&amp;LEFT($B246,4)&amp;"*-0*",INDIRECT(Formulas!$B$3)),0)</f>
        <v>0</v>
      </c>
      <c r="I246" s="468"/>
      <c r="J246" s="466">
        <f ca="1">ROUND(SUMIF(INDIRECT(Formulas!$B$1),MID(J$1,2,2)&amp;"-"&amp;LEFT($B246,4)&amp;"*-0*",INDIRECT(Formulas!$B$3)),0)</f>
        <v>0</v>
      </c>
      <c r="K246" s="466">
        <f ca="1">ROUND(SUMIF(INDIRECT(Formulas!$B$1),MID(K$1,2,2)&amp;"-"&amp;LEFT($B246,4)&amp;"*-0*",INDIRECT(Formulas!$B$3)),0)</f>
        <v>0</v>
      </c>
    </row>
    <row r="247" spans="1:11" ht="12.75" customHeight="1" x14ac:dyDescent="0.2">
      <c r="A247" s="490" t="s">
        <v>770</v>
      </c>
      <c r="B247" s="488">
        <v>4876</v>
      </c>
      <c r="C247" s="466">
        <f ca="1">ROUND(SUMIF(INDIRECT(Formulas!$B$1),MID(C$1,2,2)&amp;"-"&amp;LEFT($B247,4)&amp;"*-0*",INDIRECT(Formulas!$B$3)),0)</f>
        <v>0</v>
      </c>
      <c r="D247" s="466">
        <f ca="1">ROUND(SUMIF(INDIRECT(Formulas!$B$1),MID(D$1,2,2)&amp;"-"&amp;LEFT($B247,4)&amp;"*-0*",INDIRECT(Formulas!$B$3)),0)</f>
        <v>0</v>
      </c>
      <c r="E247" s="466">
        <f ca="1">ROUND(SUMIF(INDIRECT(Formulas!$B$1),MID(E$1,2,2)&amp;"-"&amp;LEFT($B247,4)&amp;"*-0*",INDIRECT(Formulas!$B$3)),0)</f>
        <v>0</v>
      </c>
      <c r="F247" s="466">
        <f ca="1">ROUND(SUMIF(INDIRECT(Formulas!$B$1),MID(F$1,2,2)&amp;"-"&amp;LEFT($B247,4)&amp;"*-0*",INDIRECT(Formulas!$B$3)),0)</f>
        <v>0</v>
      </c>
      <c r="G247" s="466">
        <f ca="1">ROUND(SUMIF(INDIRECT(Formulas!$B$1),MID(G$1,2,2)&amp;"-"&amp;LEFT($B247,4)&amp;"*-0*",INDIRECT(Formulas!$B$3)),0)</f>
        <v>0</v>
      </c>
      <c r="H247" s="466">
        <f ca="1">ROUND(SUMIF(INDIRECT(Formulas!$B$1),MID(H$1,2,2)&amp;"-"&amp;LEFT($B247,4)&amp;"*-0*",INDIRECT(Formulas!$B$3)),0)</f>
        <v>0</v>
      </c>
      <c r="I247" s="468"/>
      <c r="J247" s="466">
        <f ca="1">ROUND(SUMIF(INDIRECT(Formulas!$B$1),MID(J$1,2,2)&amp;"-"&amp;LEFT($B247,4)&amp;"*-0*",INDIRECT(Formulas!$B$3)),0)</f>
        <v>0</v>
      </c>
      <c r="K247" s="466">
        <f ca="1">ROUND(SUMIF(INDIRECT(Formulas!$B$1),MID(K$1,2,2)&amp;"-"&amp;LEFT($B247,4)&amp;"*-0*",INDIRECT(Formulas!$B$3)),0)</f>
        <v>0</v>
      </c>
    </row>
    <row r="248" spans="1:11" ht="12.75" customHeight="1" x14ac:dyDescent="0.2">
      <c r="A248" s="490" t="s">
        <v>771</v>
      </c>
      <c r="B248" s="488">
        <v>4877</v>
      </c>
      <c r="C248" s="466">
        <f ca="1">ROUND(SUMIF(INDIRECT(Formulas!$B$1),MID(C$1,2,2)&amp;"-"&amp;LEFT($B248,4)&amp;"*-0*",INDIRECT(Formulas!$B$3)),0)</f>
        <v>0</v>
      </c>
      <c r="D248" s="466">
        <f ca="1">ROUND(SUMIF(INDIRECT(Formulas!$B$1),MID(D$1,2,2)&amp;"-"&amp;LEFT($B248,4)&amp;"*-0*",INDIRECT(Formulas!$B$3)),0)</f>
        <v>0</v>
      </c>
      <c r="E248" s="466">
        <f ca="1">ROUND(SUMIF(INDIRECT(Formulas!$B$1),MID(E$1,2,2)&amp;"-"&amp;LEFT($B248,4)&amp;"*-0*",INDIRECT(Formulas!$B$3)),0)</f>
        <v>0</v>
      </c>
      <c r="F248" s="466">
        <f ca="1">ROUND(SUMIF(INDIRECT(Formulas!$B$1),MID(F$1,2,2)&amp;"-"&amp;LEFT($B248,4)&amp;"*-0*",INDIRECT(Formulas!$B$3)),0)</f>
        <v>0</v>
      </c>
      <c r="G248" s="466">
        <f ca="1">ROUND(SUMIF(INDIRECT(Formulas!$B$1),MID(G$1,2,2)&amp;"-"&amp;LEFT($B248,4)&amp;"*-0*",INDIRECT(Formulas!$B$3)),0)</f>
        <v>0</v>
      </c>
      <c r="H248" s="466">
        <f ca="1">ROUND(SUMIF(INDIRECT(Formulas!$B$1),MID(H$1,2,2)&amp;"-"&amp;LEFT($B248,4)&amp;"*-0*",INDIRECT(Formulas!$B$3)),0)</f>
        <v>0</v>
      </c>
      <c r="I248" s="468"/>
      <c r="J248" s="466">
        <f ca="1">ROUND(SUMIF(INDIRECT(Formulas!$B$1),MID(J$1,2,2)&amp;"-"&amp;LEFT($B248,4)&amp;"*-0*",INDIRECT(Formulas!$B$3)),0)</f>
        <v>0</v>
      </c>
      <c r="K248" s="466">
        <f ca="1">ROUND(SUMIF(INDIRECT(Formulas!$B$1),MID(K$1,2,2)&amp;"-"&amp;LEFT($B248,4)&amp;"*-0*",INDIRECT(Formulas!$B$3)),0)</f>
        <v>0</v>
      </c>
    </row>
    <row r="249" spans="1:11" ht="12.75" customHeight="1" x14ac:dyDescent="0.2">
      <c r="A249" s="490" t="s">
        <v>772</v>
      </c>
      <c r="B249" s="488">
        <v>4878</v>
      </c>
      <c r="C249" s="466">
        <f ca="1">ROUND(SUMIF(INDIRECT(Formulas!$B$1),MID(C$1,2,2)&amp;"-"&amp;LEFT($B249,4)&amp;"*-0*",INDIRECT(Formulas!$B$3)),0)</f>
        <v>0</v>
      </c>
      <c r="D249" s="466">
        <f ca="1">ROUND(SUMIF(INDIRECT(Formulas!$B$1),MID(D$1,2,2)&amp;"-"&amp;LEFT($B249,4)&amp;"*-0*",INDIRECT(Formulas!$B$3)),0)</f>
        <v>0</v>
      </c>
      <c r="E249" s="466">
        <f ca="1">ROUND(SUMIF(INDIRECT(Formulas!$B$1),MID(E$1,2,2)&amp;"-"&amp;LEFT($B249,4)&amp;"*-0*",INDIRECT(Formulas!$B$3)),0)</f>
        <v>0</v>
      </c>
      <c r="F249" s="466">
        <f ca="1">ROUND(SUMIF(INDIRECT(Formulas!$B$1),MID(F$1,2,2)&amp;"-"&amp;LEFT($B249,4)&amp;"*-0*",INDIRECT(Formulas!$B$3)),0)</f>
        <v>0</v>
      </c>
      <c r="G249" s="466">
        <f ca="1">ROUND(SUMIF(INDIRECT(Formulas!$B$1),MID(G$1,2,2)&amp;"-"&amp;LEFT($B249,4)&amp;"*-0*",INDIRECT(Formulas!$B$3)),0)</f>
        <v>0</v>
      </c>
      <c r="H249" s="466">
        <f ca="1">ROUND(SUMIF(INDIRECT(Formulas!$B$1),MID(H$1,2,2)&amp;"-"&amp;LEFT($B249,4)&amp;"*-0*",INDIRECT(Formulas!$B$3)),0)</f>
        <v>0</v>
      </c>
      <c r="I249" s="468"/>
      <c r="J249" s="466">
        <f ca="1">ROUND(SUMIF(INDIRECT(Formulas!$B$1),MID(J$1,2,2)&amp;"-"&amp;LEFT($B249,4)&amp;"*-0*",INDIRECT(Formulas!$B$3)),0)</f>
        <v>0</v>
      </c>
      <c r="K249" s="466">
        <f ca="1">ROUND(SUMIF(INDIRECT(Formulas!$B$1),MID(K$1,2,2)&amp;"-"&amp;LEFT($B249,4)&amp;"*-0*",INDIRECT(Formulas!$B$3)),0)</f>
        <v>0</v>
      </c>
    </row>
    <row r="250" spans="1:11" ht="12.75" customHeight="1" x14ac:dyDescent="0.2">
      <c r="A250" s="490" t="s">
        <v>773</v>
      </c>
      <c r="B250" s="488">
        <v>4879</v>
      </c>
      <c r="C250" s="466">
        <f ca="1">ROUND(SUMIF(INDIRECT(Formulas!$B$1),MID(C$1,2,2)&amp;"-"&amp;LEFT($B250,4)&amp;"*-0*",INDIRECT(Formulas!$B$3)),0)</f>
        <v>0</v>
      </c>
      <c r="D250" s="466">
        <f ca="1">ROUND(SUMIF(INDIRECT(Formulas!$B$1),MID(D$1,2,2)&amp;"-"&amp;LEFT($B250,4)&amp;"*-0*",INDIRECT(Formulas!$B$3)),0)</f>
        <v>0</v>
      </c>
      <c r="E250" s="466">
        <f ca="1">ROUND(SUMIF(INDIRECT(Formulas!$B$1),MID(E$1,2,2)&amp;"-"&amp;LEFT($B250,4)&amp;"*-0*",INDIRECT(Formulas!$B$3)),0)</f>
        <v>0</v>
      </c>
      <c r="F250" s="466">
        <f ca="1">ROUND(SUMIF(INDIRECT(Formulas!$B$1),MID(F$1,2,2)&amp;"-"&amp;LEFT($B250,4)&amp;"*-0*",INDIRECT(Formulas!$B$3)),0)</f>
        <v>0</v>
      </c>
      <c r="G250" s="466">
        <f ca="1">ROUND(SUMIF(INDIRECT(Formulas!$B$1),MID(G$1,2,2)&amp;"-"&amp;LEFT($B250,4)&amp;"*-0*",INDIRECT(Formulas!$B$3)),0)</f>
        <v>0</v>
      </c>
      <c r="H250" s="466">
        <f ca="1">ROUND(SUMIF(INDIRECT(Formulas!$B$1),MID(H$1,2,2)&amp;"-"&amp;LEFT($B250,4)&amp;"*-0*",INDIRECT(Formulas!$B$3)),0)</f>
        <v>0</v>
      </c>
      <c r="I250" s="468"/>
      <c r="J250" s="466">
        <f ca="1">ROUND(SUMIF(INDIRECT(Formulas!$B$1),MID(J$1,2,2)&amp;"-"&amp;LEFT($B250,4)&amp;"*-0*",INDIRECT(Formulas!$B$3)),0)</f>
        <v>0</v>
      </c>
      <c r="K250" s="466">
        <f ca="1">ROUND(SUMIF(INDIRECT(Formulas!$B$1),MID(K$1,2,2)&amp;"-"&amp;LEFT($B250,4)&amp;"*-0*",INDIRECT(Formulas!$B$3)),0)</f>
        <v>0</v>
      </c>
    </row>
    <row r="251" spans="1:11" ht="12.75" customHeight="1" x14ac:dyDescent="0.2">
      <c r="A251" s="225" t="s">
        <v>1455</v>
      </c>
      <c r="B251" s="576">
        <v>4880</v>
      </c>
      <c r="C251" s="466">
        <f ca="1">ROUND(SUMIF(INDIRECT(Formulas!$B$1),MID(C$1,2,2)&amp;"-"&amp;LEFT($B251,4)&amp;"*-0*",INDIRECT(Formulas!$B$3)),0)</f>
        <v>0</v>
      </c>
      <c r="D251" s="466">
        <f ca="1">ROUND(SUMIF(INDIRECT(Formulas!$B$1),MID(D$1,2,2)&amp;"-"&amp;LEFT($B251,4)&amp;"*-0*",INDIRECT(Formulas!$B$3)),0)</f>
        <v>0</v>
      </c>
      <c r="E251" s="466">
        <f ca="1">ROUND(SUMIF(INDIRECT(Formulas!$B$1),MID(E$1,2,2)&amp;"-"&amp;LEFT($B251,4)&amp;"*-0*",INDIRECT(Formulas!$B$3)),0)</f>
        <v>0</v>
      </c>
      <c r="F251" s="466">
        <f ca="1">ROUND(SUMIF(INDIRECT(Formulas!$B$1),MID(F$1,2,2)&amp;"-"&amp;LEFT($B251,4)&amp;"*-0*",INDIRECT(Formulas!$B$3)),0)</f>
        <v>0</v>
      </c>
      <c r="G251" s="466">
        <f ca="1">ROUND(SUMIF(INDIRECT(Formulas!$B$1),MID(G$1,2,2)&amp;"-"&amp;LEFT($B251,4)&amp;"*-0*",INDIRECT(Formulas!$B$3)),0)</f>
        <v>0</v>
      </c>
      <c r="H251" s="466">
        <f ca="1">ROUND(SUMIF(INDIRECT(Formulas!$B$1),MID(H$1,2,2)&amp;"-"&amp;LEFT($B251,4)&amp;"*-0*",INDIRECT(Formulas!$B$3)),0)</f>
        <v>0</v>
      </c>
      <c r="I251" s="468"/>
      <c r="J251" s="466">
        <f ca="1">ROUND(SUMIF(INDIRECT(Formulas!$B$1),MID(J$1,2,2)&amp;"-"&amp;LEFT($B251,4)&amp;"*-0*",INDIRECT(Formulas!$B$3)),0)</f>
        <v>0</v>
      </c>
      <c r="K251" s="466">
        <f ca="1">ROUND(SUMIF(INDIRECT(Formulas!$B$1),MID(K$1,2,2)&amp;"-"&amp;LEFT($B251,4)&amp;"*-0*",INDIRECT(Formulas!$B$3)),0)</f>
        <v>0</v>
      </c>
    </row>
    <row r="252" spans="1:11" ht="12.75" customHeight="1" thickBot="1" x14ac:dyDescent="0.25">
      <c r="A252" s="1708" t="s">
        <v>774</v>
      </c>
      <c r="B252" s="1709"/>
      <c r="C252" s="1701">
        <f t="shared" ref="C252:H252" ca="1" si="9">SUM(C223:C251)</f>
        <v>0</v>
      </c>
      <c r="D252" s="1690">
        <f t="shared" ca="1" si="9"/>
        <v>0</v>
      </c>
      <c r="E252" s="1690">
        <f t="shared" ca="1" si="9"/>
        <v>0</v>
      </c>
      <c r="F252" s="1690">
        <f t="shared" ca="1" si="9"/>
        <v>0</v>
      </c>
      <c r="G252" s="1690">
        <f t="shared" ca="1" si="9"/>
        <v>0</v>
      </c>
      <c r="H252" s="1690">
        <f t="shared" ca="1" si="9"/>
        <v>0</v>
      </c>
      <c r="I252" s="548"/>
      <c r="J252" s="1690">
        <f ca="1">SUM(J223:J251)</f>
        <v>0</v>
      </c>
      <c r="K252" s="1671">
        <f ca="1">SUM(K223:K251)</f>
        <v>0</v>
      </c>
    </row>
    <row r="253" spans="1:11" ht="12.75" customHeight="1" thickTop="1" x14ac:dyDescent="0.2">
      <c r="A253" s="1485" t="s">
        <v>1421</v>
      </c>
      <c r="B253" s="577">
        <v>4901</v>
      </c>
      <c r="C253" s="466">
        <f ca="1">ROUND(SUMIF(INDIRECT(Formulas!$B$1),MID(C$1,2,2)&amp;"-"&amp;LEFT($B253,4)&amp;"*-0*",INDIRECT(Formulas!$B$3)),0)</f>
        <v>0</v>
      </c>
      <c r="D253" s="469"/>
      <c r="E253" s="468"/>
      <c r="F253" s="468"/>
      <c r="G253" s="468"/>
      <c r="H253" s="468"/>
      <c r="I253" s="468"/>
      <c r="J253" s="468"/>
      <c r="K253" s="468"/>
    </row>
    <row r="254" spans="1:11" ht="12.75" customHeight="1" x14ac:dyDescent="0.2">
      <c r="A254" s="1486" t="s">
        <v>1463</v>
      </c>
      <c r="B254" s="578">
        <v>4902</v>
      </c>
      <c r="C254" s="466">
        <f ca="1">ROUND(SUMIF(INDIRECT(Formulas!$B$1),MID(C$1,2,2)&amp;"-"&amp;LEFT($B254,4)&amp;"*-0*",INDIRECT(Formulas!$B$3)),0)</f>
        <v>0</v>
      </c>
      <c r="D254" s="466">
        <f ca="1">ROUND(SUMIF(INDIRECT(Formulas!$B$1),MID(D$1,2,2)&amp;"-"&amp;LEFT($B254,4)&amp;"*-0*",INDIRECT(Formulas!$B$3)),0)</f>
        <v>0</v>
      </c>
      <c r="E254" s="469"/>
      <c r="F254" s="466">
        <f ca="1">ROUND(SUMIF(INDIRECT(Formulas!$B$1),MID(F$1,2,2)&amp;"-"&amp;LEFT($B254,4)&amp;"*-0*",INDIRECT(Formulas!$B$3)),0)</f>
        <v>0</v>
      </c>
      <c r="G254" s="466">
        <f ca="1">ROUND(SUMIF(INDIRECT(Formulas!$B$1),MID(G$1,2,2)&amp;"-"&amp;LEFT($B254,4)&amp;"*-0*",INDIRECT(Formulas!$B$3)),0)</f>
        <v>0</v>
      </c>
      <c r="H254" s="469"/>
      <c r="I254" s="468"/>
      <c r="J254" s="469"/>
      <c r="K254" s="469"/>
    </row>
    <row r="255" spans="1:11" ht="12.75" customHeight="1" x14ac:dyDescent="0.2">
      <c r="A255" s="463" t="s">
        <v>1456</v>
      </c>
      <c r="B255" s="470">
        <v>4905</v>
      </c>
      <c r="C255" s="466">
        <f ca="1">ROUND(SUMIF(INDIRECT(Formulas!$B$1),MID(C$1,2,2)&amp;"-"&amp;LEFT($B255,4)&amp;"*-0*",INDIRECT(Formulas!$B$3)),0)</f>
        <v>0</v>
      </c>
      <c r="D255" s="468"/>
      <c r="E255" s="468"/>
      <c r="F255" s="466">
        <f ca="1">ROUND(SUMIF(INDIRECT(Formulas!$B$1),MID(F$1,2,2)&amp;"-"&amp;LEFT($B255,4)&amp;"*-0*",INDIRECT(Formulas!$B$3)),0)</f>
        <v>0</v>
      </c>
      <c r="G255" s="466">
        <f ca="1">ROUND(SUMIF(INDIRECT(Formulas!$B$1),MID(G$1,2,2)&amp;"-"&amp;LEFT($B255,4)&amp;"*-0*",INDIRECT(Formulas!$B$3)),0)</f>
        <v>0</v>
      </c>
      <c r="H255" s="468"/>
      <c r="I255" s="468"/>
      <c r="J255" s="468"/>
      <c r="K255" s="468"/>
    </row>
    <row r="256" spans="1:11" ht="12.75" customHeight="1" x14ac:dyDescent="0.2">
      <c r="A256" s="463" t="s">
        <v>1457</v>
      </c>
      <c r="B256" s="470">
        <v>4909</v>
      </c>
      <c r="C256" s="466">
        <f ca="1">ROUND(SUMIF(INDIRECT(Formulas!$B$1),MID(C$1,2,2)&amp;"-"&amp;LEFT($B256,4)&amp;"*-0*",INDIRECT(Formulas!$B$3)),0)</f>
        <v>0</v>
      </c>
      <c r="D256" s="468"/>
      <c r="E256" s="468"/>
      <c r="F256" s="466">
        <f ca="1">ROUND(SUMIF(INDIRECT(Formulas!$B$1),MID(F$1,2,2)&amp;"-"&amp;LEFT($B256,4)&amp;"*-0*",INDIRECT(Formulas!$B$3)),0)</f>
        <v>0</v>
      </c>
      <c r="G256" s="466">
        <f ca="1">ROUND(SUMIF(INDIRECT(Formulas!$B$1),MID(G$1,2,2)&amp;"-"&amp;LEFT($B256,4)&amp;"*-0*",INDIRECT(Formulas!$B$3)),0)</f>
        <v>0</v>
      </c>
      <c r="H256" s="468"/>
      <c r="I256" s="468"/>
      <c r="J256" s="468"/>
      <c r="K256" s="468"/>
    </row>
    <row r="257" spans="1:11" ht="12.75" customHeight="1" x14ac:dyDescent="0.2">
      <c r="A257" s="463" t="s">
        <v>193</v>
      </c>
      <c r="B257" s="470">
        <v>4920</v>
      </c>
      <c r="C257" s="466">
        <f ca="1">ROUND(SUMIF(INDIRECT(Formulas!$B$1),MID(C$1,2,2)&amp;"-"&amp;LEFT($B257,4)&amp;"*-0*",INDIRECT(Formulas!$B$3)),0)</f>
        <v>0</v>
      </c>
      <c r="D257" s="466">
        <f ca="1">ROUND(SUMIF(INDIRECT(Formulas!$B$1),MID(D$1,2,2)&amp;"-"&amp;LEFT($B257,4)&amp;"*-0*",INDIRECT(Formulas!$B$3)),0)</f>
        <v>0</v>
      </c>
      <c r="E257" s="468"/>
      <c r="F257" s="466">
        <f ca="1">ROUND(SUMIF(INDIRECT(Formulas!$B$1),MID(F$1,2,2)&amp;"-"&amp;LEFT($B257,4)&amp;"*-0*",INDIRECT(Formulas!$B$3)),0)</f>
        <v>0</v>
      </c>
      <c r="G257" s="466">
        <f ca="1">ROUND(SUMIF(INDIRECT(Formulas!$B$1),MID(G$1,2,2)&amp;"-"&amp;LEFT($B257,4)&amp;"*-0*",INDIRECT(Formulas!$B$3)),0)</f>
        <v>0</v>
      </c>
      <c r="H257" s="468"/>
      <c r="I257" s="468"/>
      <c r="J257" s="468"/>
      <c r="K257" s="468"/>
    </row>
    <row r="258" spans="1:11" ht="12.75" customHeight="1" x14ac:dyDescent="0.2">
      <c r="A258" s="463" t="s">
        <v>421</v>
      </c>
      <c r="B258" s="470">
        <v>4930</v>
      </c>
      <c r="C258" s="466">
        <f ca="1">ROUND(SUMIF(INDIRECT(Formulas!$B$1),MID(C$1,2,2)&amp;"-"&amp;LEFT($B258,4)&amp;"*-0*",INDIRECT(Formulas!$B$3)),0)</f>
        <v>0</v>
      </c>
      <c r="D258" s="466">
        <f ca="1">ROUND(SUMIF(INDIRECT(Formulas!$B$1),MID(D$1,2,2)&amp;"-"&amp;LEFT($B258,4)&amp;"*-0*",INDIRECT(Formulas!$B$3)),0)</f>
        <v>0</v>
      </c>
      <c r="E258" s="468"/>
      <c r="F258" s="466">
        <f ca="1">ROUND(SUMIF(INDIRECT(Formulas!$B$1),MID(F$1,2,2)&amp;"-"&amp;LEFT($B258,4)&amp;"*-0*",INDIRECT(Formulas!$B$3)),0)</f>
        <v>0</v>
      </c>
      <c r="G258" s="466">
        <f ca="1">ROUND(SUMIF(INDIRECT(Formulas!$B$1),MID(G$1,2,2)&amp;"-"&amp;LEFT($B258,4)&amp;"*-0*",INDIRECT(Formulas!$B$3)),0)</f>
        <v>0</v>
      </c>
      <c r="H258" s="468"/>
      <c r="I258" s="468"/>
      <c r="J258" s="468"/>
      <c r="K258" s="468"/>
    </row>
    <row r="259" spans="1:11" ht="12.75" customHeight="1" x14ac:dyDescent="0.2">
      <c r="A259" s="463" t="s">
        <v>758</v>
      </c>
      <c r="B259" s="470">
        <v>4932</v>
      </c>
      <c r="C259" s="466">
        <f ca="1">ROUND(SUMIF(INDIRECT(Formulas!$B$1),MID(C$1,2,2)&amp;"-"&amp;LEFT($B259,4)&amp;"*-0*",INDIRECT(Formulas!$B$3)),0)</f>
        <v>3286</v>
      </c>
      <c r="D259" s="466">
        <f ca="1">ROUND(SUMIF(INDIRECT(Formulas!$B$1),MID(D$1,2,2)&amp;"-"&amp;LEFT($B259,4)&amp;"*-0*",INDIRECT(Formulas!$B$3)),0)</f>
        <v>0</v>
      </c>
      <c r="E259" s="468"/>
      <c r="F259" s="466">
        <f ca="1">ROUND(SUMIF(INDIRECT(Formulas!$B$1),MID(F$1,2,2)&amp;"-"&amp;LEFT($B259,4)&amp;"*-0*",INDIRECT(Formulas!$B$3)),0)</f>
        <v>0</v>
      </c>
      <c r="G259" s="466">
        <f ca="1">ROUND(SUMIF(INDIRECT(Formulas!$B$1),MID(G$1,2,2)&amp;"-"&amp;LEFT($B259,4)&amp;"*-0*",INDIRECT(Formulas!$B$3)),0)</f>
        <v>0</v>
      </c>
      <c r="H259" s="468"/>
      <c r="I259" s="468"/>
      <c r="J259" s="468"/>
      <c r="K259" s="468"/>
    </row>
    <row r="260" spans="1:11" ht="12.75" customHeight="1" x14ac:dyDescent="0.2">
      <c r="A260" s="463" t="s">
        <v>890</v>
      </c>
      <c r="B260" s="470">
        <v>4960</v>
      </c>
      <c r="C260" s="466">
        <f ca="1">ROUND(SUMIF(INDIRECT(Formulas!$B$1),MID(C$1,2,2)&amp;"-"&amp;LEFT($B260,4)&amp;"*-0*",INDIRECT(Formulas!$B$3)),0)</f>
        <v>0</v>
      </c>
      <c r="D260" s="466">
        <f ca="1">ROUND(SUMIF(INDIRECT(Formulas!$B$1),MID(D$1,2,2)&amp;"-"&amp;LEFT($B260,4)&amp;"*-0*",INDIRECT(Formulas!$B$3)),0)</f>
        <v>0</v>
      </c>
      <c r="E260" s="468"/>
      <c r="F260" s="466">
        <f ca="1">ROUND(SUMIF(INDIRECT(Formulas!$B$1),MID(F$1,2,2)&amp;"-"&amp;LEFT($B260,4)&amp;"*-0*",INDIRECT(Formulas!$B$3)),0)</f>
        <v>0</v>
      </c>
      <c r="G260" s="466">
        <f ca="1">ROUND(SUMIF(INDIRECT(Formulas!$B$1),MID(G$1,2,2)&amp;"-"&amp;LEFT($B260,4)&amp;"*-0*",INDIRECT(Formulas!$B$3)),0)</f>
        <v>0</v>
      </c>
      <c r="H260" s="468"/>
      <c r="I260" s="468"/>
      <c r="J260" s="468"/>
      <c r="K260" s="468"/>
    </row>
    <row r="261" spans="1:11" ht="12.75" customHeight="1" x14ac:dyDescent="0.2">
      <c r="A261" s="1913" t="s">
        <v>1936</v>
      </c>
      <c r="B261" s="470">
        <v>4981</v>
      </c>
      <c r="C261" s="466">
        <f ca="1">ROUND(SUMIF(INDIRECT(Formulas!$B$1),MID(C$1,2,2)&amp;"-"&amp;LEFT($B261,4)&amp;"*-0*",INDIRECT(Formulas!$B$3)),0)</f>
        <v>0</v>
      </c>
      <c r="D261" s="466">
        <f ca="1">ROUND(SUMIF(INDIRECT(Formulas!$B$1),MID(D$1,2,2)&amp;"-"&amp;LEFT($B261,4)&amp;"*-0*",INDIRECT(Formulas!$B$3)),0)</f>
        <v>0</v>
      </c>
      <c r="E261" s="468"/>
      <c r="F261" s="466">
        <f ca="1">ROUND(SUMIF(INDIRECT(Formulas!$B$1),MID(F$1,2,2)&amp;"-"&amp;LEFT($B261,4)&amp;"*-0*",INDIRECT(Formulas!$B$3)),0)</f>
        <v>0</v>
      </c>
      <c r="G261" s="466">
        <f ca="1">ROUND(SUMIF(INDIRECT(Formulas!$B$1),MID(G$1,2,2)&amp;"-"&amp;LEFT($B261,4)&amp;"*-0*",INDIRECT(Formulas!$B$3)),0)</f>
        <v>0</v>
      </c>
      <c r="H261" s="468"/>
      <c r="I261" s="468"/>
      <c r="J261" s="468"/>
      <c r="K261" s="468"/>
    </row>
    <row r="262" spans="1:11" ht="12.75" customHeight="1" x14ac:dyDescent="0.2">
      <c r="A262" s="1914" t="s">
        <v>1937</v>
      </c>
      <c r="B262" s="470">
        <v>4982</v>
      </c>
      <c r="C262" s="466">
        <f ca="1">ROUND(SUMIF(INDIRECT(Formulas!$B$1),MID(C$1,2,2)&amp;"-"&amp;LEFT($B262,4)&amp;"*-0*",INDIRECT(Formulas!$B$3)),0)</f>
        <v>0</v>
      </c>
      <c r="D262" s="466">
        <f ca="1">ROUND(SUMIF(INDIRECT(Formulas!$B$1),MID(D$1,2,2)&amp;"-"&amp;LEFT($B262,4)&amp;"*-0*",INDIRECT(Formulas!$B$3)),0)</f>
        <v>0</v>
      </c>
      <c r="E262" s="468"/>
      <c r="F262" s="466">
        <f ca="1">ROUND(SUMIF(INDIRECT(Formulas!$B$1),MID(F$1,2,2)&amp;"-"&amp;LEFT($B262,4)&amp;"*-0*",INDIRECT(Formulas!$B$3)),0)</f>
        <v>0</v>
      </c>
      <c r="G262" s="466">
        <f ca="1">ROUND(SUMIF(INDIRECT(Formulas!$B$1),MID(G$1,2,2)&amp;"-"&amp;LEFT($B262,4)&amp;"*-0*",INDIRECT(Formulas!$B$3)),0)</f>
        <v>0</v>
      </c>
      <c r="H262" s="468"/>
      <c r="I262" s="468"/>
      <c r="J262" s="468"/>
      <c r="K262" s="468"/>
    </row>
    <row r="263" spans="1:11" ht="12.75" customHeight="1" x14ac:dyDescent="0.2">
      <c r="A263" s="463" t="s">
        <v>568</v>
      </c>
      <c r="B263" s="470">
        <v>4991</v>
      </c>
      <c r="C263" s="466">
        <f ca="1">ROUND(SUMIF(INDIRECT(Formulas!$B$1),MID(C$1,2,2)&amp;"-"&amp;LEFT($B263,4)&amp;"*-0*",INDIRECT(Formulas!$B$3)),0)</f>
        <v>0</v>
      </c>
      <c r="D263" s="466">
        <f ca="1">ROUND(SUMIF(INDIRECT(Formulas!$B$1),MID(D$1,2,2)&amp;"-"&amp;LEFT($B263,4)&amp;"*-0*",INDIRECT(Formulas!$B$3)),0)</f>
        <v>0</v>
      </c>
      <c r="E263" s="468"/>
      <c r="F263" s="466">
        <f ca="1">ROUND(SUMIF(INDIRECT(Formulas!$B$1),MID(F$1,2,2)&amp;"-"&amp;LEFT($B263,4)&amp;"*-0*",INDIRECT(Formulas!$B$3)),0)</f>
        <v>0</v>
      </c>
      <c r="G263" s="466">
        <f ca="1">ROUND(SUMIF(INDIRECT(Formulas!$B$1),MID(G$1,2,2)&amp;"-"&amp;LEFT($B263,4)&amp;"*-0*",INDIRECT(Formulas!$B$3)),0)</f>
        <v>0</v>
      </c>
      <c r="H263" s="468"/>
      <c r="I263" s="468"/>
      <c r="J263" s="468"/>
      <c r="K263" s="468"/>
    </row>
    <row r="264" spans="1:11" ht="12.75" customHeight="1" x14ac:dyDescent="0.2">
      <c r="A264" s="463" t="s">
        <v>377</v>
      </c>
      <c r="B264" s="470">
        <v>4992</v>
      </c>
      <c r="C264" s="466">
        <f ca="1">ROUND(SUMIF(INDIRECT(Formulas!$B$1),MID(C$1,2,2)&amp;"-"&amp;LEFT($B264,4)&amp;"*-0*",INDIRECT(Formulas!$B$3)),0)</f>
        <v>0</v>
      </c>
      <c r="D264" s="466">
        <f ca="1">ROUND(SUMIF(INDIRECT(Formulas!$B$1),MID(D$1,2,2)&amp;"-"&amp;LEFT($B264,4)&amp;"*-0*",INDIRECT(Formulas!$B$3)),0)</f>
        <v>0</v>
      </c>
      <c r="E264" s="468"/>
      <c r="F264" s="466">
        <f ca="1">ROUND(SUMIF(INDIRECT(Formulas!$B$1),MID(F$1,2,2)&amp;"-"&amp;LEFT($B264,4)&amp;"*-0*",INDIRECT(Formulas!$B$3)),0)</f>
        <v>0</v>
      </c>
      <c r="G264" s="466">
        <f ca="1">ROUND(SUMIF(INDIRECT(Formulas!$B$1),MID(G$1,2,2)&amp;"-"&amp;LEFT($B264,4)&amp;"*-0*",INDIRECT(Formulas!$B$3)),0)</f>
        <v>0</v>
      </c>
      <c r="H264" s="468"/>
      <c r="I264" s="468"/>
      <c r="J264" s="468"/>
      <c r="K264" s="468"/>
    </row>
    <row r="265" spans="1:11" s="579" customFormat="1" ht="12.75" customHeight="1" thickBot="1" x14ac:dyDescent="0.25">
      <c r="A265" s="557" t="s">
        <v>75</v>
      </c>
      <c r="B265" s="552">
        <v>4999</v>
      </c>
      <c r="C265" s="466">
        <f ca="1">ROUND(SUMIF(INDIRECT(Formulas!$B$1),MID(C$1,2,2)&amp;"-"&amp;LEFT($B265,4)&amp;"*-0*",INDIRECT(Formulas!$B$3)),0)</f>
        <v>0</v>
      </c>
      <c r="D265" s="466">
        <f ca="1">ROUND(SUMIF(INDIRECT(Formulas!$B$1),MID(D$1,2,2)&amp;"-"&amp;LEFT($B265,4)&amp;"*-0*",INDIRECT(Formulas!$B$3)),0)</f>
        <v>0</v>
      </c>
      <c r="E265" s="468"/>
      <c r="F265" s="466">
        <f ca="1">ROUND(SUMIF(INDIRECT(Formulas!$B$1),MID(F$1,2,2)&amp;"-"&amp;LEFT($B265,4)&amp;"*-0*",INDIRECT(Formulas!$B$3)),0)</f>
        <v>0</v>
      </c>
      <c r="G265" s="466">
        <f ca="1">ROUND(SUMIF(INDIRECT(Formulas!$B$1),MID(G$1,2,2)&amp;"-"&amp;LEFT($B265,4)&amp;"*-0*",INDIRECT(Formulas!$B$3)),0)</f>
        <v>0</v>
      </c>
      <c r="H265" s="466">
        <f ca="1">ROUND(SUMIF(INDIRECT(Formulas!$B$1),MID(H$1,2,2)&amp;"-"&amp;LEFT($B265,4)&amp;"*-0*",INDIRECT(Formulas!$B$3)),0)</f>
        <v>0</v>
      </c>
      <c r="I265" s="468"/>
      <c r="J265" s="468"/>
      <c r="K265" s="466">
        <f ca="1">ROUND(SUMIF(INDIRECT(Formulas!$B$1),MID(K$1,2,2)&amp;"-"&amp;LEFT($B265,4)&amp;"*-0*",INDIRECT(Formulas!$B$3)),0)</f>
        <v>0</v>
      </c>
    </row>
    <row r="266" spans="1:11" ht="14.25" thickTop="1" thickBot="1" x14ac:dyDescent="0.25">
      <c r="A266" s="1691" t="s">
        <v>1666</v>
      </c>
      <c r="B266" s="1710"/>
      <c r="C266" s="1698">
        <f t="shared" ref="C266:H266" ca="1" si="10">SUM(C188,C198,C204,C209,C217,C221,C222,C252:C265)</f>
        <v>96819</v>
      </c>
      <c r="D266" s="1698">
        <f t="shared" ca="1" si="10"/>
        <v>0</v>
      </c>
      <c r="E266" s="1698">
        <f t="shared" ca="1" si="10"/>
        <v>0</v>
      </c>
      <c r="F266" s="1698">
        <f t="shared" ca="1" si="10"/>
        <v>0</v>
      </c>
      <c r="G266" s="1698">
        <f t="shared" ca="1" si="10"/>
        <v>0</v>
      </c>
      <c r="H266" s="1698">
        <f t="shared" ca="1" si="10"/>
        <v>0</v>
      </c>
      <c r="I266" s="468"/>
      <c r="J266" s="1698">
        <f ca="1">SUM(J188,J198,J204,J209,J217,J221,J222,J252:J265)</f>
        <v>0</v>
      </c>
      <c r="K266" s="1685">
        <f ca="1">SUM(K188,K198,K204,K209,K217,K221,K222,K252:K265)</f>
        <v>0</v>
      </c>
    </row>
    <row r="267" spans="1:11" ht="14.25" thickTop="1" thickBot="1" x14ac:dyDescent="0.25">
      <c r="A267" s="1711" t="s">
        <v>1086</v>
      </c>
      <c r="B267" s="1712" t="s">
        <v>860</v>
      </c>
      <c r="C267" s="1698">
        <f ca="1">SUM(C175,C181,C266)</f>
        <v>120811</v>
      </c>
      <c r="D267" s="1698">
        <f ca="1">SUM(D175,D181,D266)</f>
        <v>0</v>
      </c>
      <c r="E267" s="1698">
        <f ca="1">SUM(E175,E266)</f>
        <v>0</v>
      </c>
      <c r="F267" s="1698">
        <f t="shared" ref="F267:K267" ca="1" si="11">SUM(F175,F181,F266)</f>
        <v>0</v>
      </c>
      <c r="G267" s="1698">
        <f t="shared" ca="1" si="11"/>
        <v>0</v>
      </c>
      <c r="H267" s="1698">
        <f t="shared" ca="1" si="11"/>
        <v>0</v>
      </c>
      <c r="I267" s="1698">
        <f t="shared" ca="1" si="11"/>
        <v>0</v>
      </c>
      <c r="J267" s="1698">
        <f t="shared" ca="1" si="11"/>
        <v>0</v>
      </c>
      <c r="K267" s="1685">
        <f t="shared" ca="1" si="11"/>
        <v>0</v>
      </c>
    </row>
    <row r="268" spans="1:11" ht="14.25" thickTop="1" thickBot="1" x14ac:dyDescent="0.25">
      <c r="A268" s="1713" t="s">
        <v>251</v>
      </c>
      <c r="B268" s="1714"/>
      <c r="C268" s="1698">
        <f t="shared" ref="C268:K268" ca="1" si="12">SUM(C109,C114,C170,C267)</f>
        <v>1669155</v>
      </c>
      <c r="D268" s="1698">
        <f t="shared" ca="1" si="12"/>
        <v>248342</v>
      </c>
      <c r="E268" s="1698">
        <f t="shared" ca="1" si="12"/>
        <v>0</v>
      </c>
      <c r="F268" s="1698">
        <f t="shared" ca="1" si="12"/>
        <v>201811</v>
      </c>
      <c r="G268" s="1698">
        <f t="shared" ca="1" si="12"/>
        <v>17784</v>
      </c>
      <c r="H268" s="1698">
        <f t="shared" ca="1" si="12"/>
        <v>53964</v>
      </c>
      <c r="I268" s="1698">
        <f t="shared" ca="1" si="12"/>
        <v>11495</v>
      </c>
      <c r="J268" s="1698">
        <f t="shared" ca="1" si="12"/>
        <v>90006</v>
      </c>
      <c r="K268" s="1685">
        <f t="shared" ca="1" si="12"/>
        <v>0</v>
      </c>
    </row>
    <row r="269" spans="1:11" ht="13.5" thickTop="1" x14ac:dyDescent="0.2">
      <c r="C269" s="582"/>
      <c r="D269" s="582"/>
      <c r="E269" s="582"/>
      <c r="F269" s="582"/>
      <c r="G269" s="582"/>
      <c r="H269" s="582"/>
      <c r="I269" s="582"/>
      <c r="J269" s="582"/>
      <c r="K269" s="582"/>
    </row>
    <row r="270" spans="1:11" x14ac:dyDescent="0.2">
      <c r="C270" s="582"/>
      <c r="D270" s="582"/>
      <c r="E270" s="582"/>
      <c r="F270" s="582"/>
      <c r="G270" s="582"/>
      <c r="H270" s="582"/>
      <c r="I270" s="582"/>
      <c r="J270" s="582"/>
      <c r="K270" s="582"/>
    </row>
    <row r="271" spans="1:11" x14ac:dyDescent="0.2">
      <c r="C271" s="582"/>
      <c r="D271" s="582"/>
      <c r="E271" s="582"/>
      <c r="F271" s="582"/>
      <c r="G271" s="582"/>
      <c r="H271" s="582"/>
      <c r="I271" s="582"/>
      <c r="J271" s="582"/>
      <c r="K271" s="582"/>
    </row>
    <row r="272" spans="1:11" x14ac:dyDescent="0.2">
      <c r="C272" s="582"/>
      <c r="D272" s="582"/>
      <c r="E272" s="582"/>
      <c r="F272" s="582"/>
      <c r="G272" s="582"/>
      <c r="H272" s="582"/>
      <c r="I272" s="582"/>
      <c r="J272" s="582"/>
      <c r="K272" s="582"/>
    </row>
    <row r="273" spans="1:11" x14ac:dyDescent="0.2">
      <c r="C273" s="582"/>
      <c r="D273" s="582"/>
      <c r="E273" s="582"/>
      <c r="F273" s="582"/>
      <c r="G273" s="582"/>
      <c r="H273" s="582"/>
      <c r="I273" s="582"/>
      <c r="J273" s="582"/>
      <c r="K273" s="582"/>
    </row>
    <row r="274" spans="1:11" x14ac:dyDescent="0.2">
      <c r="C274" s="582"/>
      <c r="D274" s="582"/>
      <c r="E274" s="582"/>
      <c r="F274" s="582"/>
      <c r="G274" s="582"/>
      <c r="H274" s="582"/>
      <c r="I274" s="582"/>
      <c r="J274" s="582"/>
      <c r="K274" s="582"/>
    </row>
    <row r="275" spans="1:11" s="329" customFormat="1" x14ac:dyDescent="0.2">
      <c r="A275" s="580"/>
      <c r="B275" s="581"/>
      <c r="C275" s="582"/>
      <c r="D275" s="582"/>
      <c r="E275" s="582"/>
      <c r="F275" s="582"/>
      <c r="G275" s="582"/>
      <c r="H275" s="582"/>
      <c r="I275" s="582"/>
      <c r="J275" s="582"/>
      <c r="K275" s="582"/>
    </row>
    <row r="276" spans="1:11" s="329" customFormat="1" x14ac:dyDescent="0.2">
      <c r="A276" s="580"/>
    </row>
    <row r="277" spans="1:11" s="329" customFormat="1" x14ac:dyDescent="0.2">
      <c r="A277" s="583"/>
    </row>
    <row r="278" spans="1:11" s="329" customFormat="1" x14ac:dyDescent="0.2">
      <c r="A278" s="583"/>
    </row>
    <row r="279" spans="1:11" s="329" customFormat="1" x14ac:dyDescent="0.2">
      <c r="A279" s="583"/>
    </row>
  </sheetData>
  <sheetProtection password="F60E" sheet="1" objects="1" scenarios="1"/>
  <mergeCells count="7">
    <mergeCell ref="A1:A2"/>
    <mergeCell ref="A169:B169"/>
    <mergeCell ref="A172:B172"/>
    <mergeCell ref="A182:B182"/>
    <mergeCell ref="A175:B175"/>
    <mergeCell ref="A181:B181"/>
    <mergeCell ref="A176:B176"/>
  </mergeCells>
  <phoneticPr fontId="20" type="noConversion"/>
  <printOptions headings="1" gridLines="1"/>
  <pageMargins left="0.25" right="0.15" top="0.66" bottom="0.46" header="0.26" footer="0.17"/>
  <pageSetup scale="70" firstPageNumber="9" fitToWidth="0" fitToHeight="0" orientation="landscape" useFirstPageNumber="1" r:id="rId1"/>
  <headerFooter alignWithMargins="0">
    <oddHeader>&amp;L&amp;8Page &amp;P&amp;C&amp;"Arial,Bold"&amp;9STATEMENT OF REVENUES RECEIVED/REVENUES
FOR THE YEAR ENDING JUNE 30, 2019&amp;R&amp;8Page &amp;P</oddHeader>
    <oddFooter>&amp;CSee Notes to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view="pageLayout" topLeftCell="A160" colorId="8" zoomScale="90" zoomScaleNormal="110" zoomScalePageLayoutView="90" workbookViewId="0">
      <selection activeCell="L215" sqref="L215"/>
    </sheetView>
  </sheetViews>
  <sheetFormatPr defaultColWidth="9.140625" defaultRowHeight="12.75" x14ac:dyDescent="0.2"/>
  <cols>
    <col min="1" max="1" width="48.5703125" style="693" customWidth="1"/>
    <col min="2" max="2" width="5" style="694" customWidth="1"/>
    <col min="3" max="8" width="13.28515625" style="595" customWidth="1"/>
    <col min="9" max="10" width="13.28515625" style="343" customWidth="1"/>
    <col min="11" max="11" width="13.28515625" style="695" customWidth="1"/>
    <col min="12" max="12" width="11.85546875" style="343" customWidth="1"/>
    <col min="13" max="13" width="1.5703125" style="210" customWidth="1"/>
    <col min="14" max="14" width="9.140625" style="210"/>
    <col min="15" max="16384" width="9.140625" style="329"/>
  </cols>
  <sheetData>
    <row r="1" spans="1:14" x14ac:dyDescent="0.2">
      <c r="A1" s="2185" t="s">
        <v>1801</v>
      </c>
      <c r="B1" s="588"/>
      <c r="C1" s="589" t="s">
        <v>775</v>
      </c>
      <c r="D1" s="589" t="s">
        <v>1078</v>
      </c>
      <c r="E1" s="589" t="s">
        <v>1079</v>
      </c>
      <c r="F1" s="589" t="s">
        <v>1080</v>
      </c>
      <c r="G1" s="589" t="s">
        <v>1081</v>
      </c>
      <c r="H1" s="589" t="s">
        <v>1082</v>
      </c>
      <c r="I1" s="589" t="s">
        <v>1083</v>
      </c>
      <c r="J1" s="589" t="s">
        <v>1084</v>
      </c>
      <c r="K1" s="589" t="s">
        <v>252</v>
      </c>
      <c r="L1" s="590"/>
    </row>
    <row r="2" spans="1:14" s="594" customFormat="1" ht="28.5" customHeight="1" x14ac:dyDescent="0.2">
      <c r="A2" s="2219"/>
      <c r="B2" s="591" t="s">
        <v>45</v>
      </c>
      <c r="C2" s="592" t="s">
        <v>194</v>
      </c>
      <c r="D2" s="593" t="s">
        <v>49</v>
      </c>
      <c r="E2" s="593" t="s">
        <v>1100</v>
      </c>
      <c r="F2" s="593" t="s">
        <v>1094</v>
      </c>
      <c r="G2" s="592" t="s">
        <v>1095</v>
      </c>
      <c r="H2" s="592" t="s">
        <v>1096</v>
      </c>
      <c r="I2" s="593" t="s">
        <v>291</v>
      </c>
      <c r="J2" s="593" t="s">
        <v>292</v>
      </c>
      <c r="K2" s="592" t="s">
        <v>156</v>
      </c>
      <c r="L2" s="592" t="s">
        <v>30</v>
      </c>
      <c r="M2" s="257"/>
      <c r="N2" s="257"/>
    </row>
    <row r="3" spans="1:14" s="343" customFormat="1" ht="16.7" customHeight="1" x14ac:dyDescent="0.2">
      <c r="A3" s="2225" t="s">
        <v>297</v>
      </c>
      <c r="B3" s="2226"/>
      <c r="C3" s="1531"/>
      <c r="D3" s="1531"/>
      <c r="E3" s="1531"/>
      <c r="F3" s="1531"/>
      <c r="G3" s="1531"/>
      <c r="H3" s="1531"/>
      <c r="I3" s="1531"/>
      <c r="J3" s="1531"/>
      <c r="K3" s="1532"/>
      <c r="L3" s="1533"/>
      <c r="M3" s="595"/>
      <c r="N3" s="595"/>
    </row>
    <row r="4" spans="1:14" s="259" customFormat="1" ht="15.75" customHeight="1" x14ac:dyDescent="0.2">
      <c r="A4" s="1589" t="s">
        <v>44</v>
      </c>
      <c r="B4" s="1590" t="s">
        <v>570</v>
      </c>
      <c r="C4" s="596"/>
      <c r="D4" s="596"/>
      <c r="E4" s="596"/>
      <c r="F4" s="596"/>
      <c r="G4" s="596"/>
      <c r="H4" s="596"/>
      <c r="I4" s="597"/>
      <c r="J4" s="596"/>
      <c r="K4" s="598"/>
      <c r="L4" s="596"/>
      <c r="M4" s="599"/>
      <c r="N4" s="599"/>
    </row>
    <row r="5" spans="1:14" x14ac:dyDescent="0.2">
      <c r="A5" s="1487" t="s">
        <v>961</v>
      </c>
      <c r="B5" s="600">
        <v>1100</v>
      </c>
      <c r="C5" s="466">
        <f ca="1">ROUND(SUMIF(INDIRECT(Formulas!$B$1),"10-"&amp;LEFT($B5,3)&amp;"*-"&amp;MID(C$1,2,1)&amp;"*",INDIRECT(Formulas!$B$3)),0)</f>
        <v>569426</v>
      </c>
      <c r="D5" s="466">
        <f ca="1">ROUND(SUMIF(INDIRECT(Formulas!$B$1),"10-"&amp;LEFT($B5,3)&amp;"*-"&amp;MID(D$1,2,1)&amp;"*",INDIRECT(Formulas!$B$3)),0)</f>
        <v>81036</v>
      </c>
      <c r="E5" s="466">
        <f ca="1">ROUND(SUMIF(INDIRECT(Formulas!$B$1),"10-"&amp;LEFT($B5,3)&amp;"*-"&amp;MID(E$1,2,1)&amp;"*",INDIRECT(Formulas!$B$3)),0)</f>
        <v>32381</v>
      </c>
      <c r="F5" s="466">
        <f ca="1">ROUND(SUMIF(INDIRECT(Formulas!$B$1),"10-"&amp;LEFT($B5,3)&amp;"*-"&amp;MID(F$1,2,1)&amp;"*",INDIRECT(Formulas!$B$3)),0)</f>
        <v>124480</v>
      </c>
      <c r="G5" s="466">
        <f ca="1">ROUND(SUMIF(INDIRECT(Formulas!$B$1),"10-"&amp;LEFT($B5,3)&amp;"*-"&amp;MID(G$1,2,1)&amp;"*",INDIRECT(Formulas!$B$3)),0)</f>
        <v>536</v>
      </c>
      <c r="H5" s="466">
        <f ca="1">ROUND(SUMIF(INDIRECT(Formulas!$B$1),"10-"&amp;LEFT($B5,3)&amp;"*-"&amp;MID(H$1,2,1)&amp;"*",INDIRECT(Formulas!$B$3)),0)</f>
        <v>16698</v>
      </c>
      <c r="I5" s="466">
        <f ca="1">ROUND(SUMIF(INDIRECT(Formulas!$B$1),"10-"&amp;LEFT($B5,3)&amp;"*-"&amp;MID(I$1,2,1)&amp;"*",INDIRECT(Formulas!$B$3)),0)</f>
        <v>0</v>
      </c>
      <c r="J5" s="466">
        <f ca="1">ROUND(SUMIF(INDIRECT(Formulas!$B$1),"10-"&amp;LEFT($B5,3)&amp;"*-"&amp;MID(J$1,2,1)&amp;"*",INDIRECT(Formulas!$B$3)),0)</f>
        <v>0</v>
      </c>
      <c r="K5" s="1654">
        <f ca="1">SUM(C5:J5)</f>
        <v>824557</v>
      </c>
      <c r="L5" s="466">
        <v>760650</v>
      </c>
    </row>
    <row r="6" spans="1:14" x14ac:dyDescent="0.2">
      <c r="A6" s="1487" t="s">
        <v>1433</v>
      </c>
      <c r="B6" s="600" t="s">
        <v>1431</v>
      </c>
      <c r="C6" s="476"/>
      <c r="D6" s="476"/>
      <c r="E6" s="466">
        <f ca="1">ROUND(SUMIF(INDIRECT(Formulas!$B$1),"10-"&amp;LEFT($B6,3)&amp;"*-"&amp;MID(E$1,2,1)&amp;"*",INDIRECT(Formulas!$B$3)),0)</f>
        <v>0</v>
      </c>
      <c r="F6" s="476"/>
      <c r="G6" s="476"/>
      <c r="H6" s="476"/>
      <c r="I6" s="476"/>
      <c r="J6" s="476"/>
      <c r="K6" s="1654">
        <f ca="1">SUM(C6,E6)</f>
        <v>0</v>
      </c>
      <c r="L6" s="466">
        <v>0</v>
      </c>
    </row>
    <row r="7" spans="1:14" x14ac:dyDescent="0.2">
      <c r="A7" s="1487" t="s">
        <v>163</v>
      </c>
      <c r="B7" s="600" t="s">
        <v>967</v>
      </c>
      <c r="C7" s="466">
        <f ca="1">ROUND(SUMIF(INDIRECT(Formulas!$B$1),"10-"&amp;LEFT($B7,3)&amp;"*-"&amp;MID(C$1,2,1)&amp;"*",INDIRECT(Formulas!$B$3)),0)</f>
        <v>56921</v>
      </c>
      <c r="D7" s="466">
        <f ca="1">ROUND(SUMIF(INDIRECT(Formulas!$B$1),"10-"&amp;LEFT($B7,3)&amp;"*-"&amp;MID(D$1,2,1)&amp;"*",INDIRECT(Formulas!$B$3)),0)</f>
        <v>7071</v>
      </c>
      <c r="E7" s="466">
        <f ca="1">ROUND(SUMIF(INDIRECT(Formulas!$B$1),"10-"&amp;LEFT($B7,3)&amp;"*-"&amp;MID(E$1,2,1)&amp;"*",INDIRECT(Formulas!$B$3)),0)</f>
        <v>0</v>
      </c>
      <c r="F7" s="466">
        <f ca="1">ROUND(SUMIF(INDIRECT(Formulas!$B$1),"10-"&amp;LEFT($B7,3)&amp;"*-"&amp;MID(F$1,2,1)&amp;"*",INDIRECT(Formulas!$B$3)),0)</f>
        <v>6939</v>
      </c>
      <c r="G7" s="466">
        <f ca="1">ROUND(SUMIF(INDIRECT(Formulas!$B$1),"10-"&amp;LEFT($B7,3)&amp;"*-"&amp;MID(G$1,2,1)&amp;"*",INDIRECT(Formulas!$B$3)),0)</f>
        <v>0</v>
      </c>
      <c r="H7" s="466">
        <f ca="1">ROUND(SUMIF(INDIRECT(Formulas!$B$1),"10-"&amp;LEFT($B7,3)&amp;"*-"&amp;MID(H$1,2,1)&amp;"*",INDIRECT(Formulas!$B$3)),0)</f>
        <v>540</v>
      </c>
      <c r="I7" s="466">
        <f ca="1">ROUND(SUMIF(INDIRECT(Formulas!$B$1),"10-"&amp;LEFT($B7,3)&amp;"*-"&amp;MID(I$1,2,1)&amp;"*",INDIRECT(Formulas!$B$3)),0)</f>
        <v>0</v>
      </c>
      <c r="J7" s="466">
        <f ca="1">ROUND(SUMIF(INDIRECT(Formulas!$B$1),"10-"&amp;LEFT($B7,3)&amp;"*-"&amp;MID(J$1,2,1)&amp;"*",INDIRECT(Formulas!$B$3)),0)</f>
        <v>0</v>
      </c>
      <c r="K7" s="1654">
        <f t="shared" ref="K7:K32" ca="1" si="0">SUM(C7:J7)</f>
        <v>71471</v>
      </c>
      <c r="L7" s="466">
        <v>83090</v>
      </c>
    </row>
    <row r="8" spans="1:14" x14ac:dyDescent="0.2">
      <c r="A8" s="1487" t="s">
        <v>164</v>
      </c>
      <c r="B8" s="600">
        <v>1200</v>
      </c>
      <c r="C8" s="466">
        <f ca="1">ROUND(SUMIF(INDIRECT(Formulas!$B$1),"10-"&amp;LEFT($B8,3)&amp;"*-"&amp;MID(C$1,2,1)&amp;"*",INDIRECT(Formulas!$B$3)),0)</f>
        <v>85014</v>
      </c>
      <c r="D8" s="466">
        <f ca="1">ROUND(SUMIF(INDIRECT(Formulas!$B$1),"10-"&amp;LEFT($B8,3)&amp;"*-"&amp;MID(D$1,2,1)&amp;"*",INDIRECT(Formulas!$B$3)),0)</f>
        <v>20143</v>
      </c>
      <c r="E8" s="466">
        <f ca="1">ROUND(SUMIF(INDIRECT(Formulas!$B$1),"10-"&amp;LEFT($B8,3)&amp;"*-"&amp;MID(E$1,2,1)&amp;"*",INDIRECT(Formulas!$B$3)),0)</f>
        <v>20484</v>
      </c>
      <c r="F8" s="466">
        <f ca="1">ROUND(SUMIF(INDIRECT(Formulas!$B$1),"10-"&amp;LEFT($B8,3)&amp;"*-"&amp;MID(F$1,2,1)&amp;"*",INDIRECT(Formulas!$B$3)),0)</f>
        <v>0</v>
      </c>
      <c r="G8" s="466">
        <f ca="1">ROUND(SUMIF(INDIRECT(Formulas!$B$1),"10-"&amp;LEFT($B8,3)&amp;"*-"&amp;MID(G$1,2,1)&amp;"*",INDIRECT(Formulas!$B$3)),0)</f>
        <v>0</v>
      </c>
      <c r="H8" s="466">
        <f ca="1">ROUND(SUMIF(INDIRECT(Formulas!$B$1),"10-"&amp;LEFT($B8,3)&amp;"*-"&amp;MID(H$1,2,1)&amp;"*",INDIRECT(Formulas!$B$3)),0)</f>
        <v>61937</v>
      </c>
      <c r="I8" s="466">
        <f ca="1">ROUND(SUMIF(INDIRECT(Formulas!$B$1),"10-"&amp;LEFT($B8,3)&amp;"*-"&amp;MID(I$1,2,1)&amp;"*",INDIRECT(Formulas!$B$3)),0)</f>
        <v>0</v>
      </c>
      <c r="J8" s="466">
        <f ca="1">ROUND(SUMIF(INDIRECT(Formulas!$B$1),"10-"&amp;LEFT($B8,3)&amp;"*-"&amp;MID(J$1,2,1)&amp;"*",INDIRECT(Formulas!$B$3)),0)</f>
        <v>0</v>
      </c>
      <c r="K8" s="1654">
        <f t="shared" ca="1" si="0"/>
        <v>187578</v>
      </c>
      <c r="L8" s="466">
        <v>126172</v>
      </c>
    </row>
    <row r="9" spans="1:14" x14ac:dyDescent="0.2">
      <c r="A9" s="1487" t="s">
        <v>721</v>
      </c>
      <c r="B9" s="600" t="s">
        <v>968</v>
      </c>
      <c r="C9" s="466">
        <f ca="1">ROUND(SUMIF(INDIRECT(Formulas!$B$1),"10-"&amp;LEFT($B9,3)&amp;"*-"&amp;MID(C$1,2,1)&amp;"*",INDIRECT(Formulas!$B$3)),0)</f>
        <v>0</v>
      </c>
      <c r="D9" s="466">
        <f ca="1">ROUND(SUMIF(INDIRECT(Formulas!$B$1),"10-"&amp;LEFT($B9,3)&amp;"*-"&amp;MID(D$1,2,1)&amp;"*",INDIRECT(Formulas!$B$3)),0)</f>
        <v>0</v>
      </c>
      <c r="E9" s="466">
        <f ca="1">ROUND(SUMIF(INDIRECT(Formulas!$B$1),"10-"&amp;LEFT($B9,3)&amp;"*-"&amp;MID(E$1,2,1)&amp;"*",INDIRECT(Formulas!$B$3)),0)</f>
        <v>0</v>
      </c>
      <c r="F9" s="466">
        <f ca="1">ROUND(SUMIF(INDIRECT(Formulas!$B$1),"10-"&amp;LEFT($B9,3)&amp;"*-"&amp;MID(F$1,2,1)&amp;"*",INDIRECT(Formulas!$B$3)),0)</f>
        <v>0</v>
      </c>
      <c r="G9" s="466">
        <f ca="1">ROUND(SUMIF(INDIRECT(Formulas!$B$1),"10-"&amp;LEFT($B9,3)&amp;"*-"&amp;MID(G$1,2,1)&amp;"*",INDIRECT(Formulas!$B$3)),0)</f>
        <v>0</v>
      </c>
      <c r="H9" s="466">
        <f ca="1">ROUND(SUMIF(INDIRECT(Formulas!$B$1),"10-"&amp;LEFT($B9,3)&amp;"*-"&amp;MID(H$1,2,1)&amp;"*",INDIRECT(Formulas!$B$3)),0)</f>
        <v>0</v>
      </c>
      <c r="I9" s="466">
        <f ca="1">ROUND(SUMIF(INDIRECT(Formulas!$B$1),"10-"&amp;LEFT($B9,3)&amp;"*-"&amp;MID(I$1,2,1)&amp;"*",INDIRECT(Formulas!$B$3)),0)</f>
        <v>0</v>
      </c>
      <c r="J9" s="466">
        <f ca="1">ROUND(SUMIF(INDIRECT(Formulas!$B$1),"10-"&amp;LEFT($B9,3)&amp;"*-"&amp;MID(J$1,2,1)&amp;"*",INDIRECT(Formulas!$B$3)),0)</f>
        <v>0</v>
      </c>
      <c r="K9" s="1654">
        <f t="shared" ca="1" si="0"/>
        <v>0</v>
      </c>
      <c r="L9" s="466">
        <v>0</v>
      </c>
    </row>
    <row r="10" spans="1:14" x14ac:dyDescent="0.2">
      <c r="A10" s="1487" t="s">
        <v>722</v>
      </c>
      <c r="B10" s="600">
        <v>1250</v>
      </c>
      <c r="C10" s="466">
        <f ca="1">ROUND(SUMIF(INDIRECT(Formulas!$B$1),"10-"&amp;LEFT($B10,3)&amp;"*-"&amp;MID(C$1,2,1)&amp;"*",INDIRECT(Formulas!$B$3)),0)</f>
        <v>24586</v>
      </c>
      <c r="D10" s="466">
        <f ca="1">ROUND(SUMIF(INDIRECT(Formulas!$B$1),"10-"&amp;LEFT($B10,3)&amp;"*-"&amp;MID(D$1,2,1)&amp;"*",INDIRECT(Formulas!$B$3)),0)</f>
        <v>575</v>
      </c>
      <c r="E10" s="466">
        <f ca="1">ROUND(SUMIF(INDIRECT(Formulas!$B$1),"10-"&amp;LEFT($B10,3)&amp;"*-"&amp;MID(E$1,2,1)&amp;"*",INDIRECT(Formulas!$B$3)),0)</f>
        <v>0</v>
      </c>
      <c r="F10" s="466">
        <f ca="1">ROUND(SUMIF(INDIRECT(Formulas!$B$1),"10-"&amp;LEFT($B10,3)&amp;"*-"&amp;MID(F$1,2,1)&amp;"*",INDIRECT(Formulas!$B$3)),0)</f>
        <v>14105</v>
      </c>
      <c r="G10" s="466">
        <f ca="1">ROUND(SUMIF(INDIRECT(Formulas!$B$1),"10-"&amp;LEFT($B10,3)&amp;"*-"&amp;MID(G$1,2,1)&amp;"*",INDIRECT(Formulas!$B$3)),0)</f>
        <v>1800</v>
      </c>
      <c r="H10" s="466">
        <f ca="1">ROUND(SUMIF(INDIRECT(Formulas!$B$1),"10-"&amp;LEFT($B10,3)&amp;"*-"&amp;MID(H$1,2,1)&amp;"*",INDIRECT(Formulas!$B$3)),0)</f>
        <v>0</v>
      </c>
      <c r="I10" s="466">
        <f ca="1">ROUND(SUMIF(INDIRECT(Formulas!$B$1),"10-"&amp;LEFT($B10,3)&amp;"*-"&amp;MID(I$1,2,1)&amp;"*",INDIRECT(Formulas!$B$3)),0)</f>
        <v>0</v>
      </c>
      <c r="J10" s="466">
        <f ca="1">ROUND(SUMIF(INDIRECT(Formulas!$B$1),"10-"&amp;LEFT($B10,3)&amp;"*-"&amp;MID(J$1,2,1)&amp;"*",INDIRECT(Formulas!$B$3)),0)</f>
        <v>0</v>
      </c>
      <c r="K10" s="1654">
        <f t="shared" ca="1" si="0"/>
        <v>41066</v>
      </c>
      <c r="L10" s="466">
        <v>28000</v>
      </c>
    </row>
    <row r="11" spans="1:14" x14ac:dyDescent="0.2">
      <c r="A11" s="1487" t="s">
        <v>1130</v>
      </c>
      <c r="B11" s="600" t="s">
        <v>161</v>
      </c>
      <c r="C11" s="466">
        <f ca="1">ROUND(SUMIF(INDIRECT(Formulas!$B$1),"10-"&amp;LEFT($B11,3)&amp;"*-"&amp;MID(C$1,2,1)&amp;"*",INDIRECT(Formulas!$B$3)),0)</f>
        <v>0</v>
      </c>
      <c r="D11" s="466">
        <f ca="1">ROUND(SUMIF(INDIRECT(Formulas!$B$1),"10-"&amp;LEFT($B11,3)&amp;"*-"&amp;MID(D$1,2,1)&amp;"*",INDIRECT(Formulas!$B$3)),0)</f>
        <v>0</v>
      </c>
      <c r="E11" s="466">
        <f ca="1">ROUND(SUMIF(INDIRECT(Formulas!$B$1),"10-"&amp;LEFT($B11,3)&amp;"*-"&amp;MID(E$1,2,1)&amp;"*",INDIRECT(Formulas!$B$3)),0)</f>
        <v>0</v>
      </c>
      <c r="F11" s="466">
        <f ca="1">ROUND(SUMIF(INDIRECT(Formulas!$B$1),"10-"&amp;LEFT($B11,3)&amp;"*-"&amp;MID(F$1,2,1)&amp;"*",INDIRECT(Formulas!$B$3)),0)</f>
        <v>0</v>
      </c>
      <c r="G11" s="466">
        <f ca="1">ROUND(SUMIF(INDIRECT(Formulas!$B$1),"10-"&amp;LEFT($B11,3)&amp;"*-"&amp;MID(G$1,2,1)&amp;"*",INDIRECT(Formulas!$B$3)),0)</f>
        <v>0</v>
      </c>
      <c r="H11" s="466">
        <f ca="1">ROUND(SUMIF(INDIRECT(Formulas!$B$1),"10-"&amp;LEFT($B11,3)&amp;"*-"&amp;MID(H$1,2,1)&amp;"*",INDIRECT(Formulas!$B$3)),0)</f>
        <v>0</v>
      </c>
      <c r="I11" s="466">
        <f ca="1">ROUND(SUMIF(INDIRECT(Formulas!$B$1),"10-"&amp;LEFT($B11,3)&amp;"*-"&amp;MID(I$1,2,1)&amp;"*",INDIRECT(Formulas!$B$3)),0)</f>
        <v>0</v>
      </c>
      <c r="J11" s="466">
        <f ca="1">ROUND(SUMIF(INDIRECT(Formulas!$B$1),"10-"&amp;LEFT($B11,3)&amp;"*-"&amp;MID(J$1,2,1)&amp;"*",INDIRECT(Formulas!$B$3)),0)</f>
        <v>0</v>
      </c>
      <c r="K11" s="1654">
        <f t="shared" ca="1" si="0"/>
        <v>0</v>
      </c>
      <c r="L11" s="466">
        <v>0</v>
      </c>
    </row>
    <row r="12" spans="1:14" x14ac:dyDescent="0.2">
      <c r="A12" s="1487" t="s">
        <v>962</v>
      </c>
      <c r="B12" s="600">
        <v>1300</v>
      </c>
      <c r="C12" s="466">
        <f ca="1">ROUND(SUMIF(INDIRECT(Formulas!$B$1),"10-"&amp;LEFT($B12,3)&amp;"*-"&amp;MID(C$1,2,1)&amp;"*",INDIRECT(Formulas!$B$3)),0)</f>
        <v>0</v>
      </c>
      <c r="D12" s="466">
        <f ca="1">ROUND(SUMIF(INDIRECT(Formulas!$B$1),"10-"&amp;LEFT($B12,3)&amp;"*-"&amp;MID(D$1,2,1)&amp;"*",INDIRECT(Formulas!$B$3)),0)</f>
        <v>0</v>
      </c>
      <c r="E12" s="466">
        <f ca="1">ROUND(SUMIF(INDIRECT(Formulas!$B$1),"10-"&amp;LEFT($B12,3)&amp;"*-"&amp;MID(E$1,2,1)&amp;"*",INDIRECT(Formulas!$B$3)),0)</f>
        <v>0</v>
      </c>
      <c r="F12" s="466">
        <f ca="1">ROUND(SUMIF(INDIRECT(Formulas!$B$1),"10-"&amp;LEFT($B12,3)&amp;"*-"&amp;MID(F$1,2,1)&amp;"*",INDIRECT(Formulas!$B$3)),0)</f>
        <v>0</v>
      </c>
      <c r="G12" s="466">
        <f ca="1">ROUND(SUMIF(INDIRECT(Formulas!$B$1),"10-"&amp;LEFT($B12,3)&amp;"*-"&amp;MID(G$1,2,1)&amp;"*",INDIRECT(Formulas!$B$3)),0)</f>
        <v>0</v>
      </c>
      <c r="H12" s="466">
        <f ca="1">ROUND(SUMIF(INDIRECT(Formulas!$B$1),"10-"&amp;LEFT($B12,3)&amp;"*-"&amp;MID(H$1,2,1)&amp;"*",INDIRECT(Formulas!$B$3)),0)</f>
        <v>0</v>
      </c>
      <c r="I12" s="466">
        <f ca="1">ROUND(SUMIF(INDIRECT(Formulas!$B$1),"10-"&amp;LEFT($B12,3)&amp;"*-"&amp;MID(I$1,2,1)&amp;"*",INDIRECT(Formulas!$B$3)),0)</f>
        <v>0</v>
      </c>
      <c r="J12" s="466">
        <f ca="1">ROUND(SUMIF(INDIRECT(Formulas!$B$1),"10-"&amp;LEFT($B12,3)&amp;"*-"&amp;MID(J$1,2,1)&amp;"*",INDIRECT(Formulas!$B$3)),0)</f>
        <v>0</v>
      </c>
      <c r="K12" s="1654">
        <f t="shared" ca="1" si="0"/>
        <v>0</v>
      </c>
      <c r="L12" s="466">
        <v>0</v>
      </c>
    </row>
    <row r="13" spans="1:14" x14ac:dyDescent="0.2">
      <c r="A13" s="1487" t="s">
        <v>723</v>
      </c>
      <c r="B13" s="600">
        <v>1400</v>
      </c>
      <c r="C13" s="466">
        <f ca="1">ROUND(SUMIF(INDIRECT(Formulas!$B$1),"10-"&amp;LEFT($B13,3)&amp;"*-"&amp;MID(C$1,2,1)&amp;"*",INDIRECT(Formulas!$B$3)),0)</f>
        <v>0</v>
      </c>
      <c r="D13" s="466">
        <f ca="1">ROUND(SUMIF(INDIRECT(Formulas!$B$1),"10-"&amp;LEFT($B13,3)&amp;"*-"&amp;MID(D$1,2,1)&amp;"*",INDIRECT(Formulas!$B$3)),0)</f>
        <v>0</v>
      </c>
      <c r="E13" s="466">
        <f ca="1">ROUND(SUMIF(INDIRECT(Formulas!$B$1),"10-"&amp;LEFT($B13,3)&amp;"*-"&amp;MID(E$1,2,1)&amp;"*",INDIRECT(Formulas!$B$3)),0)</f>
        <v>0</v>
      </c>
      <c r="F13" s="466">
        <f ca="1">ROUND(SUMIF(INDIRECT(Formulas!$B$1),"10-"&amp;LEFT($B13,3)&amp;"*-"&amp;MID(F$1,2,1)&amp;"*",INDIRECT(Formulas!$B$3)),0)</f>
        <v>0</v>
      </c>
      <c r="G13" s="466">
        <f ca="1">ROUND(SUMIF(INDIRECT(Formulas!$B$1),"10-"&amp;LEFT($B13,3)&amp;"*-"&amp;MID(G$1,2,1)&amp;"*",INDIRECT(Formulas!$B$3)),0)</f>
        <v>0</v>
      </c>
      <c r="H13" s="466">
        <f ca="1">ROUND(SUMIF(INDIRECT(Formulas!$B$1),"10-"&amp;LEFT($B13,3)&amp;"*-"&amp;MID(H$1,2,1)&amp;"*",INDIRECT(Formulas!$B$3)),0)</f>
        <v>0</v>
      </c>
      <c r="I13" s="466">
        <f ca="1">ROUND(SUMIF(INDIRECT(Formulas!$B$1),"10-"&amp;LEFT($B13,3)&amp;"*-"&amp;MID(I$1,2,1)&amp;"*",INDIRECT(Formulas!$B$3)),0)</f>
        <v>0</v>
      </c>
      <c r="J13" s="466">
        <f ca="1">ROUND(SUMIF(INDIRECT(Formulas!$B$1),"10-"&amp;LEFT($B13,3)&amp;"*-"&amp;MID(J$1,2,1)&amp;"*",INDIRECT(Formulas!$B$3)),0)</f>
        <v>0</v>
      </c>
      <c r="K13" s="1654">
        <f t="shared" ca="1" si="0"/>
        <v>0</v>
      </c>
      <c r="L13" s="466">
        <v>0</v>
      </c>
    </row>
    <row r="14" spans="1:14" x14ac:dyDescent="0.2">
      <c r="A14" s="1487" t="s">
        <v>963</v>
      </c>
      <c r="B14" s="600">
        <v>1500</v>
      </c>
      <c r="C14" s="466">
        <f ca="1">ROUND(SUMIF(INDIRECT(Formulas!$B$1),"10-"&amp;LEFT($B14,3)&amp;"*-"&amp;MID(C$1,2,1)&amp;"*",INDIRECT(Formulas!$B$3)),0)</f>
        <v>24985</v>
      </c>
      <c r="D14" s="466">
        <f ca="1">ROUND(SUMIF(INDIRECT(Formulas!$B$1),"10-"&amp;LEFT($B14,3)&amp;"*-"&amp;MID(D$1,2,1)&amp;"*",INDIRECT(Formulas!$B$3)),0)</f>
        <v>239</v>
      </c>
      <c r="E14" s="466">
        <f ca="1">ROUND(SUMIF(INDIRECT(Formulas!$B$1),"10-"&amp;LEFT($B14,3)&amp;"*-"&amp;MID(E$1,2,1)&amp;"*",INDIRECT(Formulas!$B$3)),0)</f>
        <v>9546</v>
      </c>
      <c r="F14" s="466">
        <f ca="1">ROUND(SUMIF(INDIRECT(Formulas!$B$1),"10-"&amp;LEFT($B14,3)&amp;"*-"&amp;MID(F$1,2,1)&amp;"*",INDIRECT(Formulas!$B$3)),0)</f>
        <v>9402</v>
      </c>
      <c r="G14" s="466">
        <f ca="1">ROUND(SUMIF(INDIRECT(Formulas!$B$1),"10-"&amp;LEFT($B14,3)&amp;"*-"&amp;MID(G$1,2,1)&amp;"*",INDIRECT(Formulas!$B$3)),0)</f>
        <v>0</v>
      </c>
      <c r="H14" s="466">
        <f ca="1">ROUND(SUMIF(INDIRECT(Formulas!$B$1),"10-"&amp;LEFT($B14,3)&amp;"*-"&amp;MID(H$1,2,1)&amp;"*",INDIRECT(Formulas!$B$3)),0)</f>
        <v>1878</v>
      </c>
      <c r="I14" s="466">
        <f ca="1">ROUND(SUMIF(INDIRECT(Formulas!$B$1),"10-"&amp;LEFT($B14,3)&amp;"*-"&amp;MID(I$1,2,1)&amp;"*",INDIRECT(Formulas!$B$3)),0)</f>
        <v>0</v>
      </c>
      <c r="J14" s="466">
        <f ca="1">ROUND(SUMIF(INDIRECT(Formulas!$B$1),"10-"&amp;LEFT($B14,3)&amp;"*-"&amp;MID(J$1,2,1)&amp;"*",INDIRECT(Formulas!$B$3)),0)</f>
        <v>0</v>
      </c>
      <c r="K14" s="1654">
        <f t="shared" ca="1" si="0"/>
        <v>46050</v>
      </c>
      <c r="L14" s="466">
        <v>44054</v>
      </c>
    </row>
    <row r="15" spans="1:14" x14ac:dyDescent="0.2">
      <c r="A15" s="1487" t="s">
        <v>964</v>
      </c>
      <c r="B15" s="600">
        <v>1600</v>
      </c>
      <c r="C15" s="466">
        <f ca="1">ROUND(SUMIF(INDIRECT(Formulas!$B$1),"10-"&amp;LEFT($B15,3)&amp;"*-"&amp;MID(C$1,2,1)&amp;"*",INDIRECT(Formulas!$B$3)),0)</f>
        <v>0</v>
      </c>
      <c r="D15" s="466">
        <f ca="1">ROUND(SUMIF(INDIRECT(Formulas!$B$1),"10-"&amp;LEFT($B15,3)&amp;"*-"&amp;MID(D$1,2,1)&amp;"*",INDIRECT(Formulas!$B$3)),0)</f>
        <v>0</v>
      </c>
      <c r="E15" s="466">
        <f ca="1">ROUND(SUMIF(INDIRECT(Formulas!$B$1),"10-"&amp;LEFT($B15,3)&amp;"*-"&amp;MID(E$1,2,1)&amp;"*",INDIRECT(Formulas!$B$3)),0)</f>
        <v>0</v>
      </c>
      <c r="F15" s="466">
        <f ca="1">ROUND(SUMIF(INDIRECT(Formulas!$B$1),"10-"&amp;LEFT($B15,3)&amp;"*-"&amp;MID(F$1,2,1)&amp;"*",INDIRECT(Formulas!$B$3)),0)</f>
        <v>0</v>
      </c>
      <c r="G15" s="466">
        <f ca="1">ROUND(SUMIF(INDIRECT(Formulas!$B$1),"10-"&amp;LEFT($B15,3)&amp;"*-"&amp;MID(G$1,2,1)&amp;"*",INDIRECT(Formulas!$B$3)),0)</f>
        <v>0</v>
      </c>
      <c r="H15" s="466">
        <f ca="1">ROUND(SUMIF(INDIRECT(Formulas!$B$1),"10-"&amp;LEFT($B15,3)&amp;"*-"&amp;MID(H$1,2,1)&amp;"*",INDIRECT(Formulas!$B$3)),0)</f>
        <v>0</v>
      </c>
      <c r="I15" s="466">
        <f ca="1">ROUND(SUMIF(INDIRECT(Formulas!$B$1),"10-"&amp;LEFT($B15,3)&amp;"*-"&amp;MID(I$1,2,1)&amp;"*",INDIRECT(Formulas!$B$3)),0)</f>
        <v>0</v>
      </c>
      <c r="J15" s="466">
        <f ca="1">ROUND(SUMIF(INDIRECT(Formulas!$B$1),"10-"&amp;LEFT($B15,3)&amp;"*-"&amp;MID(J$1,2,1)&amp;"*",INDIRECT(Formulas!$B$3)),0)</f>
        <v>0</v>
      </c>
      <c r="K15" s="1654">
        <f t="shared" ca="1" si="0"/>
        <v>0</v>
      </c>
      <c r="L15" s="466">
        <v>0</v>
      </c>
    </row>
    <row r="16" spans="1:14" x14ac:dyDescent="0.2">
      <c r="A16" s="1487" t="s">
        <v>987</v>
      </c>
      <c r="B16" s="600" t="s">
        <v>424</v>
      </c>
      <c r="C16" s="466">
        <f ca="1">ROUND(SUMIF(INDIRECT(Formulas!$B$1),"10-"&amp;LEFT($B16,3)&amp;"*-"&amp;MID(C$1,2,1)&amp;"*",INDIRECT(Formulas!$B$3)),0)</f>
        <v>0</v>
      </c>
      <c r="D16" s="466">
        <f ca="1">ROUND(SUMIF(INDIRECT(Formulas!$B$1),"10-"&amp;LEFT($B16,3)&amp;"*-"&amp;MID(D$1,2,1)&amp;"*",INDIRECT(Formulas!$B$3)),0)</f>
        <v>0</v>
      </c>
      <c r="E16" s="466">
        <f ca="1">ROUND(SUMIF(INDIRECT(Formulas!$B$1),"10-"&amp;LEFT($B16,3)&amp;"*-"&amp;MID(E$1,2,1)&amp;"*",INDIRECT(Formulas!$B$3)),0)</f>
        <v>0</v>
      </c>
      <c r="F16" s="466">
        <f ca="1">ROUND(SUMIF(INDIRECT(Formulas!$B$1),"10-"&amp;LEFT($B16,3)&amp;"*-"&amp;MID(F$1,2,1)&amp;"*",INDIRECT(Formulas!$B$3)),0)</f>
        <v>0</v>
      </c>
      <c r="G16" s="466">
        <f ca="1">ROUND(SUMIF(INDIRECT(Formulas!$B$1),"10-"&amp;LEFT($B16,3)&amp;"*-"&amp;MID(G$1,2,1)&amp;"*",INDIRECT(Formulas!$B$3)),0)</f>
        <v>0</v>
      </c>
      <c r="H16" s="466">
        <f ca="1">ROUND(SUMIF(INDIRECT(Formulas!$B$1),"10-"&amp;LEFT($B16,3)&amp;"*-"&amp;MID(H$1,2,1)&amp;"*",INDIRECT(Formulas!$B$3)),0)</f>
        <v>0</v>
      </c>
      <c r="I16" s="466">
        <f ca="1">ROUND(SUMIF(INDIRECT(Formulas!$B$1),"10-"&amp;LEFT($B16,3)&amp;"*-"&amp;MID(I$1,2,1)&amp;"*",INDIRECT(Formulas!$B$3)),0)</f>
        <v>0</v>
      </c>
      <c r="J16" s="466">
        <f ca="1">ROUND(SUMIF(INDIRECT(Formulas!$B$1),"10-"&amp;LEFT($B16,3)&amp;"*-"&amp;MID(J$1,2,1)&amp;"*",INDIRECT(Formulas!$B$3)),0)</f>
        <v>0</v>
      </c>
      <c r="K16" s="1654">
        <f t="shared" ca="1" si="0"/>
        <v>0</v>
      </c>
      <c r="L16" s="466">
        <v>0</v>
      </c>
    </row>
    <row r="17" spans="1:12" x14ac:dyDescent="0.2">
      <c r="A17" s="1487" t="s">
        <v>724</v>
      </c>
      <c r="B17" s="600" t="s">
        <v>162</v>
      </c>
      <c r="C17" s="466">
        <f ca="1">ROUND(SUMIF(INDIRECT(Formulas!$B$1),"10-"&amp;LEFT($B17,3)&amp;"*-"&amp;MID(C$1,2,1)&amp;"*",INDIRECT(Formulas!$B$3)),0)</f>
        <v>0</v>
      </c>
      <c r="D17" s="466">
        <f ca="1">ROUND(SUMIF(INDIRECT(Formulas!$B$1),"10-"&amp;LEFT($B17,3)&amp;"*-"&amp;MID(D$1,2,1)&amp;"*",INDIRECT(Formulas!$B$3)),0)</f>
        <v>0</v>
      </c>
      <c r="E17" s="466">
        <f ca="1">ROUND(SUMIF(INDIRECT(Formulas!$B$1),"10-"&amp;LEFT($B17,3)&amp;"*-"&amp;MID(E$1,2,1)&amp;"*",INDIRECT(Formulas!$B$3)),0)</f>
        <v>0</v>
      </c>
      <c r="F17" s="466">
        <f ca="1">ROUND(SUMIF(INDIRECT(Formulas!$B$1),"10-"&amp;LEFT($B17,3)&amp;"*-"&amp;MID(F$1,2,1)&amp;"*",INDIRECT(Formulas!$B$3)),0)</f>
        <v>0</v>
      </c>
      <c r="G17" s="466">
        <f ca="1">ROUND(SUMIF(INDIRECT(Formulas!$B$1),"10-"&amp;LEFT($B17,3)&amp;"*-"&amp;MID(G$1,2,1)&amp;"*",INDIRECT(Formulas!$B$3)),0)</f>
        <v>0</v>
      </c>
      <c r="H17" s="466">
        <f ca="1">ROUND(SUMIF(INDIRECT(Formulas!$B$1),"10-"&amp;LEFT($B17,3)&amp;"*-"&amp;MID(H$1,2,1)&amp;"*",INDIRECT(Formulas!$B$3)),0)</f>
        <v>0</v>
      </c>
      <c r="I17" s="466">
        <f ca="1">ROUND(SUMIF(INDIRECT(Formulas!$B$1),"10-"&amp;LEFT($B17,3)&amp;"*-"&amp;MID(I$1,2,1)&amp;"*",INDIRECT(Formulas!$B$3)),0)</f>
        <v>0</v>
      </c>
      <c r="J17" s="466">
        <f ca="1">ROUND(SUMIF(INDIRECT(Formulas!$B$1),"10-"&amp;LEFT($B17,3)&amp;"*-"&amp;MID(J$1,2,1)&amp;"*",INDIRECT(Formulas!$B$3)),0)</f>
        <v>0</v>
      </c>
      <c r="K17" s="1654">
        <f t="shared" ca="1" si="0"/>
        <v>0</v>
      </c>
      <c r="L17" s="466">
        <v>0</v>
      </c>
    </row>
    <row r="18" spans="1:12" x14ac:dyDescent="0.2">
      <c r="A18" s="1487" t="s">
        <v>1087</v>
      </c>
      <c r="B18" s="600">
        <v>1800</v>
      </c>
      <c r="C18" s="466">
        <f ca="1">ROUND(SUMIF(INDIRECT(Formulas!$B$1),"10-"&amp;LEFT($B18,3)&amp;"*-"&amp;MID(C$1,2,1)&amp;"*",INDIRECT(Formulas!$B$3)),0)</f>
        <v>0</v>
      </c>
      <c r="D18" s="466">
        <f ca="1">ROUND(SUMIF(INDIRECT(Formulas!$B$1),"10-"&amp;LEFT($B18,3)&amp;"*-"&amp;MID(D$1,2,1)&amp;"*",INDIRECT(Formulas!$B$3)),0)</f>
        <v>0</v>
      </c>
      <c r="E18" s="466">
        <f ca="1">ROUND(SUMIF(INDIRECT(Formulas!$B$1),"10-"&amp;LEFT($B18,3)&amp;"*-"&amp;MID(E$1,2,1)&amp;"*",INDIRECT(Formulas!$B$3)),0)</f>
        <v>0</v>
      </c>
      <c r="F18" s="466">
        <f ca="1">ROUND(SUMIF(INDIRECT(Formulas!$B$1),"10-"&amp;LEFT($B18,3)&amp;"*-"&amp;MID(F$1,2,1)&amp;"*",INDIRECT(Formulas!$B$3)),0)</f>
        <v>0</v>
      </c>
      <c r="G18" s="466">
        <f ca="1">ROUND(SUMIF(INDIRECT(Formulas!$B$1),"10-"&amp;LEFT($B18,3)&amp;"*-"&amp;MID(G$1,2,1)&amp;"*",INDIRECT(Formulas!$B$3)),0)</f>
        <v>0</v>
      </c>
      <c r="H18" s="466">
        <f ca="1">ROUND(SUMIF(INDIRECT(Formulas!$B$1),"10-"&amp;LEFT($B18,3)&amp;"*-"&amp;MID(H$1,2,1)&amp;"*",INDIRECT(Formulas!$B$3)),0)</f>
        <v>0</v>
      </c>
      <c r="I18" s="466">
        <f ca="1">ROUND(SUMIF(INDIRECT(Formulas!$B$1),"10-"&amp;LEFT($B18,3)&amp;"*-"&amp;MID(I$1,2,1)&amp;"*",INDIRECT(Formulas!$B$3)),0)</f>
        <v>0</v>
      </c>
      <c r="J18" s="466">
        <f ca="1">ROUND(SUMIF(INDIRECT(Formulas!$B$1),"10-"&amp;LEFT($B18,3)&amp;"*-"&amp;MID(J$1,2,1)&amp;"*",INDIRECT(Formulas!$B$3)),0)</f>
        <v>0</v>
      </c>
      <c r="K18" s="1654">
        <f t="shared" ca="1" si="0"/>
        <v>0</v>
      </c>
      <c r="L18" s="466">
        <v>0</v>
      </c>
    </row>
    <row r="19" spans="1:12" x14ac:dyDescent="0.2">
      <c r="A19" s="1487" t="s">
        <v>134</v>
      </c>
      <c r="B19" s="600">
        <v>1900</v>
      </c>
      <c r="C19" s="466">
        <f ca="1">ROUND(SUMIF(INDIRECT(Formulas!$B$1),"10-"&amp;LEFT($B19,3)&amp;"*-"&amp;MID(C$1,2,1)&amp;"*",INDIRECT(Formulas!$B$3)),0)</f>
        <v>0</v>
      </c>
      <c r="D19" s="466">
        <f ca="1">ROUND(SUMIF(INDIRECT(Formulas!$B$1),"10-"&amp;LEFT($B19,3)&amp;"*-"&amp;MID(D$1,2,1)&amp;"*",INDIRECT(Formulas!$B$3)),0)</f>
        <v>0</v>
      </c>
      <c r="E19" s="466">
        <f ca="1">ROUND(SUMIF(INDIRECT(Formulas!$B$1),"10-"&amp;LEFT($B19,3)&amp;"*-"&amp;MID(E$1,2,1)&amp;"*",INDIRECT(Formulas!$B$3)),0)</f>
        <v>0</v>
      </c>
      <c r="F19" s="466">
        <f ca="1">ROUND(SUMIF(INDIRECT(Formulas!$B$1),"10-"&amp;LEFT($B19,3)&amp;"*-"&amp;MID(F$1,2,1)&amp;"*",INDIRECT(Formulas!$B$3)),0)</f>
        <v>0</v>
      </c>
      <c r="G19" s="466">
        <f ca="1">ROUND(SUMIF(INDIRECT(Formulas!$B$1),"10-"&amp;LEFT($B19,3)&amp;"*-"&amp;MID(G$1,2,1)&amp;"*",INDIRECT(Formulas!$B$3)),0)</f>
        <v>0</v>
      </c>
      <c r="H19" s="466">
        <f ca="1">ROUND(SUMIF(INDIRECT(Formulas!$B$1),"10-"&amp;LEFT($B19,3)&amp;"*-"&amp;MID(H$1,2,1)&amp;"*",INDIRECT(Formulas!$B$3)),0)</f>
        <v>0</v>
      </c>
      <c r="I19" s="466">
        <f ca="1">ROUND(SUMIF(INDIRECT(Formulas!$B$1),"10-"&amp;LEFT($B19,3)&amp;"*-"&amp;MID(I$1,2,1)&amp;"*",INDIRECT(Formulas!$B$3)),0)</f>
        <v>0</v>
      </c>
      <c r="J19" s="466">
        <f ca="1">ROUND(SUMIF(INDIRECT(Formulas!$B$1),"10-"&amp;LEFT($B19,3)&amp;"*-"&amp;MID(J$1,2,1)&amp;"*",INDIRECT(Formulas!$B$3)),0)</f>
        <v>0</v>
      </c>
      <c r="K19" s="1654">
        <f t="shared" ca="1" si="0"/>
        <v>0</v>
      </c>
      <c r="L19" s="466">
        <v>0</v>
      </c>
    </row>
    <row r="20" spans="1:12" x14ac:dyDescent="0.2">
      <c r="A20" s="1488" t="s">
        <v>738</v>
      </c>
      <c r="B20" s="588" t="s">
        <v>725</v>
      </c>
      <c r="C20" s="476"/>
      <c r="D20" s="476"/>
      <c r="E20" s="476"/>
      <c r="F20" s="476"/>
      <c r="G20" s="476"/>
      <c r="H20" s="466">
        <f ca="1">ROUND(SUMIF(INDIRECT(Formulas!$B$1),"10-"&amp;LEFT($B20,4)&amp;"*-"&amp;MID(H$1,2,1)&amp;"*",INDIRECT(Formulas!$B$3)),0)</f>
        <v>0</v>
      </c>
      <c r="I20" s="602"/>
      <c r="J20" s="475"/>
      <c r="K20" s="1654">
        <f t="shared" ca="1" si="0"/>
        <v>0</v>
      </c>
      <c r="L20" s="471">
        <v>0</v>
      </c>
    </row>
    <row r="21" spans="1:12" x14ac:dyDescent="0.2">
      <c r="A21" s="1488" t="s">
        <v>739</v>
      </c>
      <c r="B21" s="588" t="s">
        <v>726</v>
      </c>
      <c r="C21" s="476"/>
      <c r="D21" s="476"/>
      <c r="E21" s="476"/>
      <c r="F21" s="476"/>
      <c r="G21" s="476"/>
      <c r="H21" s="466">
        <f ca="1">ROUND(SUMIF(INDIRECT(Formulas!$B$1),"10-"&amp;LEFT($B21,4)&amp;"*-"&amp;MID(H$1,2,1)&amp;"*",INDIRECT(Formulas!$B$3)),0)</f>
        <v>0</v>
      </c>
      <c r="I21" s="602"/>
      <c r="J21" s="476"/>
      <c r="K21" s="1654">
        <f t="shared" ca="1" si="0"/>
        <v>0</v>
      </c>
      <c r="L21" s="471">
        <v>0</v>
      </c>
    </row>
    <row r="22" spans="1:12" x14ac:dyDescent="0.2">
      <c r="A22" s="1488" t="s">
        <v>740</v>
      </c>
      <c r="B22" s="588" t="s">
        <v>727</v>
      </c>
      <c r="C22" s="476"/>
      <c r="D22" s="476"/>
      <c r="E22" s="476"/>
      <c r="F22" s="476"/>
      <c r="G22" s="476"/>
      <c r="H22" s="466">
        <f ca="1">ROUND(SUMIF(INDIRECT(Formulas!$B$1),"10-"&amp;LEFT($B22,4)&amp;"*-"&amp;MID(H$1,2,1)&amp;"*",INDIRECT(Formulas!$B$3)),0)</f>
        <v>0</v>
      </c>
      <c r="I22" s="602"/>
      <c r="J22" s="476"/>
      <c r="K22" s="1654">
        <f t="shared" ca="1" si="0"/>
        <v>0</v>
      </c>
      <c r="L22" s="471">
        <v>0</v>
      </c>
    </row>
    <row r="23" spans="1:12" x14ac:dyDescent="0.2">
      <c r="A23" s="1488" t="s">
        <v>741</v>
      </c>
      <c r="B23" s="588" t="s">
        <v>728</v>
      </c>
      <c r="C23" s="476"/>
      <c r="D23" s="476"/>
      <c r="E23" s="476"/>
      <c r="F23" s="476"/>
      <c r="G23" s="476"/>
      <c r="H23" s="466">
        <f ca="1">ROUND(SUMIF(INDIRECT(Formulas!$B$1),"10-"&amp;LEFT($B23,4)&amp;"*-"&amp;MID(H$1,2,1)&amp;"*",INDIRECT(Formulas!$B$3)),0)</f>
        <v>0</v>
      </c>
      <c r="I23" s="602"/>
      <c r="J23" s="476"/>
      <c r="K23" s="1654">
        <f t="shared" ca="1" si="0"/>
        <v>0</v>
      </c>
      <c r="L23" s="471">
        <v>0</v>
      </c>
    </row>
    <row r="24" spans="1:12" ht="12.75" customHeight="1" x14ac:dyDescent="0.2">
      <c r="A24" s="1488" t="s">
        <v>742</v>
      </c>
      <c r="B24" s="588" t="s">
        <v>729</v>
      </c>
      <c r="C24" s="476"/>
      <c r="D24" s="476"/>
      <c r="E24" s="476"/>
      <c r="F24" s="476"/>
      <c r="G24" s="476"/>
      <c r="H24" s="466">
        <f ca="1">ROUND(SUMIF(INDIRECT(Formulas!$B$1),"10-"&amp;LEFT($B24,4)&amp;"*-"&amp;MID(H$1,2,1)&amp;"*",INDIRECT(Formulas!$B$3)),0)</f>
        <v>0</v>
      </c>
      <c r="I24" s="602"/>
      <c r="J24" s="476"/>
      <c r="K24" s="1654">
        <f t="shared" ca="1" si="0"/>
        <v>0</v>
      </c>
      <c r="L24" s="471">
        <v>0</v>
      </c>
    </row>
    <row r="25" spans="1:12" ht="12.75" customHeight="1" x14ac:dyDescent="0.2">
      <c r="A25" s="1488" t="s">
        <v>802</v>
      </c>
      <c r="B25" s="588" t="s">
        <v>730</v>
      </c>
      <c r="C25" s="476"/>
      <c r="D25" s="476"/>
      <c r="E25" s="476"/>
      <c r="F25" s="476"/>
      <c r="G25" s="476"/>
      <c r="H25" s="466">
        <f ca="1">ROUND(SUMIF(INDIRECT(Formulas!$B$1),"10-"&amp;LEFT($B25,4)&amp;"*-"&amp;MID(H$1,2,1)&amp;"*",INDIRECT(Formulas!$B$3)),0)</f>
        <v>0</v>
      </c>
      <c r="I25" s="602"/>
      <c r="J25" s="476"/>
      <c r="K25" s="1654">
        <f t="shared" ca="1" si="0"/>
        <v>0</v>
      </c>
      <c r="L25" s="471">
        <v>0</v>
      </c>
    </row>
    <row r="26" spans="1:12" x14ac:dyDescent="0.2">
      <c r="A26" s="1488" t="s">
        <v>622</v>
      </c>
      <c r="B26" s="588" t="s">
        <v>731</v>
      </c>
      <c r="C26" s="476"/>
      <c r="D26" s="476"/>
      <c r="E26" s="476"/>
      <c r="F26" s="476"/>
      <c r="G26" s="476"/>
      <c r="H26" s="466">
        <f ca="1">ROUND(SUMIF(INDIRECT(Formulas!$B$1),"10-"&amp;LEFT($B26,4)&amp;"*-"&amp;MID(H$1,2,1)&amp;"*",INDIRECT(Formulas!$B$3)),0)</f>
        <v>0</v>
      </c>
      <c r="I26" s="602"/>
      <c r="J26" s="476"/>
      <c r="K26" s="1654">
        <f t="shared" ca="1" si="0"/>
        <v>0</v>
      </c>
      <c r="L26" s="471">
        <v>0</v>
      </c>
    </row>
    <row r="27" spans="1:12" x14ac:dyDescent="0.2">
      <c r="A27" s="1488" t="s">
        <v>623</v>
      </c>
      <c r="B27" s="588" t="s">
        <v>732</v>
      </c>
      <c r="C27" s="476"/>
      <c r="D27" s="476"/>
      <c r="E27" s="476"/>
      <c r="F27" s="476"/>
      <c r="G27" s="476"/>
      <c r="H27" s="466">
        <f ca="1">ROUND(SUMIF(INDIRECT(Formulas!$B$1),"10-"&amp;LEFT($B27,4)&amp;"*-"&amp;MID(H$1,2,1)&amp;"*",INDIRECT(Formulas!$B$3)),0)</f>
        <v>0</v>
      </c>
      <c r="I27" s="602"/>
      <c r="J27" s="476"/>
      <c r="K27" s="1654">
        <f t="shared" ca="1" si="0"/>
        <v>0</v>
      </c>
      <c r="L27" s="471">
        <v>0</v>
      </c>
    </row>
    <row r="28" spans="1:12" x14ac:dyDescent="0.2">
      <c r="A28" s="1488" t="s">
        <v>150</v>
      </c>
      <c r="B28" s="588" t="s">
        <v>733</v>
      </c>
      <c r="C28" s="476"/>
      <c r="D28" s="476"/>
      <c r="E28" s="476"/>
      <c r="F28" s="476"/>
      <c r="G28" s="476"/>
      <c r="H28" s="466">
        <f ca="1">ROUND(SUMIF(INDIRECT(Formulas!$B$1),"10-"&amp;LEFT($B28,4)&amp;"*-"&amp;MID(H$1,2,1)&amp;"*",INDIRECT(Formulas!$B$3)),0)</f>
        <v>0</v>
      </c>
      <c r="I28" s="602"/>
      <c r="J28" s="476"/>
      <c r="K28" s="1654">
        <f t="shared" ca="1" si="0"/>
        <v>0</v>
      </c>
      <c r="L28" s="471">
        <v>0</v>
      </c>
    </row>
    <row r="29" spans="1:12" x14ac:dyDescent="0.2">
      <c r="A29" s="1488" t="s">
        <v>151</v>
      </c>
      <c r="B29" s="588" t="s">
        <v>734</v>
      </c>
      <c r="C29" s="476"/>
      <c r="D29" s="476"/>
      <c r="E29" s="476"/>
      <c r="F29" s="476"/>
      <c r="G29" s="476"/>
      <c r="H29" s="466">
        <f ca="1">ROUND(SUMIF(INDIRECT(Formulas!$B$1),"10-"&amp;LEFT($B29,4)&amp;"*-"&amp;MID(H$1,2,1)&amp;"*",INDIRECT(Formulas!$B$3)),0)</f>
        <v>0</v>
      </c>
      <c r="I29" s="602"/>
      <c r="J29" s="476"/>
      <c r="K29" s="1654">
        <f t="shared" ca="1" si="0"/>
        <v>0</v>
      </c>
      <c r="L29" s="471">
        <v>0</v>
      </c>
    </row>
    <row r="30" spans="1:12" x14ac:dyDescent="0.2">
      <c r="A30" s="1488" t="s">
        <v>152</v>
      </c>
      <c r="B30" s="588" t="s">
        <v>735</v>
      </c>
      <c r="C30" s="476"/>
      <c r="D30" s="476"/>
      <c r="E30" s="476"/>
      <c r="F30" s="476"/>
      <c r="G30" s="476"/>
      <c r="H30" s="466">
        <f ca="1">ROUND(SUMIF(INDIRECT(Formulas!$B$1),"10-"&amp;LEFT($B30,4)&amp;"*-"&amp;MID(H$1,2,1)&amp;"*",INDIRECT(Formulas!$B$3)),0)</f>
        <v>0</v>
      </c>
      <c r="I30" s="602"/>
      <c r="J30" s="476"/>
      <c r="K30" s="1654">
        <f t="shared" ca="1" si="0"/>
        <v>0</v>
      </c>
      <c r="L30" s="471">
        <v>0</v>
      </c>
    </row>
    <row r="31" spans="1:12" x14ac:dyDescent="0.2">
      <c r="A31" s="1488" t="s">
        <v>153</v>
      </c>
      <c r="B31" s="588" t="s">
        <v>736</v>
      </c>
      <c r="C31" s="476"/>
      <c r="D31" s="476"/>
      <c r="E31" s="476"/>
      <c r="F31" s="476"/>
      <c r="G31" s="476"/>
      <c r="H31" s="466">
        <f ca="1">ROUND(SUMIF(INDIRECT(Formulas!$B$1),"10-"&amp;LEFT($B31,4)&amp;"*-"&amp;MID(H$1,2,1)&amp;"*",INDIRECT(Formulas!$B$3)),0)</f>
        <v>0</v>
      </c>
      <c r="I31" s="602"/>
      <c r="J31" s="476"/>
      <c r="K31" s="1654">
        <f t="shared" ca="1" si="0"/>
        <v>0</v>
      </c>
      <c r="L31" s="471">
        <v>0</v>
      </c>
    </row>
    <row r="32" spans="1:12" x14ac:dyDescent="0.2">
      <c r="A32" s="1489" t="s">
        <v>1129</v>
      </c>
      <c r="B32" s="600" t="s">
        <v>737</v>
      </c>
      <c r="C32" s="476"/>
      <c r="D32" s="476"/>
      <c r="E32" s="476"/>
      <c r="F32" s="476"/>
      <c r="G32" s="476"/>
      <c r="H32" s="466">
        <f ca="1">ROUND(SUMIF(INDIRECT(Formulas!$B$1),"10-"&amp;LEFT($B32,4)&amp;"*-"&amp;MID(H$1,2,1)&amp;"*",INDIRECT(Formulas!$B$3)),0)</f>
        <v>0</v>
      </c>
      <c r="I32" s="602"/>
      <c r="J32" s="479"/>
      <c r="K32" s="1654">
        <f t="shared" ca="1" si="0"/>
        <v>0</v>
      </c>
      <c r="L32" s="471">
        <v>0</v>
      </c>
    </row>
    <row r="33" spans="1:14" ht="12.75" customHeight="1" thickBot="1" x14ac:dyDescent="0.25">
      <c r="A33" s="1651" t="s">
        <v>1668</v>
      </c>
      <c r="B33" s="1652" t="s">
        <v>570</v>
      </c>
      <c r="C33" s="1653">
        <f ca="1">SUM(C5:C32)</f>
        <v>760932</v>
      </c>
      <c r="D33" s="1653">
        <f t="shared" ref="D33:L33" ca="1" si="1">SUM(D5:D32)</f>
        <v>109064</v>
      </c>
      <c r="E33" s="1653">
        <f t="shared" ca="1" si="1"/>
        <v>62411</v>
      </c>
      <c r="F33" s="1653">
        <f t="shared" ca="1" si="1"/>
        <v>154926</v>
      </c>
      <c r="G33" s="1653">
        <f t="shared" ca="1" si="1"/>
        <v>2336</v>
      </c>
      <c r="H33" s="1653">
        <f t="shared" ca="1" si="1"/>
        <v>81053</v>
      </c>
      <c r="I33" s="1653">
        <f t="shared" ca="1" si="1"/>
        <v>0</v>
      </c>
      <c r="J33" s="1653">
        <f t="shared" ca="1" si="1"/>
        <v>0</v>
      </c>
      <c r="K33" s="1653">
        <f t="shared" ca="1" si="1"/>
        <v>1170722</v>
      </c>
      <c r="L33" s="1653">
        <f t="shared" si="1"/>
        <v>1041966</v>
      </c>
    </row>
    <row r="34" spans="1:14" s="606" customFormat="1" ht="15.75" customHeight="1" thickTop="1" x14ac:dyDescent="0.2">
      <c r="A34" s="1591" t="s">
        <v>46</v>
      </c>
      <c r="B34" s="1592" t="s">
        <v>569</v>
      </c>
      <c r="C34" s="604"/>
      <c r="D34" s="604"/>
      <c r="E34" s="604"/>
      <c r="F34" s="604"/>
      <c r="G34" s="604"/>
      <c r="H34" s="604"/>
      <c r="I34" s="602"/>
      <c r="J34" s="602"/>
      <c r="K34" s="602"/>
      <c r="L34" s="602"/>
      <c r="M34" s="605"/>
      <c r="N34" s="605"/>
    </row>
    <row r="35" spans="1:14" s="606" customFormat="1" ht="15.75" customHeight="1" x14ac:dyDescent="0.2">
      <c r="A35" s="607" t="s">
        <v>591</v>
      </c>
      <c r="B35" s="608"/>
      <c r="C35" s="609"/>
      <c r="D35" s="609"/>
      <c r="E35" s="609"/>
      <c r="F35" s="609"/>
      <c r="G35" s="609"/>
      <c r="H35" s="609"/>
      <c r="I35" s="602"/>
      <c r="J35" s="602"/>
      <c r="K35" s="602"/>
      <c r="L35" s="602"/>
      <c r="M35" s="605"/>
      <c r="N35" s="605"/>
    </row>
    <row r="36" spans="1:14" x14ac:dyDescent="0.2">
      <c r="A36" s="1487" t="s">
        <v>1089</v>
      </c>
      <c r="B36" s="600">
        <v>2110</v>
      </c>
      <c r="C36" s="466">
        <f ca="1">ROUND(SUMIF(INDIRECT(Formulas!$B$1),"10-"&amp;LEFT($B36,3)&amp;"*-"&amp;MID(C$1,2,1)&amp;"*",INDIRECT(Formulas!$B$3)),0)</f>
        <v>0</v>
      </c>
      <c r="D36" s="466">
        <f ca="1">ROUND(SUMIF(INDIRECT(Formulas!$B$1),"10-"&amp;LEFT($B36,3)&amp;"*-"&amp;MID(D$1,2,1)&amp;"*",INDIRECT(Formulas!$B$3)),0)</f>
        <v>0</v>
      </c>
      <c r="E36" s="466">
        <f ca="1">ROUND(SUMIF(INDIRECT(Formulas!$B$1),"10-"&amp;LEFT($B36,3)&amp;"*-"&amp;MID(E$1,2,1)&amp;"*",INDIRECT(Formulas!$B$3)),0)</f>
        <v>0</v>
      </c>
      <c r="F36" s="466">
        <f ca="1">ROUND(SUMIF(INDIRECT(Formulas!$B$1),"10-"&amp;LEFT($B36,3)&amp;"*-"&amp;MID(F$1,2,1)&amp;"*",INDIRECT(Formulas!$B$3)),0)</f>
        <v>0</v>
      </c>
      <c r="G36" s="466">
        <f ca="1">ROUND(SUMIF(INDIRECT(Formulas!$B$1),"10-"&amp;LEFT($B36,3)&amp;"*-"&amp;MID(G$1,2,1)&amp;"*",INDIRECT(Formulas!$B$3)),0)</f>
        <v>0</v>
      </c>
      <c r="H36" s="466">
        <f ca="1">ROUND(SUMIF(INDIRECT(Formulas!$B$1),"10-"&amp;LEFT($B36,3)&amp;"*-"&amp;MID(H$1,2,1)&amp;"*",INDIRECT(Formulas!$B$3)),0)</f>
        <v>0</v>
      </c>
      <c r="I36" s="466">
        <f ca="1">ROUND(SUMIF(INDIRECT(Formulas!$B$1),"10-"&amp;LEFT($B36,3)&amp;"*-"&amp;MID(I$1,2,1)&amp;"*",INDIRECT(Formulas!$B$3)),0)</f>
        <v>0</v>
      </c>
      <c r="J36" s="466">
        <f ca="1">ROUND(SUMIF(INDIRECT(Formulas!$B$1),"10-"&amp;LEFT($B36,3)&amp;"*-"&amp;MID(J$1,2,1)&amp;"*",INDIRECT(Formulas!$B$3)),0)</f>
        <v>0</v>
      </c>
      <c r="K36" s="1654">
        <f t="shared" ref="K36:K41" ca="1" si="2">SUM(C36:J36)</f>
        <v>0</v>
      </c>
      <c r="L36" s="466">
        <v>0</v>
      </c>
    </row>
    <row r="37" spans="1:14" x14ac:dyDescent="0.2">
      <c r="A37" s="1487" t="s">
        <v>1090</v>
      </c>
      <c r="B37" s="600">
        <v>2120</v>
      </c>
      <c r="C37" s="466">
        <f ca="1">ROUND(SUMIF(INDIRECT(Formulas!$B$1),"10-"&amp;LEFT($B37,3)&amp;"*-"&amp;MID(C$1,2,1)&amp;"*",INDIRECT(Formulas!$B$3)),0)</f>
        <v>0</v>
      </c>
      <c r="D37" s="466">
        <f ca="1">ROUND(SUMIF(INDIRECT(Formulas!$B$1),"10-"&amp;LEFT($B37,3)&amp;"*-"&amp;MID(D$1,2,1)&amp;"*",INDIRECT(Formulas!$B$3)),0)</f>
        <v>0</v>
      </c>
      <c r="E37" s="466">
        <f ca="1">ROUND(SUMIF(INDIRECT(Formulas!$B$1),"10-"&amp;LEFT($B37,3)&amp;"*-"&amp;MID(E$1,2,1)&amp;"*",INDIRECT(Formulas!$B$3)),0)</f>
        <v>0</v>
      </c>
      <c r="F37" s="466">
        <f ca="1">ROUND(SUMIF(INDIRECT(Formulas!$B$1),"10-"&amp;LEFT($B37,3)&amp;"*-"&amp;MID(F$1,2,1)&amp;"*",INDIRECT(Formulas!$B$3)),0)</f>
        <v>0</v>
      </c>
      <c r="G37" s="466">
        <f ca="1">ROUND(SUMIF(INDIRECT(Formulas!$B$1),"10-"&amp;LEFT($B37,3)&amp;"*-"&amp;MID(G$1,2,1)&amp;"*",INDIRECT(Formulas!$B$3)),0)</f>
        <v>0</v>
      </c>
      <c r="H37" s="466">
        <f ca="1">ROUND(SUMIF(INDIRECT(Formulas!$B$1),"10-"&amp;LEFT($B37,3)&amp;"*-"&amp;MID(H$1,2,1)&amp;"*",INDIRECT(Formulas!$B$3)),0)</f>
        <v>0</v>
      </c>
      <c r="I37" s="466">
        <f ca="1">ROUND(SUMIF(INDIRECT(Formulas!$B$1),"10-"&amp;LEFT($B37,3)&amp;"*-"&amp;MID(I$1,2,1)&amp;"*",INDIRECT(Formulas!$B$3)),0)</f>
        <v>0</v>
      </c>
      <c r="J37" s="466">
        <f ca="1">ROUND(SUMIF(INDIRECT(Formulas!$B$1),"10-"&amp;LEFT($B37,3)&amp;"*-"&amp;MID(J$1,2,1)&amp;"*",INDIRECT(Formulas!$B$3)),0)</f>
        <v>0</v>
      </c>
      <c r="K37" s="1654">
        <f t="shared" ca="1" si="2"/>
        <v>0</v>
      </c>
      <c r="L37" s="466">
        <v>0</v>
      </c>
    </row>
    <row r="38" spans="1:14" x14ac:dyDescent="0.2">
      <c r="A38" s="1487" t="s">
        <v>198</v>
      </c>
      <c r="B38" s="600">
        <v>2130</v>
      </c>
      <c r="C38" s="466">
        <f ca="1">ROUND(SUMIF(INDIRECT(Formulas!$B$1),"10-"&amp;LEFT($B38,3)&amp;"*-"&amp;MID(C$1,2,1)&amp;"*",INDIRECT(Formulas!$B$3)),0)</f>
        <v>0</v>
      </c>
      <c r="D38" s="466">
        <f ca="1">ROUND(SUMIF(INDIRECT(Formulas!$B$1),"10-"&amp;LEFT($B38,3)&amp;"*-"&amp;MID(D$1,2,1)&amp;"*",INDIRECT(Formulas!$B$3)),0)</f>
        <v>0</v>
      </c>
      <c r="E38" s="466">
        <f ca="1">ROUND(SUMIF(INDIRECT(Formulas!$B$1),"10-"&amp;LEFT($B38,3)&amp;"*-"&amp;MID(E$1,2,1)&amp;"*",INDIRECT(Formulas!$B$3)),0)</f>
        <v>0</v>
      </c>
      <c r="F38" s="466">
        <f ca="1">ROUND(SUMIF(INDIRECT(Formulas!$B$1),"10-"&amp;LEFT($B38,3)&amp;"*-"&amp;MID(F$1,2,1)&amp;"*",INDIRECT(Formulas!$B$3)),0)</f>
        <v>0</v>
      </c>
      <c r="G38" s="466">
        <f ca="1">ROUND(SUMIF(INDIRECT(Formulas!$B$1),"10-"&amp;LEFT($B38,3)&amp;"*-"&amp;MID(G$1,2,1)&amp;"*",INDIRECT(Formulas!$B$3)),0)</f>
        <v>0</v>
      </c>
      <c r="H38" s="466">
        <f ca="1">ROUND(SUMIF(INDIRECT(Formulas!$B$1),"10-"&amp;LEFT($B38,3)&amp;"*-"&amp;MID(H$1,2,1)&amp;"*",INDIRECT(Formulas!$B$3)),0)</f>
        <v>0</v>
      </c>
      <c r="I38" s="466">
        <f ca="1">ROUND(SUMIF(INDIRECT(Formulas!$B$1),"10-"&amp;LEFT($B38,3)&amp;"*-"&amp;MID(I$1,2,1)&amp;"*",INDIRECT(Formulas!$B$3)),0)</f>
        <v>0</v>
      </c>
      <c r="J38" s="466">
        <f ca="1">ROUND(SUMIF(INDIRECT(Formulas!$B$1),"10-"&amp;LEFT($B38,3)&amp;"*-"&amp;MID(J$1,2,1)&amp;"*",INDIRECT(Formulas!$B$3)),0)</f>
        <v>0</v>
      </c>
      <c r="K38" s="1654">
        <f t="shared" ca="1" si="2"/>
        <v>0</v>
      </c>
      <c r="L38" s="466">
        <v>0</v>
      </c>
    </row>
    <row r="39" spans="1:14" x14ac:dyDescent="0.2">
      <c r="A39" s="1487" t="s">
        <v>199</v>
      </c>
      <c r="B39" s="600">
        <v>2140</v>
      </c>
      <c r="C39" s="466">
        <f ca="1">ROUND(SUMIF(INDIRECT(Formulas!$B$1),"10-"&amp;LEFT($B39,3)&amp;"*-"&amp;MID(C$1,2,1)&amp;"*",INDIRECT(Formulas!$B$3)),0)</f>
        <v>0</v>
      </c>
      <c r="D39" s="466">
        <f ca="1">ROUND(SUMIF(INDIRECT(Formulas!$B$1),"10-"&amp;LEFT($B39,3)&amp;"*-"&amp;MID(D$1,2,1)&amp;"*",INDIRECT(Formulas!$B$3)),0)</f>
        <v>0</v>
      </c>
      <c r="E39" s="466">
        <f ca="1">ROUND(SUMIF(INDIRECT(Formulas!$B$1),"10-"&amp;LEFT($B39,3)&amp;"*-"&amp;MID(E$1,2,1)&amp;"*",INDIRECT(Formulas!$B$3)),0)</f>
        <v>0</v>
      </c>
      <c r="F39" s="466">
        <f ca="1">ROUND(SUMIF(INDIRECT(Formulas!$B$1),"10-"&amp;LEFT($B39,3)&amp;"*-"&amp;MID(F$1,2,1)&amp;"*",INDIRECT(Formulas!$B$3)),0)</f>
        <v>0</v>
      </c>
      <c r="G39" s="466">
        <f ca="1">ROUND(SUMIF(INDIRECT(Formulas!$B$1),"10-"&amp;LEFT($B39,3)&amp;"*-"&amp;MID(G$1,2,1)&amp;"*",INDIRECT(Formulas!$B$3)),0)</f>
        <v>0</v>
      </c>
      <c r="H39" s="466">
        <f ca="1">ROUND(SUMIF(INDIRECT(Formulas!$B$1),"10-"&amp;LEFT($B39,3)&amp;"*-"&amp;MID(H$1,2,1)&amp;"*",INDIRECT(Formulas!$B$3)),0)</f>
        <v>0</v>
      </c>
      <c r="I39" s="466">
        <f ca="1">ROUND(SUMIF(INDIRECT(Formulas!$B$1),"10-"&amp;LEFT($B39,3)&amp;"*-"&amp;MID(I$1,2,1)&amp;"*",INDIRECT(Formulas!$B$3)),0)</f>
        <v>0</v>
      </c>
      <c r="J39" s="466">
        <f ca="1">ROUND(SUMIF(INDIRECT(Formulas!$B$1),"10-"&amp;LEFT($B39,3)&amp;"*-"&amp;MID(J$1,2,1)&amp;"*",INDIRECT(Formulas!$B$3)),0)</f>
        <v>0</v>
      </c>
      <c r="K39" s="1654">
        <f t="shared" ca="1" si="2"/>
        <v>0</v>
      </c>
      <c r="L39" s="466">
        <v>0</v>
      </c>
    </row>
    <row r="40" spans="1:14" x14ac:dyDescent="0.2">
      <c r="A40" s="1487" t="s">
        <v>200</v>
      </c>
      <c r="B40" s="600">
        <v>2150</v>
      </c>
      <c r="C40" s="466">
        <f ca="1">ROUND(SUMIF(INDIRECT(Formulas!$B$1),"10-"&amp;LEFT($B40,3)&amp;"*-"&amp;MID(C$1,2,1)&amp;"*",INDIRECT(Formulas!$B$3)),0)</f>
        <v>0</v>
      </c>
      <c r="D40" s="466">
        <f ca="1">ROUND(SUMIF(INDIRECT(Formulas!$B$1),"10-"&amp;LEFT($B40,3)&amp;"*-"&amp;MID(D$1,2,1)&amp;"*",INDIRECT(Formulas!$B$3)),0)</f>
        <v>0</v>
      </c>
      <c r="E40" s="466">
        <f ca="1">ROUND(SUMIF(INDIRECT(Formulas!$B$1),"10-"&amp;LEFT($B40,3)&amp;"*-"&amp;MID(E$1,2,1)&amp;"*",INDIRECT(Formulas!$B$3)),0)</f>
        <v>44795</v>
      </c>
      <c r="F40" s="466">
        <f ca="1">ROUND(SUMIF(INDIRECT(Formulas!$B$1),"10-"&amp;LEFT($B40,3)&amp;"*-"&amp;MID(F$1,2,1)&amp;"*",INDIRECT(Formulas!$B$3)),0)</f>
        <v>0</v>
      </c>
      <c r="G40" s="466">
        <f ca="1">ROUND(SUMIF(INDIRECT(Formulas!$B$1),"10-"&amp;LEFT($B40,3)&amp;"*-"&amp;MID(G$1,2,1)&amp;"*",INDIRECT(Formulas!$B$3)),0)</f>
        <v>0</v>
      </c>
      <c r="H40" s="466">
        <f ca="1">ROUND(SUMIF(INDIRECT(Formulas!$B$1),"10-"&amp;LEFT($B40,3)&amp;"*-"&amp;MID(H$1,2,1)&amp;"*",INDIRECT(Formulas!$B$3)),0)</f>
        <v>0</v>
      </c>
      <c r="I40" s="466">
        <f ca="1">ROUND(SUMIF(INDIRECT(Formulas!$B$1),"10-"&amp;LEFT($B40,3)&amp;"*-"&amp;MID(I$1,2,1)&amp;"*",INDIRECT(Formulas!$B$3)),0)</f>
        <v>0</v>
      </c>
      <c r="J40" s="466">
        <f ca="1">ROUND(SUMIF(INDIRECT(Formulas!$B$1),"10-"&amp;LEFT($B40,3)&amp;"*-"&amp;MID(J$1,2,1)&amp;"*",INDIRECT(Formulas!$B$3)),0)</f>
        <v>0</v>
      </c>
      <c r="K40" s="1654">
        <f t="shared" ca="1" si="2"/>
        <v>44795</v>
      </c>
      <c r="L40" s="466">
        <v>60000</v>
      </c>
    </row>
    <row r="41" spans="1:14" x14ac:dyDescent="0.2">
      <c r="A41" s="1487" t="s">
        <v>1669</v>
      </c>
      <c r="B41" s="600">
        <v>2190</v>
      </c>
      <c r="C41" s="466">
        <f ca="1">ROUND(SUMIF(INDIRECT(Formulas!$B$1),"10-"&amp;LEFT($B41,3)&amp;"*-"&amp;MID(C$1,2,1)&amp;"*",INDIRECT(Formulas!$B$3)),0)</f>
        <v>0</v>
      </c>
      <c r="D41" s="466">
        <f ca="1">ROUND(SUMIF(INDIRECT(Formulas!$B$1),"10-"&amp;LEFT($B41,3)&amp;"*-"&amp;MID(D$1,2,1)&amp;"*",INDIRECT(Formulas!$B$3)),0)</f>
        <v>0</v>
      </c>
      <c r="E41" s="466">
        <f ca="1">ROUND(SUMIF(INDIRECT(Formulas!$B$1),"10-"&amp;LEFT($B41,3)&amp;"*-"&amp;MID(E$1,2,1)&amp;"*",INDIRECT(Formulas!$B$3)),0)</f>
        <v>0</v>
      </c>
      <c r="F41" s="466">
        <f ca="1">ROUND(SUMIF(INDIRECT(Formulas!$B$1),"10-"&amp;LEFT($B41,3)&amp;"*-"&amp;MID(F$1,2,1)&amp;"*",INDIRECT(Formulas!$B$3)),0)</f>
        <v>0</v>
      </c>
      <c r="G41" s="466">
        <f ca="1">ROUND(SUMIF(INDIRECT(Formulas!$B$1),"10-"&amp;LEFT($B41,3)&amp;"*-"&amp;MID(G$1,2,1)&amp;"*",INDIRECT(Formulas!$B$3)),0)</f>
        <v>0</v>
      </c>
      <c r="H41" s="466">
        <f ca="1">ROUND(SUMIF(INDIRECT(Formulas!$B$1),"10-"&amp;LEFT($B41,3)&amp;"*-"&amp;MID(H$1,2,1)&amp;"*",INDIRECT(Formulas!$B$3)),0)</f>
        <v>0</v>
      </c>
      <c r="I41" s="466">
        <f ca="1">ROUND(SUMIF(INDIRECT(Formulas!$B$1),"10-"&amp;LEFT($B41,3)&amp;"*-"&amp;MID(I$1,2,1)&amp;"*",INDIRECT(Formulas!$B$3)),0)</f>
        <v>0</v>
      </c>
      <c r="J41" s="466">
        <f ca="1">ROUND(SUMIF(INDIRECT(Formulas!$B$1),"10-"&amp;LEFT($B41,3)&amp;"*-"&amp;MID(J$1,2,1)&amp;"*",INDIRECT(Formulas!$B$3)),0)</f>
        <v>0</v>
      </c>
      <c r="K41" s="1654">
        <f t="shared" ca="1" si="2"/>
        <v>0</v>
      </c>
      <c r="L41" s="466">
        <v>0</v>
      </c>
    </row>
    <row r="42" spans="1:14" ht="12.75" customHeight="1" thickBot="1" x14ac:dyDescent="0.25">
      <c r="A42" s="1651" t="s">
        <v>560</v>
      </c>
      <c r="B42" s="1652" t="s">
        <v>716</v>
      </c>
      <c r="C42" s="1653">
        <f ca="1">SUM(C36:C41)</f>
        <v>0</v>
      </c>
      <c r="D42" s="1653">
        <f t="shared" ref="D42:L42" ca="1" si="3">SUM(D36:D41)</f>
        <v>0</v>
      </c>
      <c r="E42" s="1653">
        <f t="shared" ca="1" si="3"/>
        <v>44795</v>
      </c>
      <c r="F42" s="1653">
        <f t="shared" ca="1" si="3"/>
        <v>0</v>
      </c>
      <c r="G42" s="1653">
        <f t="shared" ca="1" si="3"/>
        <v>0</v>
      </c>
      <c r="H42" s="1653">
        <f t="shared" ca="1" si="3"/>
        <v>0</v>
      </c>
      <c r="I42" s="1653">
        <f t="shared" ca="1" si="3"/>
        <v>0</v>
      </c>
      <c r="J42" s="1653">
        <f t="shared" ca="1" si="3"/>
        <v>0</v>
      </c>
      <c r="K42" s="1653">
        <f t="shared" ca="1" si="3"/>
        <v>44795</v>
      </c>
      <c r="L42" s="1653">
        <f t="shared" si="3"/>
        <v>60000</v>
      </c>
    </row>
    <row r="43" spans="1:14" ht="15.75" customHeight="1" thickTop="1" x14ac:dyDescent="0.2">
      <c r="A43" s="610" t="s">
        <v>592</v>
      </c>
      <c r="B43" s="611"/>
      <c r="C43" s="612"/>
      <c r="D43" s="612"/>
      <c r="E43" s="612"/>
      <c r="F43" s="612"/>
      <c r="G43" s="612"/>
      <c r="H43" s="612"/>
      <c r="I43" s="602"/>
      <c r="J43" s="602"/>
      <c r="K43" s="612"/>
      <c r="L43" s="612"/>
    </row>
    <row r="44" spans="1:14" x14ac:dyDescent="0.2">
      <c r="A44" s="1487" t="s">
        <v>814</v>
      </c>
      <c r="B44" s="600">
        <v>2210</v>
      </c>
      <c r="C44" s="466">
        <f ca="1">ROUND(SUMIF(INDIRECT(Formulas!$B$1),"10-"&amp;LEFT($B44,3)&amp;"*-"&amp;MID(C$1,2,1)&amp;"*",INDIRECT(Formulas!$B$3)),0)</f>
        <v>0</v>
      </c>
      <c r="D44" s="466">
        <f ca="1">ROUND(SUMIF(INDIRECT(Formulas!$B$1),"10-"&amp;LEFT($B44,3)&amp;"*-"&amp;MID(D$1,2,1)&amp;"*",INDIRECT(Formulas!$B$3)),0)</f>
        <v>0</v>
      </c>
      <c r="E44" s="466">
        <f ca="1">ROUND(SUMIF(INDIRECT(Formulas!$B$1),"10-"&amp;LEFT($B44,3)&amp;"*-"&amp;MID(E$1,2,1)&amp;"*",INDIRECT(Formulas!$B$3)),0)</f>
        <v>6403</v>
      </c>
      <c r="F44" s="466">
        <f ca="1">ROUND(SUMIF(INDIRECT(Formulas!$B$1),"10-"&amp;LEFT($B44,3)&amp;"*-"&amp;MID(F$1,2,1)&amp;"*",INDIRECT(Formulas!$B$3)),0)</f>
        <v>0</v>
      </c>
      <c r="G44" s="466">
        <f ca="1">ROUND(SUMIF(INDIRECT(Formulas!$B$1),"10-"&amp;LEFT($B44,3)&amp;"*-"&amp;MID(G$1,2,1)&amp;"*",INDIRECT(Formulas!$B$3)),0)</f>
        <v>0</v>
      </c>
      <c r="H44" s="466">
        <f ca="1">ROUND(SUMIF(INDIRECT(Formulas!$B$1),"10-"&amp;LEFT($B44,3)&amp;"*-"&amp;MID(H$1,2,1)&amp;"*",INDIRECT(Formulas!$B$3)),0)</f>
        <v>0</v>
      </c>
      <c r="I44" s="466">
        <f ca="1">ROUND(SUMIF(INDIRECT(Formulas!$B$1),"10-"&amp;LEFT($B44,3)&amp;"*-"&amp;MID(I$1,2,1)&amp;"*",INDIRECT(Formulas!$B$3)),0)</f>
        <v>0</v>
      </c>
      <c r="J44" s="466">
        <f ca="1">ROUND(SUMIF(INDIRECT(Formulas!$B$1),"10-"&amp;LEFT($B44,3)&amp;"*-"&amp;MID(J$1,2,1)&amp;"*",INDIRECT(Formulas!$B$3)),0)</f>
        <v>0</v>
      </c>
      <c r="K44" s="1655">
        <f ca="1">SUM(C44:J44)</f>
        <v>6403</v>
      </c>
      <c r="L44" s="480">
        <v>3265</v>
      </c>
    </row>
    <row r="45" spans="1:14" x14ac:dyDescent="0.2">
      <c r="A45" s="1487" t="s">
        <v>815</v>
      </c>
      <c r="B45" s="600">
        <v>2220</v>
      </c>
      <c r="C45" s="466">
        <f ca="1">ROUND(SUMIF(INDIRECT(Formulas!$B$1),"10-"&amp;LEFT($B45,3)&amp;"*-"&amp;MID(C$1,2,1)&amp;"*",INDIRECT(Formulas!$B$3)),0)</f>
        <v>123</v>
      </c>
      <c r="D45" s="466">
        <f ca="1">ROUND(SUMIF(INDIRECT(Formulas!$B$1),"10-"&amp;LEFT($B45,3)&amp;"*-"&amp;MID(D$1,2,1)&amp;"*",INDIRECT(Formulas!$B$3)),0)</f>
        <v>0</v>
      </c>
      <c r="E45" s="466">
        <f ca="1">ROUND(SUMIF(INDIRECT(Formulas!$B$1),"10-"&amp;LEFT($B45,3)&amp;"*-"&amp;MID(E$1,2,1)&amp;"*",INDIRECT(Formulas!$B$3)),0)</f>
        <v>0</v>
      </c>
      <c r="F45" s="466">
        <f ca="1">ROUND(SUMIF(INDIRECT(Formulas!$B$1),"10-"&amp;LEFT($B45,3)&amp;"*-"&amp;MID(F$1,2,1)&amp;"*",INDIRECT(Formulas!$B$3)),0)</f>
        <v>47500</v>
      </c>
      <c r="G45" s="466">
        <f ca="1">ROUND(SUMIF(INDIRECT(Formulas!$B$1),"10-"&amp;LEFT($B45,3)&amp;"*-"&amp;MID(G$1,2,1)&amp;"*",INDIRECT(Formulas!$B$3)),0)</f>
        <v>0</v>
      </c>
      <c r="H45" s="466">
        <f ca="1">ROUND(SUMIF(INDIRECT(Formulas!$B$1),"10-"&amp;LEFT($B45,3)&amp;"*-"&amp;MID(H$1,2,1)&amp;"*",INDIRECT(Formulas!$B$3)),0)</f>
        <v>0</v>
      </c>
      <c r="I45" s="466">
        <f ca="1">ROUND(SUMIF(INDIRECT(Formulas!$B$1),"10-"&amp;LEFT($B45,3)&amp;"*-"&amp;MID(I$1,2,1)&amp;"*",INDIRECT(Formulas!$B$3)),0)</f>
        <v>0</v>
      </c>
      <c r="J45" s="466">
        <f ca="1">ROUND(SUMIF(INDIRECT(Formulas!$B$1),"10-"&amp;LEFT($B45,3)&amp;"*-"&amp;MID(J$1,2,1)&amp;"*",INDIRECT(Formulas!$B$3)),0)</f>
        <v>0</v>
      </c>
      <c r="K45" s="1655">
        <f ca="1">SUM(C45:J45)</f>
        <v>47623</v>
      </c>
      <c r="L45" s="466">
        <v>19650</v>
      </c>
    </row>
    <row r="46" spans="1:14" x14ac:dyDescent="0.2">
      <c r="A46" s="1487" t="s">
        <v>816</v>
      </c>
      <c r="B46" s="600">
        <v>2230</v>
      </c>
      <c r="C46" s="466">
        <f ca="1">ROUND(SUMIF(INDIRECT(Formulas!$B$1),"10-"&amp;LEFT($B46,3)&amp;"*-"&amp;MID(C$1,2,1)&amp;"*",INDIRECT(Formulas!$B$3)),0)</f>
        <v>0</v>
      </c>
      <c r="D46" s="466">
        <f ca="1">ROUND(SUMIF(INDIRECT(Formulas!$B$1),"10-"&amp;LEFT($B46,3)&amp;"*-"&amp;MID(D$1,2,1)&amp;"*",INDIRECT(Formulas!$B$3)),0)</f>
        <v>0</v>
      </c>
      <c r="E46" s="466">
        <f ca="1">ROUND(SUMIF(INDIRECT(Formulas!$B$1),"10-"&amp;LEFT($B46,3)&amp;"*-"&amp;MID(E$1,2,1)&amp;"*",INDIRECT(Formulas!$B$3)),0)</f>
        <v>5080</v>
      </c>
      <c r="F46" s="466">
        <f ca="1">ROUND(SUMIF(INDIRECT(Formulas!$B$1),"10-"&amp;LEFT($B46,3)&amp;"*-"&amp;MID(F$1,2,1)&amp;"*",INDIRECT(Formulas!$B$3)),0)</f>
        <v>0</v>
      </c>
      <c r="G46" s="466">
        <f ca="1">ROUND(SUMIF(INDIRECT(Formulas!$B$1),"10-"&amp;LEFT($B46,3)&amp;"*-"&amp;MID(G$1,2,1)&amp;"*",INDIRECT(Formulas!$B$3)),0)</f>
        <v>0</v>
      </c>
      <c r="H46" s="466">
        <f ca="1">ROUND(SUMIF(INDIRECT(Formulas!$B$1),"10-"&amp;LEFT($B46,3)&amp;"*-"&amp;MID(H$1,2,1)&amp;"*",INDIRECT(Formulas!$B$3)),0)</f>
        <v>0</v>
      </c>
      <c r="I46" s="466">
        <f ca="1">ROUND(SUMIF(INDIRECT(Formulas!$B$1),"10-"&amp;LEFT($B46,3)&amp;"*-"&amp;MID(I$1,2,1)&amp;"*",INDIRECT(Formulas!$B$3)),0)</f>
        <v>0</v>
      </c>
      <c r="J46" s="466">
        <f ca="1">ROUND(SUMIF(INDIRECT(Formulas!$B$1),"10-"&amp;LEFT($B46,3)&amp;"*-"&amp;MID(J$1,2,1)&amp;"*",INDIRECT(Formulas!$B$3)),0)</f>
        <v>0</v>
      </c>
      <c r="K46" s="1655">
        <f ca="1">SUM(C46:J46)</f>
        <v>5080</v>
      </c>
      <c r="L46" s="466">
        <v>5000</v>
      </c>
    </row>
    <row r="47" spans="1:14" ht="12.75" customHeight="1" thickBot="1" x14ac:dyDescent="0.25">
      <c r="A47" s="1651" t="s">
        <v>561</v>
      </c>
      <c r="B47" s="1652" t="s">
        <v>32</v>
      </c>
      <c r="C47" s="1653">
        <f ca="1">SUM(C44:C46)</f>
        <v>123</v>
      </c>
      <c r="D47" s="1653">
        <f t="shared" ref="D47:K47" ca="1" si="4">SUM(D44:D46)</f>
        <v>0</v>
      </c>
      <c r="E47" s="1653">
        <f t="shared" ca="1" si="4"/>
        <v>11483</v>
      </c>
      <c r="F47" s="1653">
        <f t="shared" ca="1" si="4"/>
        <v>47500</v>
      </c>
      <c r="G47" s="1653">
        <f t="shared" ca="1" si="4"/>
        <v>0</v>
      </c>
      <c r="H47" s="1653">
        <f t="shared" ca="1" si="4"/>
        <v>0</v>
      </c>
      <c r="I47" s="1653">
        <f t="shared" ca="1" si="4"/>
        <v>0</v>
      </c>
      <c r="J47" s="1653">
        <f t="shared" ca="1" si="4"/>
        <v>0</v>
      </c>
      <c r="K47" s="1653">
        <f t="shared" ca="1" si="4"/>
        <v>59106</v>
      </c>
      <c r="L47" s="1653">
        <f>SUM(L44:L46)</f>
        <v>27915</v>
      </c>
    </row>
    <row r="48" spans="1:14" ht="15.75" customHeight="1" thickTop="1" x14ac:dyDescent="0.2">
      <c r="A48" s="610" t="s">
        <v>610</v>
      </c>
      <c r="B48" s="611"/>
      <c r="C48" s="612"/>
      <c r="D48" s="612"/>
      <c r="E48" s="612"/>
      <c r="F48" s="612"/>
      <c r="G48" s="612"/>
      <c r="H48" s="612"/>
      <c r="I48" s="602"/>
      <c r="J48" s="602"/>
      <c r="K48" s="612"/>
      <c r="L48" s="612"/>
    </row>
    <row r="49" spans="1:14" x14ac:dyDescent="0.2">
      <c r="A49" s="1487" t="s">
        <v>817</v>
      </c>
      <c r="B49" s="600">
        <v>2310</v>
      </c>
      <c r="C49" s="466">
        <f ca="1">ROUND(SUMIF(INDIRECT(Formulas!$B$1),"10-"&amp;LEFT($B49,3)&amp;"*-"&amp;MID(C$1,2,1)&amp;"*",INDIRECT(Formulas!$B$3)),0)</f>
        <v>3003</v>
      </c>
      <c r="D49" s="466">
        <f ca="1">ROUND(SUMIF(INDIRECT(Formulas!$B$1),"10-"&amp;LEFT($B49,3)&amp;"*-"&amp;MID(D$1,2,1)&amp;"*",INDIRECT(Formulas!$B$3)),0)</f>
        <v>74</v>
      </c>
      <c r="E49" s="466">
        <f ca="1">ROUND(SUMIF(INDIRECT(Formulas!$B$1),"10-"&amp;LEFT($B49,3)&amp;"*-"&amp;MID(E$1,2,1)&amp;"*",INDIRECT(Formulas!$B$3)),0)</f>
        <v>9271</v>
      </c>
      <c r="F49" s="466">
        <f ca="1">ROUND(SUMIF(INDIRECT(Formulas!$B$1),"10-"&amp;LEFT($B49,3)&amp;"*-"&amp;MID(F$1,2,1)&amp;"*",INDIRECT(Formulas!$B$3)),0)</f>
        <v>2120</v>
      </c>
      <c r="G49" s="466">
        <f ca="1">ROUND(SUMIF(INDIRECT(Formulas!$B$1),"10-"&amp;LEFT($B49,3)&amp;"*-"&amp;MID(G$1,2,1)&amp;"*",INDIRECT(Formulas!$B$3)),0)</f>
        <v>0</v>
      </c>
      <c r="H49" s="466">
        <f ca="1">ROUND(SUMIF(INDIRECT(Formulas!$B$1),"10-"&amp;LEFT($B49,3)&amp;"*-"&amp;MID(H$1,2,1)&amp;"*",INDIRECT(Formulas!$B$3)),0)</f>
        <v>16581</v>
      </c>
      <c r="I49" s="466">
        <f ca="1">ROUND(SUMIF(INDIRECT(Formulas!$B$1),"10-"&amp;LEFT($B49,3)&amp;"*-"&amp;MID(I$1,2,1)&amp;"*",INDIRECT(Formulas!$B$3)),0)</f>
        <v>0</v>
      </c>
      <c r="J49" s="466">
        <f ca="1">ROUND(SUMIF(INDIRECT(Formulas!$B$1),"10-"&amp;LEFT($B49,3)&amp;"*-"&amp;MID(J$1,2,1)&amp;"*",INDIRECT(Formulas!$B$3)),0)</f>
        <v>0</v>
      </c>
      <c r="K49" s="1655">
        <f ca="1">SUM(C49:J49)</f>
        <v>31049</v>
      </c>
      <c r="L49" s="480">
        <v>23000</v>
      </c>
    </row>
    <row r="50" spans="1:14" x14ac:dyDescent="0.2">
      <c r="A50" s="1487" t="s">
        <v>818</v>
      </c>
      <c r="B50" s="600">
        <v>2320</v>
      </c>
      <c r="C50" s="466">
        <f ca="1">ROUND(SUMIF(INDIRECT(Formulas!$B$1),"10-"&amp;LEFT($B50,3)&amp;"*-"&amp;MID(C$1,2,1)&amp;"*",INDIRECT(Formulas!$B$3)),0)</f>
        <v>125404</v>
      </c>
      <c r="D50" s="466">
        <f ca="1">ROUND(SUMIF(INDIRECT(Formulas!$B$1),"10-"&amp;LEFT($B50,3)&amp;"*-"&amp;MID(D$1,2,1)&amp;"*",INDIRECT(Formulas!$B$3)),0)</f>
        <v>10784</v>
      </c>
      <c r="E50" s="466">
        <f ca="1">ROUND(SUMIF(INDIRECT(Formulas!$B$1),"10-"&amp;LEFT($B50,3)&amp;"*-"&amp;MID(E$1,2,1)&amp;"*",INDIRECT(Formulas!$B$3)),0)</f>
        <v>8914</v>
      </c>
      <c r="F50" s="466">
        <f ca="1">ROUND(SUMIF(INDIRECT(Formulas!$B$1),"10-"&amp;LEFT($B50,3)&amp;"*-"&amp;MID(F$1,2,1)&amp;"*",INDIRECT(Formulas!$B$3)),0)</f>
        <v>6303</v>
      </c>
      <c r="G50" s="466">
        <f ca="1">ROUND(SUMIF(INDIRECT(Formulas!$B$1),"10-"&amp;LEFT($B50,3)&amp;"*-"&amp;MID(G$1,2,1)&amp;"*",INDIRECT(Formulas!$B$3)),0)</f>
        <v>5430</v>
      </c>
      <c r="H50" s="466">
        <f ca="1">ROUND(SUMIF(INDIRECT(Formulas!$B$1),"10-"&amp;LEFT($B50,3)&amp;"*-"&amp;MID(H$1,2,1)&amp;"*",INDIRECT(Formulas!$B$3)),0)</f>
        <v>2200</v>
      </c>
      <c r="I50" s="466">
        <f ca="1">ROUND(SUMIF(INDIRECT(Formulas!$B$1),"10-"&amp;LEFT($B50,3)&amp;"*-"&amp;MID(I$1,2,1)&amp;"*",INDIRECT(Formulas!$B$3)),0)</f>
        <v>0</v>
      </c>
      <c r="J50" s="466">
        <f ca="1">ROUND(SUMIF(INDIRECT(Formulas!$B$1),"10-"&amp;LEFT($B50,3)&amp;"*-"&amp;MID(J$1,2,1)&amp;"*",INDIRECT(Formulas!$B$3)),0)</f>
        <v>0</v>
      </c>
      <c r="K50" s="1655">
        <f ca="1">SUM(C50:J50)</f>
        <v>159035</v>
      </c>
      <c r="L50" s="466">
        <v>135688</v>
      </c>
    </row>
    <row r="51" spans="1:14" x14ac:dyDescent="0.2">
      <c r="A51" s="1487" t="s">
        <v>42</v>
      </c>
      <c r="B51" s="600">
        <v>2330</v>
      </c>
      <c r="C51" s="466">
        <f ca="1">ROUND(SUMIF(INDIRECT(Formulas!$B$1),"10-"&amp;LEFT($B51,3)&amp;"*-"&amp;MID(C$1,2,1)&amp;"*",INDIRECT(Formulas!$B$3)),0)</f>
        <v>0</v>
      </c>
      <c r="D51" s="466">
        <f ca="1">ROUND(SUMIF(INDIRECT(Formulas!$B$1),"10-"&amp;LEFT($B51,3)&amp;"*-"&amp;MID(D$1,2,1)&amp;"*",INDIRECT(Formulas!$B$3)),0)</f>
        <v>0</v>
      </c>
      <c r="E51" s="466">
        <f ca="1">ROUND(SUMIF(INDIRECT(Formulas!$B$1),"10-"&amp;LEFT($B51,3)&amp;"*-"&amp;MID(E$1,2,1)&amp;"*",INDIRECT(Formulas!$B$3)),0)</f>
        <v>0</v>
      </c>
      <c r="F51" s="466">
        <f ca="1">ROUND(SUMIF(INDIRECT(Formulas!$B$1),"10-"&amp;LEFT($B51,3)&amp;"*-"&amp;MID(F$1,2,1)&amp;"*",INDIRECT(Formulas!$B$3)),0)</f>
        <v>0</v>
      </c>
      <c r="G51" s="466">
        <f ca="1">ROUND(SUMIF(INDIRECT(Formulas!$B$1),"10-"&amp;LEFT($B51,3)&amp;"*-"&amp;MID(G$1,2,1)&amp;"*",INDIRECT(Formulas!$B$3)),0)</f>
        <v>0</v>
      </c>
      <c r="H51" s="466">
        <f ca="1">ROUND(SUMIF(INDIRECT(Formulas!$B$1),"10-"&amp;LEFT($B51,3)&amp;"*-"&amp;MID(H$1,2,1)&amp;"*",INDIRECT(Formulas!$B$3)),0)</f>
        <v>0</v>
      </c>
      <c r="I51" s="466">
        <f ca="1">ROUND(SUMIF(INDIRECT(Formulas!$B$1),"10-"&amp;LEFT($B51,3)&amp;"*-"&amp;MID(I$1,2,1)&amp;"*",INDIRECT(Formulas!$B$3)),0)</f>
        <v>0</v>
      </c>
      <c r="J51" s="466">
        <f ca="1">ROUND(SUMIF(INDIRECT(Formulas!$B$1),"10-"&amp;LEFT($B51,3)&amp;"*-"&amp;MID(J$1,2,1)&amp;"*",INDIRECT(Formulas!$B$3)),0)</f>
        <v>0</v>
      </c>
      <c r="K51" s="1655">
        <f ca="1">SUM(C51:J51)</f>
        <v>0</v>
      </c>
      <c r="L51" s="466">
        <v>0</v>
      </c>
    </row>
    <row r="52" spans="1:14" ht="22.5" x14ac:dyDescent="0.2">
      <c r="A52" s="1488" t="s">
        <v>298</v>
      </c>
      <c r="B52" s="613" t="s">
        <v>366</v>
      </c>
      <c r="C52" s="466">
        <f ca="1">ROUND(SUMIF(INDIRECT(Formulas!$B$1),"10-"&amp;LEFT($B52,3)&amp;"*-"&amp;MID(C$1,2,1)&amp;"*",INDIRECT(Formulas!$B$3)),0)</f>
        <v>0</v>
      </c>
      <c r="D52" s="466">
        <f ca="1">ROUND(SUMIF(INDIRECT(Formulas!$B$1),"10-"&amp;LEFT($B52,3)&amp;"*-"&amp;MID(D$1,2,1)&amp;"*",INDIRECT(Formulas!$B$3)),0)</f>
        <v>0</v>
      </c>
      <c r="E52" s="466">
        <f ca="1">ROUND(SUMIF(INDIRECT(Formulas!$B$1),"10-"&amp;LEFT($B52,3)&amp;"*-"&amp;MID(E$1,2,1)&amp;"*",INDIRECT(Formulas!$B$3)),0)</f>
        <v>0</v>
      </c>
      <c r="F52" s="466">
        <f ca="1">ROUND(SUMIF(INDIRECT(Formulas!$B$1),"10-"&amp;LEFT($B52,3)&amp;"*-"&amp;MID(F$1,2,1)&amp;"*",INDIRECT(Formulas!$B$3)),0)</f>
        <v>0</v>
      </c>
      <c r="G52" s="466">
        <f ca="1">ROUND(SUMIF(INDIRECT(Formulas!$B$1),"10-"&amp;LEFT($B52,3)&amp;"*-"&amp;MID(G$1,2,1)&amp;"*",INDIRECT(Formulas!$B$3)),0)</f>
        <v>0</v>
      </c>
      <c r="H52" s="466">
        <f ca="1">ROUND(SUMIF(INDIRECT(Formulas!$B$1),"10-"&amp;LEFT($B52,3)&amp;"*-"&amp;MID(H$1,2,1)&amp;"*",INDIRECT(Formulas!$B$3)),0)</f>
        <v>0</v>
      </c>
      <c r="I52" s="466">
        <f ca="1">ROUND(SUMIF(INDIRECT(Formulas!$B$1),"10-"&amp;LEFT($B52,3)&amp;"*-"&amp;MID(I$1,2,1)&amp;"*",INDIRECT(Formulas!$B$3)),0)</f>
        <v>0</v>
      </c>
      <c r="J52" s="466">
        <f ca="1">ROUND(SUMIF(INDIRECT(Formulas!$B$1),"10-"&amp;LEFT($B52,3)&amp;"*-"&amp;MID(J$1,2,1)&amp;"*",INDIRECT(Formulas!$B$3)),0)</f>
        <v>0</v>
      </c>
      <c r="K52" s="1655">
        <f ca="1">SUM(C52:J52)</f>
        <v>0</v>
      </c>
      <c r="L52" s="474">
        <v>0</v>
      </c>
    </row>
    <row r="53" spans="1:14" ht="12.75" customHeight="1" thickBot="1" x14ac:dyDescent="0.25">
      <c r="A53" s="1651" t="s">
        <v>717</v>
      </c>
      <c r="B53" s="1652" t="s">
        <v>33</v>
      </c>
      <c r="C53" s="1653">
        <f ca="1">SUM(C49:C52)</f>
        <v>128407</v>
      </c>
      <c r="D53" s="1653">
        <f t="shared" ref="D53:L53" ca="1" si="5">SUM(D49:D52)</f>
        <v>10858</v>
      </c>
      <c r="E53" s="1653">
        <f t="shared" ca="1" si="5"/>
        <v>18185</v>
      </c>
      <c r="F53" s="1653">
        <f t="shared" ca="1" si="5"/>
        <v>8423</v>
      </c>
      <c r="G53" s="1653">
        <f t="shared" ca="1" si="5"/>
        <v>5430</v>
      </c>
      <c r="H53" s="1653">
        <f t="shared" ca="1" si="5"/>
        <v>18781</v>
      </c>
      <c r="I53" s="1653">
        <f t="shared" ca="1" si="5"/>
        <v>0</v>
      </c>
      <c r="J53" s="1653">
        <f t="shared" ca="1" si="5"/>
        <v>0</v>
      </c>
      <c r="K53" s="1653">
        <f t="shared" ca="1" si="5"/>
        <v>190084</v>
      </c>
      <c r="L53" s="1653">
        <f t="shared" si="5"/>
        <v>158688</v>
      </c>
    </row>
    <row r="54" spans="1:14" ht="15.75" customHeight="1" thickTop="1" x14ac:dyDescent="0.2">
      <c r="A54" s="610" t="s">
        <v>611</v>
      </c>
      <c r="B54" s="611"/>
      <c r="C54" s="612"/>
      <c r="D54" s="612"/>
      <c r="E54" s="612"/>
      <c r="F54" s="612"/>
      <c r="G54" s="612"/>
      <c r="H54" s="612"/>
      <c r="I54" s="602"/>
      <c r="J54" s="602"/>
      <c r="K54" s="612"/>
      <c r="L54" s="612"/>
    </row>
    <row r="55" spans="1:14" x14ac:dyDescent="0.2">
      <c r="A55" s="1487" t="s">
        <v>1067</v>
      </c>
      <c r="B55" s="600">
        <v>2410</v>
      </c>
      <c r="C55" s="466">
        <f ca="1">ROUND(SUMIF(INDIRECT(Formulas!$B$1),"10-"&amp;LEFT($B55,3)&amp;"*-"&amp;MID(C$1,2,1)&amp;"*",INDIRECT(Formulas!$B$3)),0)</f>
        <v>90051</v>
      </c>
      <c r="D55" s="466">
        <f ca="1">ROUND(SUMIF(INDIRECT(Formulas!$B$1),"10-"&amp;LEFT($B55,3)&amp;"*-"&amp;MID(D$1,2,1)&amp;"*",INDIRECT(Formulas!$B$3)),0)</f>
        <v>9204</v>
      </c>
      <c r="E55" s="466">
        <f ca="1">ROUND(SUMIF(INDIRECT(Formulas!$B$1),"10-"&amp;LEFT($B55,3)&amp;"*-"&amp;MID(E$1,2,1)&amp;"*",INDIRECT(Formulas!$B$3)),0)</f>
        <v>0</v>
      </c>
      <c r="F55" s="466">
        <f ca="1">ROUND(SUMIF(INDIRECT(Formulas!$B$1),"10-"&amp;LEFT($B55,3)&amp;"*-"&amp;MID(F$1,2,1)&amp;"*",INDIRECT(Formulas!$B$3)),0)</f>
        <v>0</v>
      </c>
      <c r="G55" s="466">
        <f ca="1">ROUND(SUMIF(INDIRECT(Formulas!$B$1),"10-"&amp;LEFT($B55,3)&amp;"*-"&amp;MID(G$1,2,1)&amp;"*",INDIRECT(Formulas!$B$3)),0)</f>
        <v>0</v>
      </c>
      <c r="H55" s="466">
        <f ca="1">ROUND(SUMIF(INDIRECT(Formulas!$B$1),"10-"&amp;LEFT($B55,3)&amp;"*-"&amp;MID(H$1,2,1)&amp;"*",INDIRECT(Formulas!$B$3)),0)</f>
        <v>395</v>
      </c>
      <c r="I55" s="466">
        <f ca="1">ROUND(SUMIF(INDIRECT(Formulas!$B$1),"10-"&amp;LEFT($B55,3)&amp;"*-"&amp;MID(I$1,2,1)&amp;"*",INDIRECT(Formulas!$B$3)),0)</f>
        <v>0</v>
      </c>
      <c r="J55" s="466">
        <f ca="1">ROUND(SUMIF(INDIRECT(Formulas!$B$1),"10-"&amp;LEFT($B55,3)&amp;"*-"&amp;MID(J$1,2,1)&amp;"*",INDIRECT(Formulas!$B$3)),0)</f>
        <v>0</v>
      </c>
      <c r="K55" s="1655">
        <f ca="1">SUM(C55:J55)</f>
        <v>99650</v>
      </c>
      <c r="L55" s="480">
        <v>102774</v>
      </c>
    </row>
    <row r="56" spans="1:14" ht="12.75" customHeight="1" x14ac:dyDescent="0.2">
      <c r="A56" s="1491" t="s">
        <v>376</v>
      </c>
      <c r="B56" s="614">
        <v>2490</v>
      </c>
      <c r="C56" s="466">
        <f ca="1">ROUND(SUMIF(INDIRECT(Formulas!$B$1),"10-"&amp;LEFT($B56,3)&amp;"*-"&amp;MID(C$1,2,1)&amp;"*",INDIRECT(Formulas!$B$3)),0)</f>
        <v>0</v>
      </c>
      <c r="D56" s="466">
        <f ca="1">ROUND(SUMIF(INDIRECT(Formulas!$B$1),"10-"&amp;LEFT($B56,3)&amp;"*-"&amp;MID(D$1,2,1)&amp;"*",INDIRECT(Formulas!$B$3)),0)</f>
        <v>0</v>
      </c>
      <c r="E56" s="466">
        <f ca="1">ROUND(SUMIF(INDIRECT(Formulas!$B$1),"10-"&amp;LEFT($B56,3)&amp;"*-"&amp;MID(E$1,2,1)&amp;"*",INDIRECT(Formulas!$B$3)),0)</f>
        <v>0</v>
      </c>
      <c r="F56" s="466">
        <f ca="1">ROUND(SUMIF(INDIRECT(Formulas!$B$1),"10-"&amp;LEFT($B56,3)&amp;"*-"&amp;MID(F$1,2,1)&amp;"*",INDIRECT(Formulas!$B$3)),0)</f>
        <v>0</v>
      </c>
      <c r="G56" s="466">
        <f ca="1">ROUND(SUMIF(INDIRECT(Formulas!$B$1),"10-"&amp;LEFT($B56,3)&amp;"*-"&amp;MID(G$1,2,1)&amp;"*",INDIRECT(Formulas!$B$3)),0)</f>
        <v>0</v>
      </c>
      <c r="H56" s="466">
        <f ca="1">ROUND(SUMIF(INDIRECT(Formulas!$B$1),"10-"&amp;LEFT($B56,3)&amp;"*-"&amp;MID(H$1,2,1)&amp;"*",INDIRECT(Formulas!$B$3)),0)</f>
        <v>0</v>
      </c>
      <c r="I56" s="466">
        <f ca="1">ROUND(SUMIF(INDIRECT(Formulas!$B$1),"10-"&amp;LEFT($B56,3)&amp;"*-"&amp;MID(I$1,2,1)&amp;"*",INDIRECT(Formulas!$B$3)),0)</f>
        <v>0</v>
      </c>
      <c r="J56" s="466">
        <f ca="1">ROUND(SUMIF(INDIRECT(Formulas!$B$1),"10-"&amp;LEFT($B56,3)&amp;"*-"&amp;MID(J$1,2,1)&amp;"*",INDIRECT(Formulas!$B$3)),0)</f>
        <v>0</v>
      </c>
      <c r="K56" s="1655">
        <f ca="1">SUM(C56:J56)</f>
        <v>0</v>
      </c>
      <c r="L56" s="466">
        <v>0</v>
      </c>
    </row>
    <row r="57" spans="1:14" s="343" customFormat="1" ht="12.75" customHeight="1" thickBot="1" x14ac:dyDescent="0.25">
      <c r="A57" s="1651" t="s">
        <v>263</v>
      </c>
      <c r="B57" s="1656" t="s">
        <v>34</v>
      </c>
      <c r="C57" s="1657">
        <f ca="1">SUM(C55:C56)</f>
        <v>90051</v>
      </c>
      <c r="D57" s="1657">
        <f t="shared" ref="D57:K57" ca="1" si="6">SUM(D55:D56)</f>
        <v>9204</v>
      </c>
      <c r="E57" s="1657">
        <f t="shared" ca="1" si="6"/>
        <v>0</v>
      </c>
      <c r="F57" s="1657">
        <f t="shared" ca="1" si="6"/>
        <v>0</v>
      </c>
      <c r="G57" s="1657">
        <f t="shared" ca="1" si="6"/>
        <v>0</v>
      </c>
      <c r="H57" s="1657">
        <f t="shared" ca="1" si="6"/>
        <v>395</v>
      </c>
      <c r="I57" s="1657">
        <f t="shared" ca="1" si="6"/>
        <v>0</v>
      </c>
      <c r="J57" s="1657">
        <f t="shared" ca="1" si="6"/>
        <v>0</v>
      </c>
      <c r="K57" s="1657">
        <f t="shared" ca="1" si="6"/>
        <v>99650</v>
      </c>
      <c r="L57" s="1653">
        <f>SUM(L55:L56)</f>
        <v>102774</v>
      </c>
      <c r="M57" s="595"/>
      <c r="N57" s="595"/>
    </row>
    <row r="58" spans="1:14" s="343" customFormat="1" ht="15.75" customHeight="1" thickTop="1" x14ac:dyDescent="0.2">
      <c r="A58" s="610" t="s">
        <v>612</v>
      </c>
      <c r="B58" s="611"/>
      <c r="C58" s="615"/>
      <c r="D58" s="612"/>
      <c r="E58" s="612"/>
      <c r="F58" s="612"/>
      <c r="G58" s="612"/>
      <c r="H58" s="612"/>
      <c r="I58" s="602"/>
      <c r="J58" s="602"/>
      <c r="K58" s="612"/>
      <c r="L58" s="612"/>
      <c r="M58" s="595"/>
      <c r="N58" s="595"/>
    </row>
    <row r="59" spans="1:14" s="343" customFormat="1" x14ac:dyDescent="0.2">
      <c r="A59" s="1487" t="s">
        <v>1068</v>
      </c>
      <c r="B59" s="600">
        <v>2510</v>
      </c>
      <c r="C59" s="466">
        <f ca="1">ROUND(SUMIF(INDIRECT(Formulas!$B$1),"10-"&amp;LEFT($B59,3)&amp;"*-"&amp;MID(C$1,2,1)&amp;"*",INDIRECT(Formulas!$B$3)),0)</f>
        <v>0</v>
      </c>
      <c r="D59" s="466">
        <f ca="1">ROUND(SUMIF(INDIRECT(Formulas!$B$1),"10-"&amp;LEFT($B59,3)&amp;"*-"&amp;MID(D$1,2,1)&amp;"*",INDIRECT(Formulas!$B$3)),0)</f>
        <v>0</v>
      </c>
      <c r="E59" s="466">
        <f ca="1">ROUND(SUMIF(INDIRECT(Formulas!$B$1),"10-"&amp;LEFT($B59,3)&amp;"*-"&amp;MID(E$1,2,1)&amp;"*",INDIRECT(Formulas!$B$3)),0)</f>
        <v>0</v>
      </c>
      <c r="F59" s="466">
        <f ca="1">ROUND(SUMIF(INDIRECT(Formulas!$B$1),"10-"&amp;LEFT($B59,3)&amp;"*-"&amp;MID(F$1,2,1)&amp;"*",INDIRECT(Formulas!$B$3)),0)</f>
        <v>0</v>
      </c>
      <c r="G59" s="466">
        <f ca="1">ROUND(SUMIF(INDIRECT(Formulas!$B$1),"10-"&amp;LEFT($B59,3)&amp;"*-"&amp;MID(G$1,2,1)&amp;"*",INDIRECT(Formulas!$B$3)),0)</f>
        <v>0</v>
      </c>
      <c r="H59" s="466">
        <f ca="1">ROUND(SUMIF(INDIRECT(Formulas!$B$1),"10-"&amp;LEFT($B59,3)&amp;"*-"&amp;MID(H$1,2,1)&amp;"*",INDIRECT(Formulas!$B$3)),0)</f>
        <v>0</v>
      </c>
      <c r="I59" s="466">
        <f ca="1">ROUND(SUMIF(INDIRECT(Formulas!$B$1),"10-"&amp;LEFT($B59,3)&amp;"*-"&amp;MID(I$1,2,1)&amp;"*",INDIRECT(Formulas!$B$3)),0)</f>
        <v>0</v>
      </c>
      <c r="J59" s="466">
        <f ca="1">ROUND(SUMIF(INDIRECT(Formulas!$B$1),"10-"&amp;LEFT($B59,3)&amp;"*-"&amp;MID(J$1,2,1)&amp;"*",INDIRECT(Formulas!$B$3)),0)</f>
        <v>0</v>
      </c>
      <c r="K59" s="1655">
        <f t="shared" ref="K59:K64" ca="1" si="7">SUM(C59:J59)</f>
        <v>0</v>
      </c>
      <c r="L59" s="480">
        <v>0</v>
      </c>
      <c r="M59" s="595"/>
      <c r="N59" s="595"/>
    </row>
    <row r="60" spans="1:14" s="343" customFormat="1" x14ac:dyDescent="0.2">
      <c r="A60" s="1487" t="s">
        <v>463</v>
      </c>
      <c r="B60" s="600">
        <v>2520</v>
      </c>
      <c r="C60" s="466">
        <f ca="1">ROUND(SUMIF(INDIRECT(Formulas!$B$1),"10-"&amp;LEFT($B60,3)&amp;"*-"&amp;MID(C$1,2,1)&amp;"*",INDIRECT(Formulas!$B$3)),0)</f>
        <v>33219</v>
      </c>
      <c r="D60" s="466">
        <f ca="1">ROUND(SUMIF(INDIRECT(Formulas!$B$1),"10-"&amp;LEFT($B60,3)&amp;"*-"&amp;MID(D$1,2,1)&amp;"*",INDIRECT(Formulas!$B$3)),0)</f>
        <v>4334</v>
      </c>
      <c r="E60" s="466">
        <f ca="1">ROUND(SUMIF(INDIRECT(Formulas!$B$1),"10-"&amp;LEFT($B60,3)&amp;"*-"&amp;MID(E$1,2,1)&amp;"*",INDIRECT(Formulas!$B$3)),0)</f>
        <v>6550</v>
      </c>
      <c r="F60" s="466">
        <f ca="1">ROUND(SUMIF(INDIRECT(Formulas!$B$1),"10-"&amp;LEFT($B60,3)&amp;"*-"&amp;MID(F$1,2,1)&amp;"*",INDIRECT(Formulas!$B$3)),0)</f>
        <v>51431</v>
      </c>
      <c r="G60" s="466">
        <f ca="1">ROUND(SUMIF(INDIRECT(Formulas!$B$1),"10-"&amp;LEFT($B60,3)&amp;"*-"&amp;MID(G$1,2,1)&amp;"*",INDIRECT(Formulas!$B$3)),0)</f>
        <v>0</v>
      </c>
      <c r="H60" s="466">
        <f ca="1">ROUND(SUMIF(INDIRECT(Formulas!$B$1),"10-"&amp;LEFT($B60,3)&amp;"*-"&amp;MID(H$1,2,1)&amp;"*",INDIRECT(Formulas!$B$3)),0)</f>
        <v>3022</v>
      </c>
      <c r="I60" s="466">
        <f ca="1">ROUND(SUMIF(INDIRECT(Formulas!$B$1),"10-"&amp;LEFT($B60,3)&amp;"*-"&amp;MID(I$1,2,1)&amp;"*",INDIRECT(Formulas!$B$3)),0)</f>
        <v>0</v>
      </c>
      <c r="J60" s="466">
        <f ca="1">ROUND(SUMIF(INDIRECT(Formulas!$B$1),"10-"&amp;LEFT($B60,3)&amp;"*-"&amp;MID(J$1,2,1)&amp;"*",INDIRECT(Formulas!$B$3)),0)</f>
        <v>0</v>
      </c>
      <c r="K60" s="1655">
        <f t="shared" ca="1" si="7"/>
        <v>98556</v>
      </c>
      <c r="L60" s="466">
        <v>46360</v>
      </c>
      <c r="M60" s="595"/>
      <c r="N60" s="595"/>
    </row>
    <row r="61" spans="1:14" s="343" customFormat="1" x14ac:dyDescent="0.2">
      <c r="A61" s="1487" t="s">
        <v>197</v>
      </c>
      <c r="B61" s="600">
        <v>2540</v>
      </c>
      <c r="C61" s="466">
        <f ca="1">ROUND(SUMIF(INDIRECT(Formulas!$B$1),"10-"&amp;LEFT($B61,3)&amp;"*-"&amp;MID(C$1,2,1)&amp;"*",INDIRECT(Formulas!$B$3)),0)</f>
        <v>0</v>
      </c>
      <c r="D61" s="466">
        <f ca="1">ROUND(SUMIF(INDIRECT(Formulas!$B$1),"10-"&amp;LEFT($B61,3)&amp;"*-"&amp;MID(D$1,2,1)&amp;"*",INDIRECT(Formulas!$B$3)),0)</f>
        <v>0</v>
      </c>
      <c r="E61" s="466">
        <f ca="1">ROUND(SUMIF(INDIRECT(Formulas!$B$1),"10-"&amp;LEFT($B61,3)&amp;"*-"&amp;MID(E$1,2,1)&amp;"*",INDIRECT(Formulas!$B$3)),0)</f>
        <v>0</v>
      </c>
      <c r="F61" s="466">
        <f ca="1">ROUND(SUMIF(INDIRECT(Formulas!$B$1),"10-"&amp;LEFT($B61,3)&amp;"*-"&amp;MID(F$1,2,1)&amp;"*",INDIRECT(Formulas!$B$3)),0)</f>
        <v>0</v>
      </c>
      <c r="G61" s="466">
        <f ca="1">ROUND(SUMIF(INDIRECT(Formulas!$B$1),"10-"&amp;LEFT($B61,3)&amp;"*-"&amp;MID(G$1,2,1)&amp;"*",INDIRECT(Formulas!$B$3)),0)</f>
        <v>0</v>
      </c>
      <c r="H61" s="466">
        <f ca="1">ROUND(SUMIF(INDIRECT(Formulas!$B$1),"10-"&amp;LEFT($B61,3)&amp;"*-"&amp;MID(H$1,2,1)&amp;"*",INDIRECT(Formulas!$B$3)),0)</f>
        <v>0</v>
      </c>
      <c r="I61" s="466">
        <f ca="1">ROUND(SUMIF(INDIRECT(Formulas!$B$1),"10-"&amp;LEFT($B61,3)&amp;"*-"&amp;MID(I$1,2,1)&amp;"*",INDIRECT(Formulas!$B$3)),0)</f>
        <v>0</v>
      </c>
      <c r="J61" s="466">
        <f ca="1">ROUND(SUMIF(INDIRECT(Formulas!$B$1),"10-"&amp;LEFT($B61,3)&amp;"*-"&amp;MID(J$1,2,1)&amp;"*",INDIRECT(Formulas!$B$3)),0)</f>
        <v>0</v>
      </c>
      <c r="K61" s="1655">
        <f t="shared" ca="1" si="7"/>
        <v>0</v>
      </c>
      <c r="L61" s="466">
        <v>0</v>
      </c>
      <c r="M61" s="595"/>
      <c r="N61" s="595"/>
    </row>
    <row r="62" spans="1:14" s="343" customFormat="1" x14ac:dyDescent="0.2">
      <c r="A62" s="1487" t="s">
        <v>953</v>
      </c>
      <c r="B62" s="600">
        <v>2550</v>
      </c>
      <c r="C62" s="466">
        <f ca="1">ROUND(SUMIF(INDIRECT(Formulas!$B$1),"10-"&amp;LEFT($B62,3)&amp;"*-"&amp;MID(C$1,2,1)&amp;"*",INDIRECT(Formulas!$B$3)),0)</f>
        <v>0</v>
      </c>
      <c r="D62" s="466">
        <f ca="1">ROUND(SUMIF(INDIRECT(Formulas!$B$1),"10-"&amp;LEFT($B62,3)&amp;"*-"&amp;MID(D$1,2,1)&amp;"*",INDIRECT(Formulas!$B$3)),0)</f>
        <v>0</v>
      </c>
      <c r="E62" s="466">
        <f ca="1">ROUND(SUMIF(INDIRECT(Formulas!$B$1),"10-"&amp;LEFT($B62,3)&amp;"*-"&amp;MID(E$1,2,1)&amp;"*",INDIRECT(Formulas!$B$3)),0)</f>
        <v>0</v>
      </c>
      <c r="F62" s="466">
        <f ca="1">ROUND(SUMIF(INDIRECT(Formulas!$B$1),"10-"&amp;LEFT($B62,3)&amp;"*-"&amp;MID(F$1,2,1)&amp;"*",INDIRECT(Formulas!$B$3)),0)</f>
        <v>0</v>
      </c>
      <c r="G62" s="466">
        <f ca="1">ROUND(SUMIF(INDIRECT(Formulas!$B$1),"10-"&amp;LEFT($B62,3)&amp;"*-"&amp;MID(G$1,2,1)&amp;"*",INDIRECT(Formulas!$B$3)),0)</f>
        <v>0</v>
      </c>
      <c r="H62" s="466">
        <f ca="1">ROUND(SUMIF(INDIRECT(Formulas!$B$1),"10-"&amp;LEFT($B62,3)&amp;"*-"&amp;MID(H$1,2,1)&amp;"*",INDIRECT(Formulas!$B$3)),0)</f>
        <v>0</v>
      </c>
      <c r="I62" s="466">
        <f ca="1">ROUND(SUMIF(INDIRECT(Formulas!$B$1),"10-"&amp;LEFT($B62,3)&amp;"*-"&amp;MID(I$1,2,1)&amp;"*",INDIRECT(Formulas!$B$3)),0)</f>
        <v>0</v>
      </c>
      <c r="J62" s="466">
        <f ca="1">ROUND(SUMIF(INDIRECT(Formulas!$B$1),"10-"&amp;LEFT($B62,3)&amp;"*-"&amp;MID(J$1,2,1)&amp;"*",INDIRECT(Formulas!$B$3)),0)</f>
        <v>0</v>
      </c>
      <c r="K62" s="1655">
        <f t="shared" ca="1" si="7"/>
        <v>0</v>
      </c>
      <c r="L62" s="466">
        <v>0</v>
      </c>
      <c r="M62" s="595"/>
      <c r="N62" s="595"/>
    </row>
    <row r="63" spans="1:14" s="595" customFormat="1" x14ac:dyDescent="0.2">
      <c r="A63" s="1487" t="s">
        <v>100</v>
      </c>
      <c r="B63" s="600">
        <v>2560</v>
      </c>
      <c r="C63" s="466">
        <f ca="1">ROUND(SUMIF(INDIRECT(Formulas!$B$1),"10-"&amp;LEFT($B63,3)&amp;"*-"&amp;MID(C$1,2,1)&amp;"*",INDIRECT(Formulas!$B$3)),0)</f>
        <v>29355</v>
      </c>
      <c r="D63" s="466">
        <f ca="1">ROUND(SUMIF(INDIRECT(Formulas!$B$1),"10-"&amp;LEFT($B63,3)&amp;"*-"&amp;MID(D$1,2,1)&amp;"*",INDIRECT(Formulas!$B$3)),0)</f>
        <v>40</v>
      </c>
      <c r="E63" s="466">
        <f ca="1">ROUND(SUMIF(INDIRECT(Formulas!$B$1),"10-"&amp;LEFT($B63,3)&amp;"*-"&amp;MID(E$1,2,1)&amp;"*",INDIRECT(Formulas!$B$3)),0)</f>
        <v>147</v>
      </c>
      <c r="F63" s="466">
        <f ca="1">ROUND(SUMIF(INDIRECT(Formulas!$B$1),"10-"&amp;LEFT($B63,3)&amp;"*-"&amp;MID(F$1,2,1)&amp;"*",INDIRECT(Formulas!$B$3)),0)</f>
        <v>29817</v>
      </c>
      <c r="G63" s="466">
        <f ca="1">ROUND(SUMIF(INDIRECT(Formulas!$B$1),"10-"&amp;LEFT($B63,3)&amp;"*-"&amp;MID(G$1,2,1)&amp;"*",INDIRECT(Formulas!$B$3)),0)</f>
        <v>0</v>
      </c>
      <c r="H63" s="466">
        <f ca="1">ROUND(SUMIF(INDIRECT(Formulas!$B$1),"10-"&amp;LEFT($B63,3)&amp;"*-"&amp;MID(H$1,2,1)&amp;"*",INDIRECT(Formulas!$B$3)),0)</f>
        <v>0</v>
      </c>
      <c r="I63" s="466">
        <f ca="1">ROUND(SUMIF(INDIRECT(Formulas!$B$1),"10-"&amp;LEFT($B63,3)&amp;"*-"&amp;MID(I$1,2,1)&amp;"*",INDIRECT(Formulas!$B$3)),0)</f>
        <v>0</v>
      </c>
      <c r="J63" s="466">
        <f ca="1">ROUND(SUMIF(INDIRECT(Formulas!$B$1),"10-"&amp;LEFT($B63,3)&amp;"*-"&amp;MID(J$1,2,1)&amp;"*",INDIRECT(Formulas!$B$3)),0)</f>
        <v>0</v>
      </c>
      <c r="K63" s="1655">
        <f t="shared" ca="1" si="7"/>
        <v>59359</v>
      </c>
      <c r="L63" s="466">
        <v>57769</v>
      </c>
    </row>
    <row r="64" spans="1:14" s="595" customFormat="1" x14ac:dyDescent="0.2">
      <c r="A64" s="1492" t="s">
        <v>101</v>
      </c>
      <c r="B64" s="616">
        <v>2570</v>
      </c>
      <c r="C64" s="466">
        <f ca="1">ROUND(SUMIF(INDIRECT(Formulas!$B$1),"10-"&amp;LEFT($B64,3)&amp;"*-"&amp;MID(C$1,2,1)&amp;"*",INDIRECT(Formulas!$B$3)),0)</f>
        <v>0</v>
      </c>
      <c r="D64" s="466">
        <f ca="1">ROUND(SUMIF(INDIRECT(Formulas!$B$1),"10-"&amp;LEFT($B64,3)&amp;"*-"&amp;MID(D$1,2,1)&amp;"*",INDIRECT(Formulas!$B$3)),0)</f>
        <v>0</v>
      </c>
      <c r="E64" s="466">
        <f ca="1">ROUND(SUMIF(INDIRECT(Formulas!$B$1),"10-"&amp;LEFT($B64,3)&amp;"*-"&amp;MID(E$1,2,1)&amp;"*",INDIRECT(Formulas!$B$3)),0)</f>
        <v>0</v>
      </c>
      <c r="F64" s="466">
        <f ca="1">ROUND(SUMIF(INDIRECT(Formulas!$B$1),"10-"&amp;LEFT($B64,3)&amp;"*-"&amp;MID(F$1,2,1)&amp;"*",INDIRECT(Formulas!$B$3)),0)</f>
        <v>0</v>
      </c>
      <c r="G64" s="466">
        <f ca="1">ROUND(SUMIF(INDIRECT(Formulas!$B$1),"10-"&amp;LEFT($B64,3)&amp;"*-"&amp;MID(G$1,2,1)&amp;"*",INDIRECT(Formulas!$B$3)),0)</f>
        <v>0</v>
      </c>
      <c r="H64" s="466">
        <f ca="1">ROUND(SUMIF(INDIRECT(Formulas!$B$1),"10-"&amp;LEFT($B64,3)&amp;"*-"&amp;MID(H$1,2,1)&amp;"*",INDIRECT(Formulas!$B$3)),0)</f>
        <v>0</v>
      </c>
      <c r="I64" s="466">
        <f ca="1">ROUND(SUMIF(INDIRECT(Formulas!$B$1),"10-"&amp;LEFT($B64,3)&amp;"*-"&amp;MID(I$1,2,1)&amp;"*",INDIRECT(Formulas!$B$3)),0)</f>
        <v>0</v>
      </c>
      <c r="J64" s="466">
        <f ca="1">ROUND(SUMIF(INDIRECT(Formulas!$B$1),"10-"&amp;LEFT($B64,3)&amp;"*-"&amp;MID(J$1,2,1)&amp;"*",INDIRECT(Formulas!$B$3)),0)</f>
        <v>0</v>
      </c>
      <c r="K64" s="1655">
        <f t="shared" ca="1" si="7"/>
        <v>0</v>
      </c>
      <c r="L64" s="480">
        <v>0</v>
      </c>
    </row>
    <row r="65" spans="1:14" s="343" customFormat="1" ht="12.75" customHeight="1" thickBot="1" x14ac:dyDescent="0.25">
      <c r="A65" s="1651" t="s">
        <v>719</v>
      </c>
      <c r="B65" s="1652" t="s">
        <v>35</v>
      </c>
      <c r="C65" s="1653">
        <f ca="1">SUM(C59:C64)</f>
        <v>62574</v>
      </c>
      <c r="D65" s="1653">
        <f t="shared" ref="D65:L65" ca="1" si="8">SUM(D59:D64)</f>
        <v>4374</v>
      </c>
      <c r="E65" s="1653">
        <f t="shared" ca="1" si="8"/>
        <v>6697</v>
      </c>
      <c r="F65" s="1653">
        <f t="shared" ca="1" si="8"/>
        <v>81248</v>
      </c>
      <c r="G65" s="1653">
        <f t="shared" ca="1" si="8"/>
        <v>0</v>
      </c>
      <c r="H65" s="1653">
        <f t="shared" ca="1" si="8"/>
        <v>3022</v>
      </c>
      <c r="I65" s="1653">
        <f t="shared" ca="1" si="8"/>
        <v>0</v>
      </c>
      <c r="J65" s="1653">
        <f t="shared" ca="1" si="8"/>
        <v>0</v>
      </c>
      <c r="K65" s="1653">
        <f t="shared" ca="1" si="8"/>
        <v>157915</v>
      </c>
      <c r="L65" s="1653">
        <f t="shared" si="8"/>
        <v>104129</v>
      </c>
      <c r="M65" s="595"/>
      <c r="N65" s="595"/>
    </row>
    <row r="66" spans="1:14" s="343" customFormat="1" ht="15.75" customHeight="1" thickTop="1" x14ac:dyDescent="0.2">
      <c r="A66" s="610" t="s">
        <v>613</v>
      </c>
      <c r="B66" s="617"/>
      <c r="C66" s="602"/>
      <c r="D66" s="602"/>
      <c r="E66" s="602"/>
      <c r="F66" s="602"/>
      <c r="G66" s="602"/>
      <c r="H66" s="602"/>
      <c r="I66" s="602"/>
      <c r="J66" s="602"/>
      <c r="K66" s="612"/>
      <c r="L66" s="612"/>
      <c r="M66" s="595"/>
      <c r="N66" s="595"/>
    </row>
    <row r="67" spans="1:14" s="343" customFormat="1" x14ac:dyDescent="0.2">
      <c r="A67" s="1487" t="s">
        <v>1060</v>
      </c>
      <c r="B67" s="600">
        <v>2610</v>
      </c>
      <c r="C67" s="466">
        <f ca="1">ROUND(SUMIF(INDIRECT(Formulas!$B$1),"10-"&amp;LEFT($B67,3)&amp;"*-"&amp;MID(C$1,2,1)&amp;"*",INDIRECT(Formulas!$B$3)),0)</f>
        <v>0</v>
      </c>
      <c r="D67" s="466">
        <f ca="1">ROUND(SUMIF(INDIRECT(Formulas!$B$1),"10-"&amp;LEFT($B67,3)&amp;"*-"&amp;MID(D$1,2,1)&amp;"*",INDIRECT(Formulas!$B$3)),0)</f>
        <v>0</v>
      </c>
      <c r="E67" s="466">
        <f ca="1">ROUND(SUMIF(INDIRECT(Formulas!$B$1),"10-"&amp;LEFT($B67,3)&amp;"*-"&amp;MID(E$1,2,1)&amp;"*",INDIRECT(Formulas!$B$3)),0)</f>
        <v>0</v>
      </c>
      <c r="F67" s="466">
        <f ca="1">ROUND(SUMIF(INDIRECT(Formulas!$B$1),"10-"&amp;LEFT($B67,3)&amp;"*-"&amp;MID(F$1,2,1)&amp;"*",INDIRECT(Formulas!$B$3)),0)</f>
        <v>0</v>
      </c>
      <c r="G67" s="466">
        <f ca="1">ROUND(SUMIF(INDIRECT(Formulas!$B$1),"10-"&amp;LEFT($B67,3)&amp;"*-"&amp;MID(G$1,2,1)&amp;"*",INDIRECT(Formulas!$B$3)),0)</f>
        <v>0</v>
      </c>
      <c r="H67" s="466">
        <f ca="1">ROUND(SUMIF(INDIRECT(Formulas!$B$1),"10-"&amp;LEFT($B67,3)&amp;"*-"&amp;MID(H$1,2,1)&amp;"*",INDIRECT(Formulas!$B$3)),0)</f>
        <v>0</v>
      </c>
      <c r="I67" s="466">
        <f ca="1">ROUND(SUMIF(INDIRECT(Formulas!$B$1),"10-"&amp;LEFT($B67,3)&amp;"*-"&amp;MID(I$1,2,1)&amp;"*",INDIRECT(Formulas!$B$3)),0)</f>
        <v>0</v>
      </c>
      <c r="J67" s="466">
        <f ca="1">ROUND(SUMIF(INDIRECT(Formulas!$B$1),"10-"&amp;LEFT($B67,3)&amp;"*-"&amp;MID(J$1,2,1)&amp;"*",INDIRECT(Formulas!$B$3)),0)</f>
        <v>0</v>
      </c>
      <c r="K67" s="1655">
        <f ca="1">SUM(C67:J67)</f>
        <v>0</v>
      </c>
      <c r="L67" s="480">
        <v>0</v>
      </c>
      <c r="M67" s="595"/>
      <c r="N67" s="595"/>
    </row>
    <row r="68" spans="1:14" s="343" customFormat="1" x14ac:dyDescent="0.2">
      <c r="A68" s="1487" t="s">
        <v>607</v>
      </c>
      <c r="B68" s="600">
        <v>2620</v>
      </c>
      <c r="C68" s="466">
        <f ca="1">ROUND(SUMIF(INDIRECT(Formulas!$B$1),"10-"&amp;LEFT($B68,3)&amp;"*-"&amp;MID(C$1,2,1)&amp;"*",INDIRECT(Formulas!$B$3)),0)</f>
        <v>0</v>
      </c>
      <c r="D68" s="466">
        <f ca="1">ROUND(SUMIF(INDIRECT(Formulas!$B$1),"10-"&amp;LEFT($B68,3)&amp;"*-"&amp;MID(D$1,2,1)&amp;"*",INDIRECT(Formulas!$B$3)),0)</f>
        <v>0</v>
      </c>
      <c r="E68" s="466">
        <f ca="1">ROUND(SUMIF(INDIRECT(Formulas!$B$1),"10-"&amp;LEFT($B68,3)&amp;"*-"&amp;MID(E$1,2,1)&amp;"*",INDIRECT(Formulas!$B$3)),0)</f>
        <v>0</v>
      </c>
      <c r="F68" s="466">
        <f ca="1">ROUND(SUMIF(INDIRECT(Formulas!$B$1),"10-"&amp;LEFT($B68,3)&amp;"*-"&amp;MID(F$1,2,1)&amp;"*",INDIRECT(Formulas!$B$3)),0)</f>
        <v>203</v>
      </c>
      <c r="G68" s="466">
        <f ca="1">ROUND(SUMIF(INDIRECT(Formulas!$B$1),"10-"&amp;LEFT($B68,3)&amp;"*-"&amp;MID(G$1,2,1)&amp;"*",INDIRECT(Formulas!$B$3)),0)</f>
        <v>0</v>
      </c>
      <c r="H68" s="466">
        <f ca="1">ROUND(SUMIF(INDIRECT(Formulas!$B$1),"10-"&amp;LEFT($B68,3)&amp;"*-"&amp;MID(H$1,2,1)&amp;"*",INDIRECT(Formulas!$B$3)),0)</f>
        <v>0</v>
      </c>
      <c r="I68" s="466">
        <f ca="1">ROUND(SUMIF(INDIRECT(Formulas!$B$1),"10-"&amp;LEFT($B68,3)&amp;"*-"&amp;MID(I$1,2,1)&amp;"*",INDIRECT(Formulas!$B$3)),0)</f>
        <v>0</v>
      </c>
      <c r="J68" s="466">
        <f ca="1">ROUND(SUMIF(INDIRECT(Formulas!$B$1),"10-"&amp;LEFT($B68,3)&amp;"*-"&amp;MID(J$1,2,1)&amp;"*",INDIRECT(Formulas!$B$3)),0)</f>
        <v>0</v>
      </c>
      <c r="K68" s="1655">
        <f ca="1">SUM(C68:J68)</f>
        <v>203</v>
      </c>
      <c r="L68" s="466">
        <v>0</v>
      </c>
      <c r="M68" s="595"/>
      <c r="N68" s="595"/>
    </row>
    <row r="69" spans="1:14" s="343" customFormat="1" x14ac:dyDescent="0.2">
      <c r="A69" s="1487" t="s">
        <v>1061</v>
      </c>
      <c r="B69" s="600">
        <v>2630</v>
      </c>
      <c r="C69" s="466">
        <f ca="1">ROUND(SUMIF(INDIRECT(Formulas!$B$1),"10-"&amp;LEFT($B69,3)&amp;"*-"&amp;MID(C$1,2,1)&amp;"*",INDIRECT(Formulas!$B$3)),0)</f>
        <v>0</v>
      </c>
      <c r="D69" s="466">
        <f ca="1">ROUND(SUMIF(INDIRECT(Formulas!$B$1),"10-"&amp;LEFT($B69,3)&amp;"*-"&amp;MID(D$1,2,1)&amp;"*",INDIRECT(Formulas!$B$3)),0)</f>
        <v>0</v>
      </c>
      <c r="E69" s="466">
        <f ca="1">ROUND(SUMIF(INDIRECT(Formulas!$B$1),"10-"&amp;LEFT($B69,3)&amp;"*-"&amp;MID(E$1,2,1)&amp;"*",INDIRECT(Formulas!$B$3)),0)</f>
        <v>0</v>
      </c>
      <c r="F69" s="466">
        <f ca="1">ROUND(SUMIF(INDIRECT(Formulas!$B$1),"10-"&amp;LEFT($B69,3)&amp;"*-"&amp;MID(F$1,2,1)&amp;"*",INDIRECT(Formulas!$B$3)),0)</f>
        <v>0</v>
      </c>
      <c r="G69" s="466">
        <f ca="1">ROUND(SUMIF(INDIRECT(Formulas!$B$1),"10-"&amp;LEFT($B69,3)&amp;"*-"&amp;MID(G$1,2,1)&amp;"*",INDIRECT(Formulas!$B$3)),0)</f>
        <v>0</v>
      </c>
      <c r="H69" s="466">
        <f ca="1">ROUND(SUMIF(INDIRECT(Formulas!$B$1),"10-"&amp;LEFT($B69,3)&amp;"*-"&amp;MID(H$1,2,1)&amp;"*",INDIRECT(Formulas!$B$3)),0)</f>
        <v>0</v>
      </c>
      <c r="I69" s="466">
        <f ca="1">ROUND(SUMIF(INDIRECT(Formulas!$B$1),"10-"&amp;LEFT($B69,3)&amp;"*-"&amp;MID(I$1,2,1)&amp;"*",INDIRECT(Formulas!$B$3)),0)</f>
        <v>0</v>
      </c>
      <c r="J69" s="466">
        <f ca="1">ROUND(SUMIF(INDIRECT(Formulas!$B$1),"10-"&amp;LEFT($B69,3)&amp;"*-"&amp;MID(J$1,2,1)&amp;"*",INDIRECT(Formulas!$B$3)),0)</f>
        <v>0</v>
      </c>
      <c r="K69" s="1655">
        <f ca="1">SUM(C69:J69)</f>
        <v>0</v>
      </c>
      <c r="L69" s="466">
        <v>0</v>
      </c>
      <c r="M69" s="595"/>
      <c r="N69" s="595"/>
    </row>
    <row r="70" spans="1:14" s="343" customFormat="1" x14ac:dyDescent="0.2">
      <c r="A70" s="1487" t="s">
        <v>403</v>
      </c>
      <c r="B70" s="600">
        <v>2640</v>
      </c>
      <c r="C70" s="466">
        <f ca="1">ROUND(SUMIF(INDIRECT(Formulas!$B$1),"10-"&amp;LEFT($B70,3)&amp;"*-"&amp;MID(C$1,2,1)&amp;"*",INDIRECT(Formulas!$B$3)),0)</f>
        <v>0</v>
      </c>
      <c r="D70" s="466">
        <f ca="1">ROUND(SUMIF(INDIRECT(Formulas!$B$1),"10-"&amp;LEFT($B70,3)&amp;"*-"&amp;MID(D$1,2,1)&amp;"*",INDIRECT(Formulas!$B$3)),0)</f>
        <v>0</v>
      </c>
      <c r="E70" s="466">
        <f ca="1">ROUND(SUMIF(INDIRECT(Formulas!$B$1),"10-"&amp;LEFT($B70,3)&amp;"*-"&amp;MID(E$1,2,1)&amp;"*",INDIRECT(Formulas!$B$3)),0)</f>
        <v>0</v>
      </c>
      <c r="F70" s="466">
        <f ca="1">ROUND(SUMIF(INDIRECT(Formulas!$B$1),"10-"&amp;LEFT($B70,3)&amp;"*-"&amp;MID(F$1,2,1)&amp;"*",INDIRECT(Formulas!$B$3)),0)</f>
        <v>0</v>
      </c>
      <c r="G70" s="466">
        <f ca="1">ROUND(SUMIF(INDIRECT(Formulas!$B$1),"10-"&amp;LEFT($B70,3)&amp;"*-"&amp;MID(G$1,2,1)&amp;"*",INDIRECT(Formulas!$B$3)),0)</f>
        <v>0</v>
      </c>
      <c r="H70" s="466">
        <f ca="1">ROUND(SUMIF(INDIRECT(Formulas!$B$1),"10-"&amp;LEFT($B70,3)&amp;"*-"&amp;MID(H$1,2,1)&amp;"*",INDIRECT(Formulas!$B$3)),0)</f>
        <v>0</v>
      </c>
      <c r="I70" s="466">
        <f ca="1">ROUND(SUMIF(INDIRECT(Formulas!$B$1),"10-"&amp;LEFT($B70,3)&amp;"*-"&amp;MID(I$1,2,1)&amp;"*",INDIRECT(Formulas!$B$3)),0)</f>
        <v>0</v>
      </c>
      <c r="J70" s="466">
        <f ca="1">ROUND(SUMIF(INDIRECT(Formulas!$B$1),"10-"&amp;LEFT($B70,3)&amp;"*-"&amp;MID(J$1,2,1)&amp;"*",INDIRECT(Formulas!$B$3)),0)</f>
        <v>0</v>
      </c>
      <c r="K70" s="1655">
        <f ca="1">SUM(C70:J70)</f>
        <v>0</v>
      </c>
      <c r="L70" s="466">
        <v>0</v>
      </c>
      <c r="M70" s="595"/>
      <c r="N70" s="595"/>
    </row>
    <row r="71" spans="1:14" s="343" customFormat="1" x14ac:dyDescent="0.2">
      <c r="A71" s="1487" t="s">
        <v>404</v>
      </c>
      <c r="B71" s="600">
        <v>2660</v>
      </c>
      <c r="C71" s="466">
        <f ca="1">ROUND(SUMIF(INDIRECT(Formulas!$B$1),"10-"&amp;LEFT($B71,3)&amp;"*-"&amp;MID(C$1,2,1)&amp;"*",INDIRECT(Formulas!$B$3)),0)</f>
        <v>0</v>
      </c>
      <c r="D71" s="466">
        <f ca="1">ROUND(SUMIF(INDIRECT(Formulas!$B$1),"10-"&amp;LEFT($B71,3)&amp;"*-"&amp;MID(D$1,2,1)&amp;"*",INDIRECT(Formulas!$B$3)),0)</f>
        <v>0</v>
      </c>
      <c r="E71" s="466">
        <f ca="1">ROUND(SUMIF(INDIRECT(Formulas!$B$1),"10-"&amp;LEFT($B71,3)&amp;"*-"&amp;MID(E$1,2,1)&amp;"*",INDIRECT(Formulas!$B$3)),0)</f>
        <v>0</v>
      </c>
      <c r="F71" s="466">
        <f ca="1">ROUND(SUMIF(INDIRECT(Formulas!$B$1),"10-"&amp;LEFT($B71,3)&amp;"*-"&amp;MID(F$1,2,1)&amp;"*",INDIRECT(Formulas!$B$3)),0)</f>
        <v>0</v>
      </c>
      <c r="G71" s="466">
        <f ca="1">ROUND(SUMIF(INDIRECT(Formulas!$B$1),"10-"&amp;LEFT($B71,3)&amp;"*-"&amp;MID(G$1,2,1)&amp;"*",INDIRECT(Formulas!$B$3)),0)</f>
        <v>0</v>
      </c>
      <c r="H71" s="466">
        <f ca="1">ROUND(SUMIF(INDIRECT(Formulas!$B$1),"10-"&amp;LEFT($B71,3)&amp;"*-"&amp;MID(H$1,2,1)&amp;"*",INDIRECT(Formulas!$B$3)),0)</f>
        <v>0</v>
      </c>
      <c r="I71" s="466">
        <f ca="1">ROUND(SUMIF(INDIRECT(Formulas!$B$1),"10-"&amp;LEFT($B71,3)&amp;"*-"&amp;MID(I$1,2,1)&amp;"*",INDIRECT(Formulas!$B$3)),0)</f>
        <v>0</v>
      </c>
      <c r="J71" s="466">
        <f ca="1">ROUND(SUMIF(INDIRECT(Formulas!$B$1),"10-"&amp;LEFT($B71,3)&amp;"*-"&amp;MID(J$1,2,1)&amp;"*",INDIRECT(Formulas!$B$3)),0)</f>
        <v>0</v>
      </c>
      <c r="K71" s="1655">
        <f ca="1">SUM(C71:J71)</f>
        <v>0</v>
      </c>
      <c r="L71" s="466">
        <v>0</v>
      </c>
      <c r="M71" s="595"/>
      <c r="N71" s="595"/>
    </row>
    <row r="72" spans="1:14" s="343" customFormat="1" ht="12.75" customHeight="1" thickBot="1" x14ac:dyDescent="0.25">
      <c r="A72" s="1651" t="s">
        <v>37</v>
      </c>
      <c r="B72" s="1658" t="s">
        <v>36</v>
      </c>
      <c r="C72" s="1653">
        <f ca="1">SUM(C67:C71)</f>
        <v>0</v>
      </c>
      <c r="D72" s="1653">
        <f t="shared" ref="D72:K72" ca="1" si="9">SUM(D67:D71)</f>
        <v>0</v>
      </c>
      <c r="E72" s="1653">
        <f t="shared" ca="1" si="9"/>
        <v>0</v>
      </c>
      <c r="F72" s="1653">
        <f t="shared" ca="1" si="9"/>
        <v>203</v>
      </c>
      <c r="G72" s="1653">
        <f t="shared" ca="1" si="9"/>
        <v>0</v>
      </c>
      <c r="H72" s="1653">
        <f t="shared" ca="1" si="9"/>
        <v>0</v>
      </c>
      <c r="I72" s="1653">
        <f t="shared" ca="1" si="9"/>
        <v>0</v>
      </c>
      <c r="J72" s="1653">
        <f t="shared" ca="1" si="9"/>
        <v>0</v>
      </c>
      <c r="K72" s="1653">
        <f t="shared" ca="1" si="9"/>
        <v>203</v>
      </c>
      <c r="L72" s="1653">
        <f>SUM(L67:L71)</f>
        <v>0</v>
      </c>
      <c r="M72" s="595"/>
      <c r="N72" s="595"/>
    </row>
    <row r="73" spans="1:14" s="343" customFormat="1" ht="14.25" thickTop="1" thickBot="1" x14ac:dyDescent="0.25">
      <c r="A73" s="1493" t="s">
        <v>980</v>
      </c>
      <c r="B73" s="618" t="s">
        <v>574</v>
      </c>
      <c r="C73" s="466">
        <f ca="1">ROUND(SUMIF(INDIRECT(Formulas!$B$1),"10-"&amp;LEFT($B73,3)&amp;"*-"&amp;MID(C$1,2,1)&amp;"*",INDIRECT(Formulas!$B$3)),0)</f>
        <v>0</v>
      </c>
      <c r="D73" s="466">
        <f ca="1">ROUND(SUMIF(INDIRECT(Formulas!$B$1),"10-"&amp;LEFT($B73,3)&amp;"*-"&amp;MID(D$1,2,1)&amp;"*",INDIRECT(Formulas!$B$3)),0)</f>
        <v>0</v>
      </c>
      <c r="E73" s="466">
        <f ca="1">ROUND(SUMIF(INDIRECT(Formulas!$B$1),"10-"&amp;LEFT($B73,3)&amp;"*-"&amp;MID(E$1,2,1)&amp;"*",INDIRECT(Formulas!$B$3)),0)</f>
        <v>0</v>
      </c>
      <c r="F73" s="466">
        <f ca="1">ROUND(SUMIF(INDIRECT(Formulas!$B$1),"10-"&amp;LEFT($B73,3)&amp;"*-"&amp;MID(F$1,2,1)&amp;"*",INDIRECT(Formulas!$B$3)),0)</f>
        <v>0</v>
      </c>
      <c r="G73" s="466">
        <f ca="1">ROUND(SUMIF(INDIRECT(Formulas!$B$1),"10-"&amp;LEFT($B73,3)&amp;"*-"&amp;MID(G$1,2,1)&amp;"*",INDIRECT(Formulas!$B$3)),0)</f>
        <v>0</v>
      </c>
      <c r="H73" s="466">
        <f ca="1">ROUND(SUMIF(INDIRECT(Formulas!$B$1),"10-"&amp;LEFT($B73,3)&amp;"*-"&amp;MID(H$1,2,1)&amp;"*",INDIRECT(Formulas!$B$3)),0)</f>
        <v>0</v>
      </c>
      <c r="I73" s="466">
        <f ca="1">ROUND(SUMIF(INDIRECT(Formulas!$B$1),"10-"&amp;LEFT($B73,3)&amp;"*-"&amp;MID(I$1,2,1)&amp;"*",INDIRECT(Formulas!$B$3)),0)</f>
        <v>0</v>
      </c>
      <c r="J73" s="466">
        <f ca="1">ROUND(SUMIF(INDIRECT(Formulas!$B$1),"10-"&amp;LEFT($B73,3)&amp;"*-"&amp;MID(J$1,2,1)&amp;"*",INDIRECT(Formulas!$B$3)),0)</f>
        <v>0</v>
      </c>
      <c r="K73" s="1653">
        <f ca="1">SUM(C73:J73)</f>
        <v>0</v>
      </c>
      <c r="L73" s="569">
        <v>147</v>
      </c>
      <c r="M73" s="595"/>
      <c r="N73" s="595"/>
    </row>
    <row r="74" spans="1:14" ht="12.75" customHeight="1" thickTop="1" thickBot="1" x14ac:dyDescent="0.25">
      <c r="A74" s="1651" t="s">
        <v>811</v>
      </c>
      <c r="B74" s="1659">
        <v>2000</v>
      </c>
      <c r="C74" s="1660">
        <f ca="1">SUM(C42,C47,C53,C57,C65,C72,C73)</f>
        <v>281155</v>
      </c>
      <c r="D74" s="1660">
        <f t="shared" ref="D74:K74" ca="1" si="10">SUM(D42,D47,D53,D57,D65,D72,D73)</f>
        <v>24436</v>
      </c>
      <c r="E74" s="1660">
        <f t="shared" ca="1" si="10"/>
        <v>81160</v>
      </c>
      <c r="F74" s="1660">
        <f t="shared" ca="1" si="10"/>
        <v>137374</v>
      </c>
      <c r="G74" s="1660">
        <f t="shared" ca="1" si="10"/>
        <v>5430</v>
      </c>
      <c r="H74" s="1660">
        <f t="shared" ca="1" si="10"/>
        <v>22198</v>
      </c>
      <c r="I74" s="1660">
        <f t="shared" ca="1" si="10"/>
        <v>0</v>
      </c>
      <c r="J74" s="1660">
        <f t="shared" ca="1" si="10"/>
        <v>0</v>
      </c>
      <c r="K74" s="1660">
        <f t="shared" ca="1" si="10"/>
        <v>551753</v>
      </c>
      <c r="L74" s="1660">
        <f>SUM(L42,L47,L53,L57,L65,L72,L73)</f>
        <v>453653</v>
      </c>
    </row>
    <row r="75" spans="1:14" s="259" customFormat="1" ht="15.75" customHeight="1" thickTop="1" thickBot="1" x14ac:dyDescent="0.25">
      <c r="A75" s="1593" t="s">
        <v>47</v>
      </c>
      <c r="B75" s="1594" t="s">
        <v>575</v>
      </c>
      <c r="C75" s="466">
        <f ca="1">ROUND(SUMIF(INDIRECT(Formulas!$B$1),"10-"&amp;LEFT($B75,3)&amp;"*-"&amp;MID(C$1,2,1)&amp;"*",INDIRECT(Formulas!$B$3)),0)</f>
        <v>0</v>
      </c>
      <c r="D75" s="466">
        <f ca="1">ROUND(SUMIF(INDIRECT(Formulas!$B$1),"10-"&amp;LEFT($B75,3)&amp;"*-"&amp;MID(D$1,2,1)&amp;"*",INDIRECT(Formulas!$B$3)),0)</f>
        <v>0</v>
      </c>
      <c r="E75" s="466">
        <f ca="1">ROUND(SUMIF(INDIRECT(Formulas!$B$1),"10-"&amp;LEFT($B75,3)&amp;"*-"&amp;MID(E$1,2,1)&amp;"*",INDIRECT(Formulas!$B$3)),0)</f>
        <v>0</v>
      </c>
      <c r="F75" s="466">
        <f ca="1">ROUND(SUMIF(INDIRECT(Formulas!$B$1),"10-"&amp;LEFT($B75,3)&amp;"*-"&amp;MID(F$1,2,1)&amp;"*",INDIRECT(Formulas!$B$3)),0)</f>
        <v>0</v>
      </c>
      <c r="G75" s="466">
        <f ca="1">ROUND(SUMIF(INDIRECT(Formulas!$B$1),"10-"&amp;LEFT($B75,3)&amp;"*-"&amp;MID(G$1,2,1)&amp;"*",INDIRECT(Formulas!$B$3)),0)</f>
        <v>0</v>
      </c>
      <c r="H75" s="466">
        <f ca="1">ROUND(SUMIF(INDIRECT(Formulas!$B$1),"10-"&amp;LEFT($B75,3)&amp;"*-"&amp;MID(H$1,2,1)&amp;"*",INDIRECT(Formulas!$B$3)),0)</f>
        <v>0</v>
      </c>
      <c r="I75" s="466">
        <f ca="1">ROUND(SUMIF(INDIRECT(Formulas!$B$1),"10-"&amp;LEFT($B75,3)&amp;"*-"&amp;MID(I$1,2,1)&amp;"*",INDIRECT(Formulas!$B$3)),0)</f>
        <v>0</v>
      </c>
      <c r="J75" s="466">
        <f ca="1">ROUND(SUMIF(INDIRECT(Formulas!$B$1),"10-"&amp;LEFT($B75,3)&amp;"*-"&amp;MID(J$1,2,1)&amp;"*",INDIRECT(Formulas!$B$3)),0)</f>
        <v>0</v>
      </c>
      <c r="K75" s="1653">
        <f ca="1">SUM(C75:J75)</f>
        <v>0</v>
      </c>
      <c r="L75" s="569">
        <v>3500</v>
      </c>
      <c r="M75" s="599"/>
      <c r="N75" s="599"/>
    </row>
    <row r="76" spans="1:14" s="619" customFormat="1" ht="15.75" customHeight="1" thickTop="1" x14ac:dyDescent="0.2">
      <c r="A76" s="1595" t="s">
        <v>365</v>
      </c>
      <c r="B76" s="1592" t="s">
        <v>860</v>
      </c>
      <c r="C76" s="604"/>
      <c r="D76" s="604"/>
      <c r="E76" s="602"/>
      <c r="F76" s="604"/>
      <c r="G76" s="604"/>
      <c r="H76" s="602"/>
      <c r="I76" s="602"/>
      <c r="J76" s="602"/>
      <c r="K76" s="602"/>
      <c r="L76" s="602"/>
      <c r="M76" s="184"/>
      <c r="N76" s="184"/>
    </row>
    <row r="77" spans="1:14" s="259" customFormat="1" ht="15.75" customHeight="1" x14ac:dyDescent="0.2">
      <c r="A77" s="607" t="s">
        <v>614</v>
      </c>
      <c r="B77" s="608"/>
      <c r="C77" s="602"/>
      <c r="D77" s="602"/>
      <c r="E77" s="609"/>
      <c r="F77" s="602"/>
      <c r="G77" s="602"/>
      <c r="H77" s="609"/>
      <c r="I77" s="602"/>
      <c r="J77" s="602"/>
      <c r="K77" s="609"/>
      <c r="L77" s="609"/>
      <c r="M77" s="599"/>
      <c r="N77" s="599"/>
    </row>
    <row r="78" spans="1:14" x14ac:dyDescent="0.2">
      <c r="A78" s="1487" t="s">
        <v>496</v>
      </c>
      <c r="B78" s="600">
        <v>4110</v>
      </c>
      <c r="C78" s="602"/>
      <c r="D78" s="602"/>
      <c r="E78" s="466">
        <f ca="1">ROUND(SUMIF(INDIRECT(Formulas!$B$1),"10-"&amp;LEFT($B78,3)&amp;"*-"&amp;MID(E$1,2,1)&amp;"*",INDIRECT(Formulas!$B$3)),0)</f>
        <v>0</v>
      </c>
      <c r="F78" s="602"/>
      <c r="G78" s="602"/>
      <c r="H78" s="466">
        <f ca="1">ROUND(SUMIF(INDIRECT(Formulas!$B$1),"10-"&amp;LEFT($B78,3)&amp;"*-"&amp;MID(H$1,2,1)&amp;"*",INDIRECT(Formulas!$B$3)),0)</f>
        <v>0</v>
      </c>
      <c r="I78" s="476"/>
      <c r="J78" s="476"/>
      <c r="K78" s="1654">
        <f t="shared" ref="K78:K83" ca="1" si="11">SUM(C78:J78)</f>
        <v>0</v>
      </c>
      <c r="L78" s="480">
        <v>0</v>
      </c>
    </row>
    <row r="79" spans="1:14" x14ac:dyDescent="0.2">
      <c r="A79" s="1487" t="s">
        <v>304</v>
      </c>
      <c r="B79" s="600">
        <v>4120</v>
      </c>
      <c r="C79" s="602"/>
      <c r="D79" s="602"/>
      <c r="E79" s="466">
        <f ca="1">ROUND(SUMIF(INDIRECT(Formulas!$B$1),"10-"&amp;LEFT($B79,3)&amp;"*-"&amp;MID(E$1,2,1)&amp;"*",INDIRECT(Formulas!$B$3)),0)</f>
        <v>34422</v>
      </c>
      <c r="F79" s="602"/>
      <c r="G79" s="602"/>
      <c r="H79" s="466">
        <f ca="1">ROUND(SUMIF(INDIRECT(Formulas!$B$1),"10-"&amp;LEFT($B79,3)&amp;"*-"&amp;MID(H$1,2,1)&amp;"*",INDIRECT(Formulas!$B$3)),0)</f>
        <v>0</v>
      </c>
      <c r="I79" s="476"/>
      <c r="J79" s="476"/>
      <c r="K79" s="1654">
        <f t="shared" ca="1" si="11"/>
        <v>34422</v>
      </c>
      <c r="L79" s="466">
        <v>20500</v>
      </c>
    </row>
    <row r="80" spans="1:14" x14ac:dyDescent="0.2">
      <c r="A80" s="1487" t="s">
        <v>305</v>
      </c>
      <c r="B80" s="600">
        <v>4130</v>
      </c>
      <c r="C80" s="602"/>
      <c r="D80" s="602"/>
      <c r="E80" s="466">
        <f ca="1">ROUND(SUMIF(INDIRECT(Formulas!$B$1),"10-"&amp;LEFT($B80,3)&amp;"*-"&amp;MID(E$1,2,1)&amp;"*",INDIRECT(Formulas!$B$3)),0)</f>
        <v>0</v>
      </c>
      <c r="F80" s="602"/>
      <c r="G80" s="602"/>
      <c r="H80" s="466">
        <f ca="1">ROUND(SUMIF(INDIRECT(Formulas!$B$1),"10-"&amp;LEFT($B80,3)&amp;"*-"&amp;MID(H$1,2,1)&amp;"*",INDIRECT(Formulas!$B$3)),0)</f>
        <v>0</v>
      </c>
      <c r="I80" s="476"/>
      <c r="J80" s="476"/>
      <c r="K80" s="1654">
        <f t="shared" ca="1" si="11"/>
        <v>0</v>
      </c>
      <c r="L80" s="466">
        <v>0</v>
      </c>
    </row>
    <row r="81" spans="1:12" x14ac:dyDescent="0.2">
      <c r="A81" s="1487" t="s">
        <v>697</v>
      </c>
      <c r="B81" s="600">
        <v>4140</v>
      </c>
      <c r="C81" s="602"/>
      <c r="D81" s="602"/>
      <c r="E81" s="466">
        <f ca="1">ROUND(SUMIF(INDIRECT(Formulas!$B$1),"10-"&amp;LEFT($B81,3)&amp;"*-"&amp;MID(E$1,2,1)&amp;"*",INDIRECT(Formulas!$B$3)),0)</f>
        <v>0</v>
      </c>
      <c r="F81" s="602"/>
      <c r="G81" s="602"/>
      <c r="H81" s="466">
        <f ca="1">ROUND(SUMIF(INDIRECT(Formulas!$B$1),"10-"&amp;LEFT($B81,3)&amp;"*-"&amp;MID(H$1,2,1)&amp;"*",INDIRECT(Formulas!$B$3)),0)</f>
        <v>0</v>
      </c>
      <c r="I81" s="476"/>
      <c r="J81" s="476"/>
      <c r="K81" s="1654">
        <f t="shared" ca="1" si="11"/>
        <v>0</v>
      </c>
      <c r="L81" s="466">
        <v>0</v>
      </c>
    </row>
    <row r="82" spans="1:12" x14ac:dyDescent="0.2">
      <c r="A82" s="1487" t="s">
        <v>86</v>
      </c>
      <c r="B82" s="600">
        <v>4170</v>
      </c>
      <c r="C82" s="602"/>
      <c r="D82" s="602"/>
      <c r="E82" s="466">
        <f ca="1">ROUND(SUMIF(INDIRECT(Formulas!$B$1),"10-"&amp;LEFT($B82,3)&amp;"*-"&amp;MID(E$1,2,1)&amp;"*",INDIRECT(Formulas!$B$3)),0)</f>
        <v>0</v>
      </c>
      <c r="F82" s="602"/>
      <c r="G82" s="602"/>
      <c r="H82" s="466">
        <f ca="1">ROUND(SUMIF(INDIRECT(Formulas!$B$1),"10-"&amp;LEFT($B82,3)&amp;"*-"&amp;MID(H$1,2,1)&amp;"*",INDIRECT(Formulas!$B$3)),0)</f>
        <v>0</v>
      </c>
      <c r="I82" s="476"/>
      <c r="J82" s="476"/>
      <c r="K82" s="1654">
        <f t="shared" ca="1" si="11"/>
        <v>0</v>
      </c>
      <c r="L82" s="466">
        <v>0</v>
      </c>
    </row>
    <row r="83" spans="1:12" x14ac:dyDescent="0.2">
      <c r="A83" s="1491" t="s">
        <v>698</v>
      </c>
      <c r="B83" s="614">
        <v>4190</v>
      </c>
      <c r="C83" s="602"/>
      <c r="D83" s="602"/>
      <c r="E83" s="466">
        <f ca="1">ROUND(SUMIF(INDIRECT(Formulas!$B$1),"10-"&amp;LEFT($B83,3)&amp;"*-"&amp;MID(E$1,2,1)&amp;"*",INDIRECT(Formulas!$B$3)),0)</f>
        <v>0</v>
      </c>
      <c r="F83" s="602"/>
      <c r="G83" s="602"/>
      <c r="H83" s="466">
        <f ca="1">ROUND(SUMIF(INDIRECT(Formulas!$B$1),"10-"&amp;LEFT($B83,3)&amp;"*-"&amp;MID(H$1,2,1)&amp;"*",INDIRECT(Formulas!$B$3)),0)</f>
        <v>0</v>
      </c>
      <c r="I83" s="476"/>
      <c r="J83" s="476"/>
      <c r="K83" s="1654">
        <f t="shared" ca="1" si="11"/>
        <v>0</v>
      </c>
      <c r="L83" s="466">
        <v>0</v>
      </c>
    </row>
    <row r="84" spans="1:12" ht="13.5" thickBot="1" x14ac:dyDescent="0.25">
      <c r="A84" s="1651" t="s">
        <v>1485</v>
      </c>
      <c r="B84" s="1661">
        <v>4100</v>
      </c>
      <c r="C84" s="602"/>
      <c r="D84" s="602"/>
      <c r="E84" s="1653">
        <f ca="1">SUM(E78:E83)</f>
        <v>34422</v>
      </c>
      <c r="F84" s="602"/>
      <c r="G84" s="602"/>
      <c r="H84" s="1653">
        <f ca="1">SUM(H78:H83)</f>
        <v>0</v>
      </c>
      <c r="I84" s="476"/>
      <c r="J84" s="476"/>
      <c r="K84" s="1653">
        <f ca="1">SUM(K78:K83)</f>
        <v>34422</v>
      </c>
      <c r="L84" s="1653">
        <f>SUM(L78:L83)</f>
        <v>20500</v>
      </c>
    </row>
    <row r="85" spans="1:12" ht="12.75" customHeight="1" thickTop="1" thickBot="1" x14ac:dyDescent="0.25">
      <c r="A85" s="1494" t="s">
        <v>255</v>
      </c>
      <c r="B85" s="620">
        <v>4210</v>
      </c>
      <c r="C85" s="602"/>
      <c r="D85" s="602"/>
      <c r="E85" s="621"/>
      <c r="F85" s="602"/>
      <c r="G85" s="602"/>
      <c r="H85" s="466">
        <f ca="1">ROUND(SUMIF(INDIRECT(Formulas!$B$1),"10-"&amp;LEFT($B85,3)&amp;"*-"&amp;MID(H$1,2,1)&amp;"*",INDIRECT(Formulas!$B$3)),0)</f>
        <v>0</v>
      </c>
      <c r="I85" s="476"/>
      <c r="J85" s="476"/>
      <c r="K85" s="1660">
        <f ca="1">H85</f>
        <v>0</v>
      </c>
      <c r="L85" s="527">
        <v>0</v>
      </c>
    </row>
    <row r="86" spans="1:12" ht="12.75" customHeight="1" thickTop="1" thickBot="1" x14ac:dyDescent="0.25">
      <c r="A86" s="1495" t="s">
        <v>699</v>
      </c>
      <c r="B86" s="622">
        <v>4220</v>
      </c>
      <c r="C86" s="602"/>
      <c r="D86" s="602"/>
      <c r="E86" s="623"/>
      <c r="F86" s="602"/>
      <c r="G86" s="602"/>
      <c r="H86" s="466">
        <f ca="1">ROUND(SUMIF(INDIRECT(Formulas!$B$1),"10-"&amp;LEFT($B86,3)&amp;"*-"&amp;MID(H$1,2,1)&amp;"*",INDIRECT(Formulas!$B$3)),0)</f>
        <v>0</v>
      </c>
      <c r="I86" s="476"/>
      <c r="J86" s="476"/>
      <c r="K86" s="1660">
        <f t="shared" ref="K86:K98" ca="1" si="12">H86</f>
        <v>0</v>
      </c>
      <c r="L86" s="527">
        <v>90000</v>
      </c>
    </row>
    <row r="87" spans="1:12" ht="14.25" thickTop="1" thickBot="1" x14ac:dyDescent="0.25">
      <c r="A87" s="1496" t="s">
        <v>700</v>
      </c>
      <c r="B87" s="624">
        <v>4230</v>
      </c>
      <c r="C87" s="602"/>
      <c r="D87" s="602"/>
      <c r="E87" s="623"/>
      <c r="F87" s="602"/>
      <c r="G87" s="602"/>
      <c r="H87" s="466">
        <f ca="1">ROUND(SUMIF(INDIRECT(Formulas!$B$1),"10-"&amp;LEFT($B87,3)&amp;"*-"&amp;MID(H$1,2,1)&amp;"*",INDIRECT(Formulas!$B$3)),0)</f>
        <v>0</v>
      </c>
      <c r="I87" s="476"/>
      <c r="J87" s="476"/>
      <c r="K87" s="1660">
        <f t="shared" ca="1" si="12"/>
        <v>0</v>
      </c>
      <c r="L87" s="527">
        <v>0</v>
      </c>
    </row>
    <row r="88" spans="1:12" ht="12.75" customHeight="1" thickTop="1" thickBot="1" x14ac:dyDescent="0.25">
      <c r="A88" s="1496" t="s">
        <v>765</v>
      </c>
      <c r="B88" s="624">
        <v>4240</v>
      </c>
      <c r="C88" s="602"/>
      <c r="D88" s="602"/>
      <c r="E88" s="623"/>
      <c r="F88" s="602"/>
      <c r="G88" s="602"/>
      <c r="H88" s="466">
        <f ca="1">ROUND(SUMIF(INDIRECT(Formulas!$B$1),"10-"&amp;LEFT($B88,3)&amp;"*-"&amp;MID(H$1,2,1)&amp;"*",INDIRECT(Formulas!$B$3)),0)</f>
        <v>0</v>
      </c>
      <c r="I88" s="476"/>
      <c r="J88" s="476"/>
      <c r="K88" s="1660">
        <f t="shared" ca="1" si="12"/>
        <v>0</v>
      </c>
      <c r="L88" s="527">
        <v>0</v>
      </c>
    </row>
    <row r="89" spans="1:12" ht="12.75" customHeight="1" thickTop="1" thickBot="1" x14ac:dyDescent="0.25">
      <c r="A89" s="1496" t="s">
        <v>701</v>
      </c>
      <c r="B89" s="624">
        <v>4270</v>
      </c>
      <c r="C89" s="602"/>
      <c r="D89" s="602"/>
      <c r="E89" s="623"/>
      <c r="F89" s="602"/>
      <c r="G89" s="602"/>
      <c r="H89" s="466">
        <f ca="1">ROUND(SUMIF(INDIRECT(Formulas!$B$1),"10-"&amp;LEFT($B89,3)&amp;"*-"&amp;MID(H$1,2,1)&amp;"*",INDIRECT(Formulas!$B$3)),0)</f>
        <v>0</v>
      </c>
      <c r="I89" s="476"/>
      <c r="J89" s="476"/>
      <c r="K89" s="1660">
        <f t="shared" ca="1" si="12"/>
        <v>0</v>
      </c>
      <c r="L89" s="527">
        <v>0</v>
      </c>
    </row>
    <row r="90" spans="1:12" ht="12.75" customHeight="1" thickTop="1" thickBot="1" x14ac:dyDescent="0.25">
      <c r="A90" s="1496" t="s">
        <v>686</v>
      </c>
      <c r="B90" s="624">
        <v>4280</v>
      </c>
      <c r="C90" s="602"/>
      <c r="D90" s="602"/>
      <c r="E90" s="623"/>
      <c r="F90" s="602"/>
      <c r="G90" s="602"/>
      <c r="H90" s="466">
        <f ca="1">ROUND(SUMIF(INDIRECT(Formulas!$B$1),"10-"&amp;LEFT($B90,3)&amp;"*-"&amp;MID(H$1,2,1)&amp;"*",INDIRECT(Formulas!$B$3)),0)</f>
        <v>0</v>
      </c>
      <c r="I90" s="476"/>
      <c r="J90" s="476"/>
      <c r="K90" s="1660">
        <f t="shared" ca="1" si="12"/>
        <v>0</v>
      </c>
      <c r="L90" s="527">
        <v>0</v>
      </c>
    </row>
    <row r="91" spans="1:12" ht="12.75" customHeight="1" thickTop="1" thickBot="1" x14ac:dyDescent="0.25">
      <c r="A91" s="1496" t="s">
        <v>687</v>
      </c>
      <c r="B91" s="624">
        <v>4290</v>
      </c>
      <c r="C91" s="602"/>
      <c r="D91" s="602"/>
      <c r="E91" s="623"/>
      <c r="F91" s="602"/>
      <c r="G91" s="602"/>
      <c r="H91" s="466">
        <f ca="1">ROUND(SUMIF(INDIRECT(Formulas!$B$1),"10-"&amp;LEFT($B91,3)&amp;"*-"&amp;MID(H$1,2,1)&amp;"*",INDIRECT(Formulas!$B$3)),0)</f>
        <v>0</v>
      </c>
      <c r="I91" s="476"/>
      <c r="J91" s="476"/>
      <c r="K91" s="1660">
        <f t="shared" ca="1" si="12"/>
        <v>0</v>
      </c>
      <c r="L91" s="527">
        <v>0</v>
      </c>
    </row>
    <row r="92" spans="1:12" ht="14.25" thickTop="1" thickBot="1" x14ac:dyDescent="0.25">
      <c r="A92" s="1663" t="s">
        <v>1560</v>
      </c>
      <c r="B92" s="1661">
        <v>4200</v>
      </c>
      <c r="C92" s="602"/>
      <c r="D92" s="602"/>
      <c r="E92" s="623"/>
      <c r="F92" s="602"/>
      <c r="G92" s="602"/>
      <c r="H92" s="1653">
        <f ca="1">SUM(H85:H91)</f>
        <v>0</v>
      </c>
      <c r="I92" s="476"/>
      <c r="J92" s="476"/>
      <c r="K92" s="1660">
        <f t="shared" ca="1" si="12"/>
        <v>0</v>
      </c>
      <c r="L92" s="1653">
        <f>SUM(L85:L91)</f>
        <v>90000</v>
      </c>
    </row>
    <row r="93" spans="1:12" ht="14.25" thickTop="1" thickBot="1" x14ac:dyDescent="0.25">
      <c r="A93" s="1495" t="s">
        <v>688</v>
      </c>
      <c r="B93" s="625">
        <v>4310</v>
      </c>
      <c r="C93" s="602"/>
      <c r="D93" s="602"/>
      <c r="E93" s="623"/>
      <c r="F93" s="602"/>
      <c r="G93" s="602"/>
      <c r="H93" s="466">
        <f ca="1">ROUND(SUMIF(INDIRECT(Formulas!$B$1),"10-"&amp;LEFT($B93,3)&amp;"*-"&amp;MID(H$1,2,1)&amp;"*",INDIRECT(Formulas!$B$3)),0)</f>
        <v>0</v>
      </c>
      <c r="I93" s="476"/>
      <c r="J93" s="476"/>
      <c r="K93" s="1660">
        <f t="shared" ca="1" si="12"/>
        <v>0</v>
      </c>
      <c r="L93" s="529">
        <v>0</v>
      </c>
    </row>
    <row r="94" spans="1:12" ht="12.75" customHeight="1" thickTop="1" thickBot="1" x14ac:dyDescent="0.25">
      <c r="A94" s="1496" t="s">
        <v>689</v>
      </c>
      <c r="B94" s="624">
        <v>4320</v>
      </c>
      <c r="C94" s="602"/>
      <c r="D94" s="602"/>
      <c r="E94" s="623"/>
      <c r="F94" s="602"/>
      <c r="G94" s="602"/>
      <c r="H94" s="466">
        <f ca="1">ROUND(SUMIF(INDIRECT(Formulas!$B$1),"10-"&amp;LEFT($B94,3)&amp;"*-"&amp;MID(H$1,2,1)&amp;"*",INDIRECT(Formulas!$B$3)),0)</f>
        <v>0</v>
      </c>
      <c r="I94" s="476"/>
      <c r="J94" s="476"/>
      <c r="K94" s="1660">
        <f t="shared" ca="1" si="12"/>
        <v>0</v>
      </c>
      <c r="L94" s="527">
        <v>0</v>
      </c>
    </row>
    <row r="95" spans="1:12" ht="15" customHeight="1" thickTop="1" thickBot="1" x14ac:dyDescent="0.25">
      <c r="A95" s="1496" t="s">
        <v>1488</v>
      </c>
      <c r="B95" s="624">
        <v>4330</v>
      </c>
      <c r="C95" s="602"/>
      <c r="D95" s="602"/>
      <c r="E95" s="623"/>
      <c r="F95" s="602"/>
      <c r="G95" s="602"/>
      <c r="H95" s="466">
        <f ca="1">ROUND(SUMIF(INDIRECT(Formulas!$B$1),"10-"&amp;LEFT($B95,3)&amp;"*-"&amp;MID(H$1,2,1)&amp;"*",INDIRECT(Formulas!$B$3)),0)</f>
        <v>0</v>
      </c>
      <c r="I95" s="476"/>
      <c r="J95" s="476"/>
      <c r="K95" s="1660">
        <f t="shared" ca="1" si="12"/>
        <v>0</v>
      </c>
      <c r="L95" s="527">
        <v>0</v>
      </c>
    </row>
    <row r="96" spans="1:12" ht="14.25" thickTop="1" thickBot="1" x14ac:dyDescent="0.25">
      <c r="A96" s="1496" t="s">
        <v>690</v>
      </c>
      <c r="B96" s="624">
        <v>4340</v>
      </c>
      <c r="C96" s="602"/>
      <c r="D96" s="602"/>
      <c r="E96" s="623"/>
      <c r="F96" s="602"/>
      <c r="G96" s="602"/>
      <c r="H96" s="466">
        <f ca="1">ROUND(SUMIF(INDIRECT(Formulas!$B$1),"10-"&amp;LEFT($B96,3)&amp;"*-"&amp;MID(H$1,2,1)&amp;"*",INDIRECT(Formulas!$B$3)),0)</f>
        <v>0</v>
      </c>
      <c r="I96" s="476"/>
      <c r="J96" s="476"/>
      <c r="K96" s="1660">
        <f t="shared" ca="1" si="12"/>
        <v>0</v>
      </c>
      <c r="L96" s="527">
        <v>0</v>
      </c>
    </row>
    <row r="97" spans="1:14" ht="12.75" customHeight="1" thickTop="1" thickBot="1" x14ac:dyDescent="0.25">
      <c r="A97" s="1496" t="s">
        <v>763</v>
      </c>
      <c r="B97" s="624">
        <v>4370</v>
      </c>
      <c r="C97" s="602"/>
      <c r="D97" s="602"/>
      <c r="E97" s="623"/>
      <c r="F97" s="602"/>
      <c r="G97" s="602"/>
      <c r="H97" s="466">
        <f ca="1">ROUND(SUMIF(INDIRECT(Formulas!$B$1),"10-"&amp;LEFT($B97,3)&amp;"*-"&amp;MID(H$1,2,1)&amp;"*",INDIRECT(Formulas!$B$3)),0)</f>
        <v>0</v>
      </c>
      <c r="I97" s="476"/>
      <c r="J97" s="476"/>
      <c r="K97" s="1660">
        <f t="shared" ca="1" si="12"/>
        <v>0</v>
      </c>
      <c r="L97" s="527">
        <v>0</v>
      </c>
    </row>
    <row r="98" spans="1:14" ht="14.25" thickTop="1" thickBot="1" x14ac:dyDescent="0.25">
      <c r="A98" s="1496" t="s">
        <v>764</v>
      </c>
      <c r="B98" s="624">
        <v>4380</v>
      </c>
      <c r="C98" s="602"/>
      <c r="D98" s="602"/>
      <c r="E98" s="627"/>
      <c r="F98" s="602"/>
      <c r="G98" s="602"/>
      <c r="H98" s="466">
        <f ca="1">ROUND(SUMIF(INDIRECT(Formulas!$B$1),"10-"&amp;LEFT($B98,3)&amp;"*-"&amp;MID(H$1,2,1)&amp;"*",INDIRECT(Formulas!$B$3)),0)</f>
        <v>0</v>
      </c>
      <c r="I98" s="476"/>
      <c r="J98" s="476"/>
      <c r="K98" s="1660">
        <f t="shared" ca="1" si="12"/>
        <v>0</v>
      </c>
      <c r="L98" s="527">
        <v>0</v>
      </c>
    </row>
    <row r="99" spans="1:14" ht="14.25" thickTop="1" thickBot="1" x14ac:dyDescent="0.25">
      <c r="A99" s="1496" t="s">
        <v>367</v>
      </c>
      <c r="B99" s="624">
        <v>4390</v>
      </c>
      <c r="C99" s="602"/>
      <c r="D99" s="602"/>
      <c r="E99" s="466">
        <f ca="1">ROUND(SUMIF(INDIRECT(Formulas!$B$1),"10-"&amp;LEFT($B99,3)&amp;"*-"&amp;MID(E$1,2,1)&amp;"*",INDIRECT(Formulas!$B$3)),0)</f>
        <v>0</v>
      </c>
      <c r="F99" s="602"/>
      <c r="G99" s="602"/>
      <c r="H99" s="466">
        <f ca="1">ROUND(SUMIF(INDIRECT(Formulas!$B$1),"10-"&amp;LEFT($B99,3)&amp;"*-"&amp;MID(H$1,2,1)&amp;"*",INDIRECT(Formulas!$B$3)),0)</f>
        <v>0</v>
      </c>
      <c r="I99" s="476"/>
      <c r="J99" s="476"/>
      <c r="K99" s="1660">
        <f ca="1">SUM(E99,H99)</f>
        <v>0</v>
      </c>
      <c r="L99" s="527">
        <v>0</v>
      </c>
    </row>
    <row r="100" spans="1:14" ht="14.25" thickTop="1" thickBot="1" x14ac:dyDescent="0.25">
      <c r="A100" s="1663" t="s">
        <v>1486</v>
      </c>
      <c r="B100" s="1664">
        <v>4300</v>
      </c>
      <c r="C100" s="602"/>
      <c r="D100" s="602"/>
      <c r="E100" s="1660">
        <f ca="1">SUM(E93:E99)</f>
        <v>0</v>
      </c>
      <c r="F100" s="602"/>
      <c r="G100" s="602"/>
      <c r="H100" s="1660">
        <f ca="1">SUM(H93:H99)</f>
        <v>0</v>
      </c>
      <c r="I100" s="476"/>
      <c r="J100" s="476"/>
      <c r="K100" s="1660">
        <f ca="1">SUM(K93:K99)</f>
        <v>0</v>
      </c>
      <c r="L100" s="1660">
        <f>SUM(L93:L99)</f>
        <v>0</v>
      </c>
    </row>
    <row r="101" spans="1:14" ht="12.75" customHeight="1" thickTop="1" thickBot="1" x14ac:dyDescent="0.25">
      <c r="A101" s="1493" t="s">
        <v>1489</v>
      </c>
      <c r="B101" s="628" t="s">
        <v>931</v>
      </c>
      <c r="C101" s="602"/>
      <c r="D101" s="602"/>
      <c r="E101" s="466">
        <f ca="1">ROUND(SUMIF(INDIRECT(Formulas!$B$1),"10-"&amp;LEFT($B101,3)&amp;"*-"&amp;MID(E$1,2,1)&amp;"*",INDIRECT(Formulas!$B$3)),0)</f>
        <v>0</v>
      </c>
      <c r="F101" s="602"/>
      <c r="G101" s="602"/>
      <c r="H101" s="466">
        <f ca="1">ROUND(SUMIF(INDIRECT(Formulas!$B$1),"10-"&amp;LEFT($B101,3)&amp;"*-"&amp;MID(H$1,2,1)&amp;"*",INDIRECT(Formulas!$B$3)),0)</f>
        <v>0</v>
      </c>
      <c r="I101" s="476"/>
      <c r="J101" s="476"/>
      <c r="K101" s="1662">
        <f ca="1">SUM(C101:J101)</f>
        <v>0</v>
      </c>
      <c r="L101" s="527">
        <v>0</v>
      </c>
    </row>
    <row r="102" spans="1:14" ht="12.75" customHeight="1" thickTop="1" thickBot="1" x14ac:dyDescent="0.25">
      <c r="A102" s="1651" t="s">
        <v>1487</v>
      </c>
      <c r="B102" s="1661">
        <v>4000</v>
      </c>
      <c r="C102" s="602"/>
      <c r="D102" s="602"/>
      <c r="E102" s="1660">
        <f ca="1">SUM(E84,E92,E100,E101)</f>
        <v>34422</v>
      </c>
      <c r="F102" s="602"/>
      <c r="G102" s="602"/>
      <c r="H102" s="1660">
        <f ca="1">SUM(H84,H92,H100,H101)</f>
        <v>0</v>
      </c>
      <c r="I102" s="476"/>
      <c r="J102" s="476"/>
      <c r="K102" s="1660">
        <f ca="1">SUM(K84,K92,K100,K101)</f>
        <v>34422</v>
      </c>
      <c r="L102" s="1660">
        <f>SUM(L84,L92,L100,L101)</f>
        <v>110500</v>
      </c>
    </row>
    <row r="103" spans="1:14" s="619" customFormat="1" ht="15.75" customHeight="1" thickTop="1" x14ac:dyDescent="0.2">
      <c r="A103" s="1595" t="s">
        <v>513</v>
      </c>
      <c r="B103" s="1592" t="s">
        <v>492</v>
      </c>
      <c r="C103" s="602"/>
      <c r="D103" s="602"/>
      <c r="E103" s="602"/>
      <c r="F103" s="602"/>
      <c r="G103" s="602"/>
      <c r="H103" s="604"/>
      <c r="I103" s="468"/>
      <c r="J103" s="468"/>
      <c r="K103" s="604"/>
      <c r="L103" s="604"/>
      <c r="M103" s="184"/>
      <c r="N103" s="184"/>
    </row>
    <row r="104" spans="1:14" s="631" customFormat="1" ht="15.75" customHeight="1" x14ac:dyDescent="0.2">
      <c r="A104" s="629" t="s">
        <v>615</v>
      </c>
      <c r="B104" s="630"/>
      <c r="C104" s="602"/>
      <c r="D104" s="602"/>
      <c r="E104" s="602"/>
      <c r="F104" s="602"/>
      <c r="G104" s="602"/>
      <c r="H104" s="609"/>
      <c r="I104" s="468"/>
      <c r="J104" s="468"/>
      <c r="K104" s="609"/>
      <c r="L104" s="609"/>
      <c r="M104" s="599"/>
      <c r="N104" s="599"/>
    </row>
    <row r="105" spans="1:14" s="583" customFormat="1" x14ac:dyDescent="0.2">
      <c r="A105" s="1487" t="s">
        <v>87</v>
      </c>
      <c r="B105" s="600">
        <v>5110</v>
      </c>
      <c r="C105" s="602"/>
      <c r="D105" s="602"/>
      <c r="E105" s="602"/>
      <c r="F105" s="602"/>
      <c r="G105" s="602"/>
      <c r="H105" s="466">
        <f ca="1">ROUND(SUMIF(INDIRECT(Formulas!$B$1),"10-"&amp;LEFT($B105,3)&amp;"*-"&amp;MID(H$1,2,1)&amp;"*",INDIRECT(Formulas!$B$3)),0)</f>
        <v>0</v>
      </c>
      <c r="I105" s="468"/>
      <c r="J105" s="468"/>
      <c r="K105" s="1654">
        <f ca="1">H105</f>
        <v>0</v>
      </c>
      <c r="L105" s="480"/>
      <c r="M105" s="210"/>
      <c r="N105" s="210"/>
    </row>
    <row r="106" spans="1:14" s="583" customFormat="1" x14ac:dyDescent="0.2">
      <c r="A106" s="1487" t="s">
        <v>88</v>
      </c>
      <c r="B106" s="600">
        <v>5120</v>
      </c>
      <c r="C106" s="602"/>
      <c r="D106" s="602"/>
      <c r="E106" s="602"/>
      <c r="F106" s="602"/>
      <c r="G106" s="602"/>
      <c r="H106" s="466">
        <f ca="1">ROUND(SUMIF(INDIRECT(Formulas!$B$1),"10-"&amp;LEFT($B106,3)&amp;"*-"&amp;MID(H$1,2,1)&amp;"*",INDIRECT(Formulas!$B$3)),0)</f>
        <v>0</v>
      </c>
      <c r="I106" s="468"/>
      <c r="J106" s="468"/>
      <c r="K106" s="1654">
        <f ca="1">H106</f>
        <v>0</v>
      </c>
      <c r="L106" s="466"/>
      <c r="M106" s="210"/>
      <c r="N106" s="210"/>
    </row>
    <row r="107" spans="1:14" s="583" customFormat="1" ht="12.75" customHeight="1" x14ac:dyDescent="0.2">
      <c r="A107" s="1487" t="s">
        <v>1170</v>
      </c>
      <c r="B107" s="600">
        <v>5130</v>
      </c>
      <c r="C107" s="602"/>
      <c r="D107" s="602"/>
      <c r="E107" s="602"/>
      <c r="F107" s="602"/>
      <c r="G107" s="602"/>
      <c r="H107" s="466">
        <f ca="1">ROUND(SUMIF(INDIRECT(Formulas!$B$1),"10-"&amp;LEFT($B107,3)&amp;"*-"&amp;MID(H$1,2,1)&amp;"*",INDIRECT(Formulas!$B$3)),0)</f>
        <v>0</v>
      </c>
      <c r="I107" s="468"/>
      <c r="J107" s="468"/>
      <c r="K107" s="1654">
        <f ca="1">H107</f>
        <v>0</v>
      </c>
      <c r="L107" s="466"/>
      <c r="M107" s="210"/>
      <c r="N107" s="210"/>
    </row>
    <row r="108" spans="1:14" s="583" customFormat="1" x14ac:dyDescent="0.2">
      <c r="A108" s="1487" t="s">
        <v>89</v>
      </c>
      <c r="B108" s="600" t="s">
        <v>589</v>
      </c>
      <c r="C108" s="602"/>
      <c r="D108" s="602"/>
      <c r="E108" s="602"/>
      <c r="F108" s="602"/>
      <c r="G108" s="602"/>
      <c r="H108" s="466">
        <f ca="1">ROUND(SUMIF(INDIRECT(Formulas!$B$1),"10-"&amp;LEFT($B108,3)&amp;"*-"&amp;MID(H$1,2,1)&amp;"*",INDIRECT(Formulas!$B$3)),0)</f>
        <v>0</v>
      </c>
      <c r="I108" s="468"/>
      <c r="J108" s="468"/>
      <c r="K108" s="1654">
        <f ca="1">H108</f>
        <v>0</v>
      </c>
      <c r="L108" s="466"/>
      <c r="M108" s="210"/>
      <c r="N108" s="210"/>
    </row>
    <row r="109" spans="1:14" s="583" customFormat="1" x14ac:dyDescent="0.2">
      <c r="A109" s="1487" t="s">
        <v>254</v>
      </c>
      <c r="B109" s="614">
        <v>5150</v>
      </c>
      <c r="C109" s="602"/>
      <c r="D109" s="602"/>
      <c r="E109" s="602"/>
      <c r="F109" s="602"/>
      <c r="G109" s="602"/>
      <c r="H109" s="466">
        <f ca="1">ROUND(SUMIF(INDIRECT(Formulas!$B$1),"10-"&amp;LEFT($B109,3)&amp;"*-"&amp;MID(H$1,2,1)&amp;"*",INDIRECT(Formulas!$B$3)),0)</f>
        <v>0</v>
      </c>
      <c r="I109" s="468"/>
      <c r="J109" s="468"/>
      <c r="K109" s="1654">
        <f ca="1">H109</f>
        <v>0</v>
      </c>
      <c r="L109" s="466"/>
      <c r="M109" s="210"/>
      <c r="N109" s="210"/>
    </row>
    <row r="110" spans="1:14" s="583" customFormat="1" ht="12.75" customHeight="1" thickBot="1" x14ac:dyDescent="0.25">
      <c r="A110" s="1651" t="s">
        <v>1102</v>
      </c>
      <c r="B110" s="1658" t="s">
        <v>718</v>
      </c>
      <c r="C110" s="602"/>
      <c r="D110" s="602"/>
      <c r="E110" s="602"/>
      <c r="F110" s="602"/>
      <c r="G110" s="602"/>
      <c r="H110" s="1653">
        <f ca="1">SUM(H105:H109)</f>
        <v>0</v>
      </c>
      <c r="I110" s="468"/>
      <c r="J110" s="468"/>
      <c r="K110" s="1653">
        <f ca="1">SUM(K105:K109)</f>
        <v>0</v>
      </c>
      <c r="L110" s="1653">
        <f>SUM(L105:L109)</f>
        <v>0</v>
      </c>
      <c r="M110" s="210"/>
      <c r="N110" s="210"/>
    </row>
    <row r="111" spans="1:14" s="583" customFormat="1" ht="12.75" customHeight="1" thickTop="1" thickBot="1" x14ac:dyDescent="0.25">
      <c r="A111" s="1497" t="s">
        <v>368</v>
      </c>
      <c r="B111" s="632" t="s">
        <v>38</v>
      </c>
      <c r="C111" s="602"/>
      <c r="D111" s="602"/>
      <c r="E111" s="602"/>
      <c r="F111" s="602"/>
      <c r="G111" s="602"/>
      <c r="H111" s="466">
        <f ca="1">ROUND(SUMIF(INDIRECT(Formulas!$B$1),"10-"&amp;LEFT($B111,3)&amp;"*-"&amp;MID(H$1,2,1)&amp;"*",INDIRECT(Formulas!$B$3)),0)</f>
        <v>0</v>
      </c>
      <c r="I111" s="468"/>
      <c r="J111" s="468"/>
      <c r="K111" s="1666">
        <f ca="1">H111</f>
        <v>0</v>
      </c>
      <c r="L111" s="529"/>
      <c r="M111" s="210"/>
      <c r="N111" s="210"/>
    </row>
    <row r="112" spans="1:14" s="583" customFormat="1" ht="12.75" customHeight="1" thickTop="1" thickBot="1" x14ac:dyDescent="0.25">
      <c r="A112" s="1651" t="s">
        <v>638</v>
      </c>
      <c r="B112" s="1652" t="s">
        <v>492</v>
      </c>
      <c r="C112" s="602"/>
      <c r="D112" s="602"/>
      <c r="E112" s="602"/>
      <c r="F112" s="602"/>
      <c r="G112" s="602"/>
      <c r="H112" s="1653">
        <f ca="1">SUM(H110:H111)</f>
        <v>0</v>
      </c>
      <c r="I112" s="468"/>
      <c r="J112" s="468"/>
      <c r="K112" s="1653">
        <f ca="1">SUM(K110:K111)</f>
        <v>0</v>
      </c>
      <c r="L112" s="1660">
        <f>SUM(L110,L111)</f>
        <v>0</v>
      </c>
      <c r="M112" s="210"/>
      <c r="N112" s="210"/>
    </row>
    <row r="113" spans="1:14" s="259" customFormat="1" ht="15.75" customHeight="1" thickTop="1" thickBot="1" x14ac:dyDescent="0.25">
      <c r="A113" s="1589" t="s">
        <v>514</v>
      </c>
      <c r="B113" s="1596" t="s">
        <v>861</v>
      </c>
      <c r="C113" s="609"/>
      <c r="D113" s="609"/>
      <c r="E113" s="602"/>
      <c r="F113" s="602"/>
      <c r="G113" s="602"/>
      <c r="H113" s="609"/>
      <c r="I113" s="468"/>
      <c r="J113" s="468"/>
      <c r="K113" s="609"/>
      <c r="L113" s="528"/>
      <c r="M113" s="599"/>
      <c r="N113" s="599"/>
    </row>
    <row r="114" spans="1:14" ht="12.75" customHeight="1" thickTop="1" thickBot="1" x14ac:dyDescent="0.25">
      <c r="A114" s="1651" t="s">
        <v>48</v>
      </c>
      <c r="B114" s="1665"/>
      <c r="C114" s="1653">
        <f ca="1">SUM(C33,C74,C75,C102,C112,C113)</f>
        <v>1042087</v>
      </c>
      <c r="D114" s="1653">
        <f t="shared" ref="D114:K114" ca="1" si="13">SUM(D33,D74,D75,D102,D112,D113)</f>
        <v>133500</v>
      </c>
      <c r="E114" s="1653">
        <f t="shared" ca="1" si="13"/>
        <v>177993</v>
      </c>
      <c r="F114" s="1653">
        <f t="shared" ca="1" si="13"/>
        <v>292300</v>
      </c>
      <c r="G114" s="1653">
        <f t="shared" ca="1" si="13"/>
        <v>7766</v>
      </c>
      <c r="H114" s="1653">
        <f ca="1">SUM(H33,H74,H75,H102,H112,H113)</f>
        <v>103251</v>
      </c>
      <c r="I114" s="1653">
        <f t="shared" ca="1" si="13"/>
        <v>0</v>
      </c>
      <c r="J114" s="1653">
        <f t="shared" ca="1" si="13"/>
        <v>0</v>
      </c>
      <c r="K114" s="1653">
        <f t="shared" ca="1" si="13"/>
        <v>1756897</v>
      </c>
      <c r="L114" s="1653">
        <f>SUM(L33,L74,L75,L102,L112,L113)</f>
        <v>1609619</v>
      </c>
    </row>
    <row r="115" spans="1:14" ht="13.5" thickTop="1" x14ac:dyDescent="0.2">
      <c r="A115" s="2217" t="s">
        <v>996</v>
      </c>
      <c r="B115" s="2218"/>
      <c r="C115" s="604"/>
      <c r="D115" s="604"/>
      <c r="E115" s="604"/>
      <c r="F115" s="604"/>
      <c r="G115" s="604"/>
      <c r="H115" s="604"/>
      <c r="I115" s="604"/>
      <c r="J115" s="604"/>
      <c r="K115" s="1667">
        <f ca="1">'Revenues 9-14'!C268-'Expenditures 15-22'!K114</f>
        <v>-87742</v>
      </c>
      <c r="L115" s="604"/>
    </row>
    <row r="116" spans="1:14" s="180" customFormat="1" ht="9" customHeight="1" x14ac:dyDescent="0.2">
      <c r="A116" s="633"/>
      <c r="B116" s="634"/>
      <c r="C116" s="635"/>
      <c r="D116" s="635"/>
      <c r="E116" s="635"/>
      <c r="F116" s="635"/>
      <c r="G116" s="635"/>
      <c r="H116" s="635"/>
      <c r="I116" s="635"/>
      <c r="J116" s="635"/>
      <c r="K116" s="635"/>
      <c r="L116" s="635"/>
      <c r="M116" s="210"/>
      <c r="N116" s="210"/>
    </row>
    <row r="117" spans="1:14" s="636" customFormat="1" ht="16.7" customHeight="1" x14ac:dyDescent="0.2">
      <c r="A117" s="2222" t="s">
        <v>296</v>
      </c>
      <c r="B117" s="2223"/>
      <c r="C117" s="1609"/>
      <c r="D117" s="1610"/>
      <c r="E117" s="1610"/>
      <c r="F117" s="1610"/>
      <c r="G117" s="1610"/>
      <c r="H117" s="1610"/>
      <c r="I117" s="1610"/>
      <c r="J117" s="1610"/>
      <c r="K117" s="1610"/>
      <c r="L117" s="1611"/>
      <c r="M117" s="175"/>
      <c r="N117" s="175"/>
    </row>
    <row r="118" spans="1:14" ht="15.75" customHeight="1" x14ac:dyDescent="0.2">
      <c r="A118" s="1597" t="s">
        <v>1035</v>
      </c>
      <c r="B118" s="1598" t="s">
        <v>569</v>
      </c>
      <c r="C118" s="602"/>
      <c r="D118" s="602"/>
      <c r="E118" s="602"/>
      <c r="F118" s="602"/>
      <c r="G118" s="602"/>
      <c r="H118" s="602"/>
      <c r="I118" s="602"/>
      <c r="J118" s="602"/>
      <c r="K118" s="602"/>
      <c r="L118" s="602"/>
    </row>
    <row r="119" spans="1:14" ht="15.75" customHeight="1" x14ac:dyDescent="0.2">
      <c r="A119" s="637" t="s">
        <v>591</v>
      </c>
      <c r="B119" s="608"/>
      <c r="C119" s="609"/>
      <c r="D119" s="609"/>
      <c r="E119" s="609"/>
      <c r="F119" s="602"/>
      <c r="G119" s="602"/>
      <c r="H119" s="609"/>
      <c r="I119" s="602"/>
      <c r="J119" s="602"/>
      <c r="K119" s="609"/>
      <c r="L119" s="609"/>
    </row>
    <row r="120" spans="1:14" ht="12.75" customHeight="1" x14ac:dyDescent="0.2">
      <c r="A120" s="1491" t="s">
        <v>2059</v>
      </c>
      <c r="B120" s="614" t="s">
        <v>716</v>
      </c>
      <c r="C120" s="466">
        <f ca="1">ROUND(SUMIF(INDIRECT(Formulas!$B$1),"20-"&amp;LEFT($B120,3)&amp;"*-"&amp;MID(C$1,2,1)&amp;"*",INDIRECT(Formulas!$B$3)),0)</f>
        <v>0</v>
      </c>
      <c r="D120" s="466">
        <f ca="1">ROUND(SUMIF(INDIRECT(Formulas!$B$1),"20-"&amp;LEFT($B120,3)&amp;"*-"&amp;MID(D$1,2,1)&amp;"*",INDIRECT(Formulas!$B$3)),0)</f>
        <v>0</v>
      </c>
      <c r="E120" s="466">
        <f ca="1">ROUND(SUMIF(INDIRECT(Formulas!$B$1),"20-"&amp;LEFT($B120,3)&amp;"*-"&amp;MID(E$1,2,1)&amp;"*",INDIRECT(Formulas!$B$3)),0)</f>
        <v>0</v>
      </c>
      <c r="F120" s="466">
        <f ca="1">ROUND(SUMIF(INDIRECT(Formulas!$B$1),"20-"&amp;LEFT($B120,3)&amp;"*-"&amp;MID(F$1,2,1)&amp;"*",INDIRECT(Formulas!$B$3)),0)</f>
        <v>0</v>
      </c>
      <c r="G120" s="466">
        <f ca="1">ROUND(SUMIF(INDIRECT(Formulas!$B$1),"20-"&amp;LEFT($B120,3)&amp;"*-"&amp;MID(G$1,2,1)&amp;"*",INDIRECT(Formulas!$B$3)),0)</f>
        <v>0</v>
      </c>
      <c r="H120" s="466">
        <f ca="1">ROUND(SUMIF(INDIRECT(Formulas!$B$1),"20-"&amp;LEFT($B120,3)&amp;"*-"&amp;MID(H$1,2,1)&amp;"*",INDIRECT(Formulas!$B$3)),0)</f>
        <v>0</v>
      </c>
      <c r="I120" s="466">
        <f ca="1">ROUND(SUMIF(INDIRECT(Formulas!$B$1),"20-"&amp;LEFT($B120,3)&amp;"*-"&amp;MID(I$1,2,1)&amp;"*",INDIRECT(Formulas!$B$3)),0)</f>
        <v>0</v>
      </c>
      <c r="J120" s="466">
        <f ca="1">ROUND(SUMIF(INDIRECT(Formulas!$B$1),"20-"&amp;LEFT($B120,3)&amp;"*-"&amp;MID(J$1,2,1)&amp;"*",INDIRECT(Formulas!$B$3)),0)</f>
        <v>0</v>
      </c>
      <c r="K120" s="1654">
        <f ca="1">SUM(C120:J120)</f>
        <v>0</v>
      </c>
      <c r="L120" s="466">
        <v>0</v>
      </c>
    </row>
    <row r="121" spans="1:14" ht="15.75" customHeight="1" x14ac:dyDescent="0.2">
      <c r="A121" s="638" t="s">
        <v>612</v>
      </c>
      <c r="B121" s="608"/>
      <c r="C121" s="518"/>
      <c r="D121" s="518"/>
      <c r="E121" s="518"/>
      <c r="F121" s="518"/>
      <c r="G121" s="518"/>
      <c r="H121" s="518"/>
      <c r="I121" s="602"/>
      <c r="J121" s="602"/>
      <c r="K121" s="609"/>
      <c r="L121" s="518"/>
    </row>
    <row r="122" spans="1:14" ht="13.5" thickBot="1" x14ac:dyDescent="0.25">
      <c r="A122" s="1487" t="s">
        <v>1068</v>
      </c>
      <c r="B122" s="600">
        <v>2510</v>
      </c>
      <c r="C122" s="466">
        <f ca="1">ROUND(SUMIF(INDIRECT(Formulas!$B$1),"20-"&amp;LEFT($B122,3)&amp;"*-"&amp;MID(C$1,2,1)&amp;"*",INDIRECT(Formulas!$B$3)),0)</f>
        <v>0</v>
      </c>
      <c r="D122" s="466">
        <f ca="1">ROUND(SUMIF(INDIRECT(Formulas!$B$1),"20-"&amp;LEFT($B122,3)&amp;"*-"&amp;MID(D$1,2,1)&amp;"*",INDIRECT(Formulas!$B$3)),0)</f>
        <v>0</v>
      </c>
      <c r="E122" s="466">
        <f ca="1">ROUND(SUMIF(INDIRECT(Formulas!$B$1),"20-"&amp;LEFT($B122,3)&amp;"*-"&amp;MID(E$1,2,1)&amp;"*",INDIRECT(Formulas!$B$3)),0)</f>
        <v>2966</v>
      </c>
      <c r="F122" s="466">
        <f ca="1">ROUND(SUMIF(INDIRECT(Formulas!$B$1),"20-"&amp;LEFT($B122,3)&amp;"*-"&amp;MID(F$1,2,1)&amp;"*",INDIRECT(Formulas!$B$3)),0)</f>
        <v>0</v>
      </c>
      <c r="G122" s="466">
        <f ca="1">ROUND(SUMIF(INDIRECT(Formulas!$B$1),"20-"&amp;LEFT($B122,3)&amp;"*-"&amp;MID(G$1,2,1)&amp;"*",INDIRECT(Formulas!$B$3)),0)</f>
        <v>0</v>
      </c>
      <c r="H122" s="466">
        <f ca="1">ROUND(SUMIF(INDIRECT(Formulas!$B$1),"20-"&amp;LEFT($B122,3)&amp;"*-"&amp;MID(H$1,2,1)&amp;"*",INDIRECT(Formulas!$B$3)),0)</f>
        <v>0</v>
      </c>
      <c r="I122" s="466">
        <f ca="1">ROUND(SUMIF(INDIRECT(Formulas!$B$1),"20-"&amp;LEFT($B122,3)&amp;"*-"&amp;MID(I$1,2,1)&amp;"*",INDIRECT(Formulas!$B$3)),0)</f>
        <v>0</v>
      </c>
      <c r="J122" s="466">
        <f ca="1">ROUND(SUMIF(INDIRECT(Formulas!$B$1),"20-"&amp;LEFT($B122,3)&amp;"*-"&amp;MID(J$1,2,1)&amp;"*",INDIRECT(Formulas!$B$3)),0)</f>
        <v>0</v>
      </c>
      <c r="K122" s="1653">
        <f ca="1">SUM(C122:J122)</f>
        <v>2966</v>
      </c>
      <c r="L122" s="466">
        <v>0</v>
      </c>
    </row>
    <row r="123" spans="1:14" ht="14.25" thickTop="1" thickBot="1" x14ac:dyDescent="0.25">
      <c r="A123" s="1487" t="s">
        <v>4</v>
      </c>
      <c r="B123" s="600">
        <v>2530</v>
      </c>
      <c r="C123" s="466">
        <f ca="1">ROUND(SUMIF(INDIRECT(Formulas!$B$1),"20-"&amp;LEFT($B123,3)&amp;"*-"&amp;MID(C$1,2,1)&amp;"*",INDIRECT(Formulas!$B$3)),0)</f>
        <v>0</v>
      </c>
      <c r="D123" s="466">
        <f ca="1">ROUND(SUMIF(INDIRECT(Formulas!$B$1),"20-"&amp;LEFT($B123,3)&amp;"*-"&amp;MID(D$1,2,1)&amp;"*",INDIRECT(Formulas!$B$3)),0)</f>
        <v>0</v>
      </c>
      <c r="E123" s="466">
        <f ca="1">ROUND(SUMIF(INDIRECT(Formulas!$B$1),"20-"&amp;LEFT($B123,3)&amp;"*-"&amp;MID(E$1,2,1)&amp;"*",INDIRECT(Formulas!$B$3)),0)</f>
        <v>454</v>
      </c>
      <c r="F123" s="466">
        <f ca="1">ROUND(SUMIF(INDIRECT(Formulas!$B$1),"20-"&amp;LEFT($B123,3)&amp;"*-"&amp;MID(F$1,2,1)&amp;"*",INDIRECT(Formulas!$B$3)),0)</f>
        <v>1113</v>
      </c>
      <c r="G123" s="466">
        <f ca="1">ROUND(SUMIF(INDIRECT(Formulas!$B$1),"20-"&amp;LEFT($B123,3)&amp;"*-"&amp;MID(G$1,2,1)&amp;"*",INDIRECT(Formulas!$B$3)),0)</f>
        <v>0</v>
      </c>
      <c r="H123" s="466">
        <f ca="1">ROUND(SUMIF(INDIRECT(Formulas!$B$1),"20-"&amp;LEFT($B123,3)&amp;"*-"&amp;MID(H$1,2,1)&amp;"*",INDIRECT(Formulas!$B$3)),0)</f>
        <v>0</v>
      </c>
      <c r="I123" s="466">
        <f ca="1">ROUND(SUMIF(INDIRECT(Formulas!$B$1),"20-"&amp;LEFT($B123,3)&amp;"*-"&amp;MID(I$1,2,1)&amp;"*",INDIRECT(Formulas!$B$3)),0)</f>
        <v>0</v>
      </c>
      <c r="J123" s="466">
        <f ca="1">ROUND(SUMIF(INDIRECT(Formulas!$B$1),"20-"&amp;LEFT($B123,3)&amp;"*-"&amp;MID(J$1,2,1)&amp;"*",INDIRECT(Formulas!$B$3)),0)</f>
        <v>0</v>
      </c>
      <c r="K123" s="1653">
        <f ca="1">SUM(C123:J123)</f>
        <v>1567</v>
      </c>
      <c r="L123" s="466">
        <v>25000</v>
      </c>
    </row>
    <row r="124" spans="1:14" ht="14.25" thickTop="1" thickBot="1" x14ac:dyDescent="0.25">
      <c r="A124" s="1487" t="s">
        <v>197</v>
      </c>
      <c r="B124" s="600">
        <v>2540</v>
      </c>
      <c r="C124" s="466">
        <f ca="1">ROUND(SUMIF(INDIRECT(Formulas!$B$1),"20-"&amp;LEFT($B124,3)&amp;"*-"&amp;MID(C$1,2,1)&amp;"*",INDIRECT(Formulas!$B$3)),0)</f>
        <v>82893</v>
      </c>
      <c r="D124" s="466">
        <f ca="1">ROUND(SUMIF(INDIRECT(Formulas!$B$1),"20-"&amp;LEFT($B124,3)&amp;"*-"&amp;MID(D$1,2,1)&amp;"*",INDIRECT(Formulas!$B$3)),0)</f>
        <v>6533</v>
      </c>
      <c r="E124" s="466">
        <f ca="1">ROUND(SUMIF(INDIRECT(Formulas!$B$1),"20-"&amp;LEFT($B124,3)&amp;"*-"&amp;MID(E$1,2,1)&amp;"*",INDIRECT(Formulas!$B$3)),0)</f>
        <v>66960</v>
      </c>
      <c r="F124" s="466">
        <f ca="1">ROUND(SUMIF(INDIRECT(Formulas!$B$1),"20-"&amp;LEFT($B124,3)&amp;"*-"&amp;MID(F$1,2,1)&amp;"*",INDIRECT(Formulas!$B$3)),0)</f>
        <v>57709</v>
      </c>
      <c r="G124" s="466">
        <f ca="1">ROUND(SUMIF(INDIRECT(Formulas!$B$1),"20-"&amp;LEFT($B124,3)&amp;"*-"&amp;MID(G$1,2,1)&amp;"*",INDIRECT(Formulas!$B$3)),0)</f>
        <v>2997</v>
      </c>
      <c r="H124" s="466">
        <f ca="1">ROUND(SUMIF(INDIRECT(Formulas!$B$1),"20-"&amp;LEFT($B124,3)&amp;"*-"&amp;MID(H$1,2,1)&amp;"*",INDIRECT(Formulas!$B$3)),0)</f>
        <v>200</v>
      </c>
      <c r="I124" s="466">
        <f ca="1">ROUND(SUMIF(INDIRECT(Formulas!$B$1),"20-"&amp;LEFT($B124,3)&amp;"*-"&amp;MID(I$1,2,1)&amp;"*",INDIRECT(Formulas!$B$3)),0)</f>
        <v>0</v>
      </c>
      <c r="J124" s="466">
        <f ca="1">ROUND(SUMIF(INDIRECT(Formulas!$B$1),"20-"&amp;LEFT($B124,3)&amp;"*-"&amp;MID(J$1,2,1)&amp;"*",INDIRECT(Formulas!$B$3)),0)</f>
        <v>0</v>
      </c>
      <c r="K124" s="1653">
        <f ca="1">SUM(C124:J124)</f>
        <v>217292</v>
      </c>
      <c r="L124" s="466">
        <v>202924</v>
      </c>
    </row>
    <row r="125" spans="1:14" ht="14.25" thickTop="1" thickBot="1" x14ac:dyDescent="0.25">
      <c r="A125" s="1487" t="s">
        <v>953</v>
      </c>
      <c r="B125" s="600">
        <v>2550</v>
      </c>
      <c r="C125" s="466">
        <f ca="1">ROUND(SUMIF(INDIRECT(Formulas!$B$1),"20-"&amp;LEFT($B125,3)&amp;"*-"&amp;MID(C$1,2,1)&amp;"*",INDIRECT(Formulas!$B$3)),0)</f>
        <v>0</v>
      </c>
      <c r="D125" s="466">
        <f ca="1">ROUND(SUMIF(INDIRECT(Formulas!$B$1),"20-"&amp;LEFT($B125,3)&amp;"*-"&amp;MID(D$1,2,1)&amp;"*",INDIRECT(Formulas!$B$3)),0)</f>
        <v>0</v>
      </c>
      <c r="E125" s="466">
        <f ca="1">ROUND(SUMIF(INDIRECT(Formulas!$B$1),"20-"&amp;LEFT($B125,3)&amp;"*-"&amp;MID(E$1,2,1)&amp;"*",INDIRECT(Formulas!$B$3)),0)</f>
        <v>32</v>
      </c>
      <c r="F125" s="466">
        <f ca="1">ROUND(SUMIF(INDIRECT(Formulas!$B$1),"20-"&amp;LEFT($B125,3)&amp;"*-"&amp;MID(F$1,2,1)&amp;"*",INDIRECT(Formulas!$B$3)),0)</f>
        <v>0</v>
      </c>
      <c r="G125" s="466">
        <f ca="1">ROUND(SUMIF(INDIRECT(Formulas!$B$1),"20-"&amp;LEFT($B125,3)&amp;"*-"&amp;MID(G$1,2,1)&amp;"*",INDIRECT(Formulas!$B$3)),0)</f>
        <v>0</v>
      </c>
      <c r="H125" s="466">
        <f ca="1">ROUND(SUMIF(INDIRECT(Formulas!$B$1),"20-"&amp;LEFT($B125,3)&amp;"*-"&amp;MID(H$1,2,1)&amp;"*",INDIRECT(Formulas!$B$3)),0)</f>
        <v>0</v>
      </c>
      <c r="I125" s="466">
        <f ca="1">ROUND(SUMIF(INDIRECT(Formulas!$B$1),"20-"&amp;LEFT($B125,3)&amp;"*-"&amp;MID(I$1,2,1)&amp;"*",INDIRECT(Formulas!$B$3)),0)</f>
        <v>0</v>
      </c>
      <c r="J125" s="466">
        <f ca="1">ROUND(SUMIF(INDIRECT(Formulas!$B$1),"20-"&amp;LEFT($B125,3)&amp;"*-"&amp;MID(J$1,2,1)&amp;"*",INDIRECT(Formulas!$B$3)),0)</f>
        <v>0</v>
      </c>
      <c r="K125" s="1653">
        <f ca="1">SUM(C125:J125)</f>
        <v>32</v>
      </c>
      <c r="L125" s="466">
        <v>0</v>
      </c>
    </row>
    <row r="126" spans="1:14" ht="14.25" thickTop="1" thickBot="1" x14ac:dyDescent="0.25">
      <c r="A126" s="1487" t="s">
        <v>100</v>
      </c>
      <c r="B126" s="600">
        <v>2560</v>
      </c>
      <c r="C126" s="639"/>
      <c r="D126" s="639"/>
      <c r="E126" s="639"/>
      <c r="F126" s="639"/>
      <c r="G126" s="466">
        <f ca="1">ROUND(SUMIF(INDIRECT(Formulas!$B$1),"20-"&amp;LEFT($B126,3)&amp;"*-"&amp;MID(G$1,2,1)&amp;"*",INDIRECT(Formulas!$B$3)),0)</f>
        <v>0</v>
      </c>
      <c r="H126" s="639"/>
      <c r="I126" s="466">
        <f ca="1">ROUND(SUMIF(INDIRECT(Formulas!$B$1),"20-"&amp;LEFT($B126,3)&amp;"*-"&amp;MID(I$1,2,1)&amp;"*",INDIRECT(Formulas!$B$3)),0)</f>
        <v>0</v>
      </c>
      <c r="J126" s="602"/>
      <c r="K126" s="1653">
        <f ca="1">SUM(C126:J126)</f>
        <v>0</v>
      </c>
      <c r="L126" s="466">
        <v>0</v>
      </c>
    </row>
    <row r="127" spans="1:14" ht="12.75" customHeight="1" thickTop="1" thickBot="1" x14ac:dyDescent="0.25">
      <c r="A127" s="1651" t="s">
        <v>719</v>
      </c>
      <c r="B127" s="1652" t="s">
        <v>35</v>
      </c>
      <c r="C127" s="1653">
        <f ca="1">SUM(C122:C126)</f>
        <v>82893</v>
      </c>
      <c r="D127" s="1653">
        <f t="shared" ref="D127:L127" ca="1" si="14">SUM(D122:D126)</f>
        <v>6533</v>
      </c>
      <c r="E127" s="1653">
        <f t="shared" ca="1" si="14"/>
        <v>70412</v>
      </c>
      <c r="F127" s="1653">
        <f t="shared" ca="1" si="14"/>
        <v>58822</v>
      </c>
      <c r="G127" s="1653">
        <f t="shared" ca="1" si="14"/>
        <v>2997</v>
      </c>
      <c r="H127" s="1653">
        <f t="shared" ca="1" si="14"/>
        <v>200</v>
      </c>
      <c r="I127" s="1653">
        <f t="shared" ca="1" si="14"/>
        <v>0</v>
      </c>
      <c r="J127" s="1653">
        <f t="shared" ca="1" si="14"/>
        <v>0</v>
      </c>
      <c r="K127" s="1653">
        <f t="shared" ca="1" si="14"/>
        <v>221857</v>
      </c>
      <c r="L127" s="1653">
        <f t="shared" si="14"/>
        <v>227924</v>
      </c>
    </row>
    <row r="128" spans="1:14" ht="12.75" customHeight="1" thickTop="1" x14ac:dyDescent="0.2">
      <c r="A128" s="1494" t="s">
        <v>980</v>
      </c>
      <c r="B128" s="640" t="s">
        <v>574</v>
      </c>
      <c r="C128" s="466">
        <f ca="1">ROUND(SUMIF(INDIRECT(Formulas!$B$1),"20-"&amp;LEFT($B128,3)&amp;"*-"&amp;MID(C$1,2,1)&amp;"*",INDIRECT(Formulas!$B$3)),0)</f>
        <v>0</v>
      </c>
      <c r="D128" s="466">
        <f ca="1">ROUND(SUMIF(INDIRECT(Formulas!$B$1),"20-"&amp;LEFT($B128,3)&amp;"*-"&amp;MID(D$1,2,1)&amp;"*",INDIRECT(Formulas!$B$3)),0)</f>
        <v>0</v>
      </c>
      <c r="E128" s="466">
        <f ca="1">ROUND(SUMIF(INDIRECT(Formulas!$B$1),"20-"&amp;LEFT($B128,3)&amp;"*-"&amp;MID(E$1,2,1)&amp;"*",INDIRECT(Formulas!$B$3)),0)</f>
        <v>0</v>
      </c>
      <c r="F128" s="466">
        <f ca="1">ROUND(SUMIF(INDIRECT(Formulas!$B$1),"20-"&amp;LEFT($B128,3)&amp;"*-"&amp;MID(F$1,2,1)&amp;"*",INDIRECT(Formulas!$B$3)),0)</f>
        <v>0</v>
      </c>
      <c r="G128" s="466">
        <f ca="1">ROUND(SUMIF(INDIRECT(Formulas!$B$1),"20-"&amp;LEFT($B128,3)&amp;"*-"&amp;MID(G$1,2,1)&amp;"*",INDIRECT(Formulas!$B$3)),0)</f>
        <v>0</v>
      </c>
      <c r="H128" s="466">
        <f ca="1">ROUND(SUMIF(INDIRECT(Formulas!$B$1),"20-"&amp;LEFT($B128,3)&amp;"*-"&amp;MID(H$1,2,1)&amp;"*",INDIRECT(Formulas!$B$3)),0)</f>
        <v>0</v>
      </c>
      <c r="I128" s="466">
        <f ca="1">ROUND(SUMIF(INDIRECT(Formulas!$B$1),"20-"&amp;LEFT($B128,3)&amp;"*-"&amp;MID(I$1,2,1)&amp;"*",INDIRECT(Formulas!$B$3)),0)</f>
        <v>0</v>
      </c>
      <c r="J128" s="466">
        <f ca="1">ROUND(SUMIF(INDIRECT(Formulas!$B$1),"20-"&amp;LEFT($B128,3)&amp;"*-"&amp;MID(J$1,2,1)&amp;"*",INDIRECT(Formulas!$B$3)),0)</f>
        <v>0</v>
      </c>
      <c r="K128" s="1668">
        <f ca="1">SUM(C128:J128)</f>
        <v>0</v>
      </c>
      <c r="L128" s="641">
        <v>0</v>
      </c>
    </row>
    <row r="129" spans="1:14" ht="12.75" customHeight="1" thickBot="1" x14ac:dyDescent="0.25">
      <c r="A129" s="1669" t="s">
        <v>811</v>
      </c>
      <c r="B129" s="1670" t="s">
        <v>569</v>
      </c>
      <c r="C129" s="1660">
        <f ca="1">SUM(C120,C127,C128)</f>
        <v>82893</v>
      </c>
      <c r="D129" s="1660">
        <f t="shared" ref="D129:L129" ca="1" si="15">SUM(D120,D127,D128)</f>
        <v>6533</v>
      </c>
      <c r="E129" s="1660">
        <f t="shared" ca="1" si="15"/>
        <v>70412</v>
      </c>
      <c r="F129" s="1660">
        <f t="shared" ca="1" si="15"/>
        <v>58822</v>
      </c>
      <c r="G129" s="1660">
        <f t="shared" ca="1" si="15"/>
        <v>2997</v>
      </c>
      <c r="H129" s="1660">
        <f t="shared" ca="1" si="15"/>
        <v>200</v>
      </c>
      <c r="I129" s="1660">
        <f t="shared" ca="1" si="15"/>
        <v>0</v>
      </c>
      <c r="J129" s="1660">
        <f t="shared" ca="1" si="15"/>
        <v>0</v>
      </c>
      <c r="K129" s="1660">
        <f t="shared" ca="1" si="15"/>
        <v>221857</v>
      </c>
      <c r="L129" s="1660">
        <f t="shared" si="15"/>
        <v>227924</v>
      </c>
    </row>
    <row r="130" spans="1:14" ht="15.75" customHeight="1" thickTop="1" thickBot="1" x14ac:dyDescent="0.25">
      <c r="A130" s="1593" t="s">
        <v>1036</v>
      </c>
      <c r="B130" s="1594" t="s">
        <v>575</v>
      </c>
      <c r="C130" s="466">
        <f ca="1">ROUND(SUMIF(INDIRECT(Formulas!$B$1),"20-"&amp;LEFT($B130,3)&amp;"*-"&amp;MID(C$1,2,1)&amp;"*",INDIRECT(Formulas!$B$3)),0)</f>
        <v>19198</v>
      </c>
      <c r="D130" s="466">
        <f ca="1">ROUND(SUMIF(INDIRECT(Formulas!$B$1),"20-"&amp;LEFT($B130,3)&amp;"*-"&amp;MID(D$1,2,1)&amp;"*",INDIRECT(Formulas!$B$3)),0)</f>
        <v>0</v>
      </c>
      <c r="E130" s="466">
        <f ca="1">ROUND(SUMIF(INDIRECT(Formulas!$B$1),"20-"&amp;LEFT($B130,3)&amp;"*-"&amp;MID(E$1,2,1)&amp;"*",INDIRECT(Formulas!$B$3)),0)</f>
        <v>0</v>
      </c>
      <c r="F130" s="466">
        <f ca="1">ROUND(SUMIF(INDIRECT(Formulas!$B$1),"20-"&amp;LEFT($B130,3)&amp;"*-"&amp;MID(F$1,2,1)&amp;"*",INDIRECT(Formulas!$B$3)),0)</f>
        <v>0</v>
      </c>
      <c r="G130" s="466">
        <f ca="1">ROUND(SUMIF(INDIRECT(Formulas!$B$1),"20-"&amp;LEFT($B130,3)&amp;"*-"&amp;MID(G$1,2,1)&amp;"*",INDIRECT(Formulas!$B$3)),0)</f>
        <v>0</v>
      </c>
      <c r="H130" s="466">
        <f ca="1">ROUND(SUMIF(INDIRECT(Formulas!$B$1),"20-"&amp;LEFT($B130,3)&amp;"*-"&amp;MID(H$1,2,1)&amp;"*",INDIRECT(Formulas!$B$3)),0)</f>
        <v>0</v>
      </c>
      <c r="I130" s="466">
        <f ca="1">ROUND(SUMIF(INDIRECT(Formulas!$B$1),"20-"&amp;LEFT($B130,3)&amp;"*-"&amp;MID(I$1,2,1)&amp;"*",INDIRECT(Formulas!$B$3)),0)</f>
        <v>0</v>
      </c>
      <c r="J130" s="466">
        <f ca="1">ROUND(SUMIF(INDIRECT(Formulas!$B$1),"20-"&amp;LEFT($B130,3)&amp;"*-"&amp;MID(J$1,2,1)&amp;"*",INDIRECT(Formulas!$B$3)),0)</f>
        <v>0</v>
      </c>
      <c r="K130" s="1653">
        <f ca="1">SUM(C130:J130)</f>
        <v>19198</v>
      </c>
      <c r="L130" s="569">
        <v>20000</v>
      </c>
    </row>
    <row r="131" spans="1:14" ht="15.75" customHeight="1" thickTop="1" x14ac:dyDescent="0.2">
      <c r="A131" s="1599" t="s">
        <v>616</v>
      </c>
      <c r="B131" s="1592" t="s">
        <v>860</v>
      </c>
      <c r="C131" s="468"/>
      <c r="D131" s="468"/>
      <c r="E131" s="560"/>
      <c r="F131" s="468"/>
      <c r="G131" s="468"/>
      <c r="H131" s="560"/>
      <c r="I131" s="468"/>
      <c r="J131" s="468"/>
      <c r="K131" s="560"/>
      <c r="L131" s="560"/>
    </row>
    <row r="132" spans="1:14" s="384" customFormat="1" ht="13.5" customHeight="1" x14ac:dyDescent="0.2">
      <c r="A132" s="642" t="s">
        <v>614</v>
      </c>
      <c r="B132" s="643"/>
      <c r="C132" s="468"/>
      <c r="D132" s="468"/>
      <c r="E132" s="518"/>
      <c r="F132" s="468"/>
      <c r="G132" s="468"/>
      <c r="H132" s="518"/>
      <c r="I132" s="468"/>
      <c r="J132" s="468"/>
      <c r="K132" s="518"/>
      <c r="L132" s="518"/>
      <c r="M132" s="206"/>
      <c r="N132" s="206"/>
    </row>
    <row r="133" spans="1:14" s="384" customFormat="1" ht="13.5" customHeight="1" x14ac:dyDescent="0.2">
      <c r="A133" s="1473" t="s">
        <v>496</v>
      </c>
      <c r="B133" s="1824" t="s">
        <v>1844</v>
      </c>
      <c r="C133" s="468"/>
      <c r="D133" s="468"/>
      <c r="E133" s="466">
        <f ca="1">ROUND(SUMIF(INDIRECT(Formulas!$B$1),"20-"&amp;LEFT($B133,3)&amp;"*-"&amp;MID(E$1,2,1)&amp;"*",INDIRECT(Formulas!$B$3)),0)</f>
        <v>0</v>
      </c>
      <c r="F133" s="468"/>
      <c r="G133" s="468"/>
      <c r="H133" s="466">
        <f ca="1">ROUND(SUMIF(INDIRECT(Formulas!$B$1),"20-"&amp;LEFT($B133,3)&amp;"*-"&amp;MID(H$1,2,1)&amp;"*",INDIRECT(Formulas!$B$3)),0)</f>
        <v>0</v>
      </c>
      <c r="I133" s="468"/>
      <c r="J133" s="468"/>
      <c r="K133" s="1804">
        <f ca="1">SUM(E133,H133)</f>
        <v>0</v>
      </c>
      <c r="L133" s="626">
        <v>0</v>
      </c>
      <c r="M133" s="206"/>
      <c r="N133" s="206"/>
    </row>
    <row r="134" spans="1:14" x14ac:dyDescent="0.2">
      <c r="A134" s="1487" t="s">
        <v>304</v>
      </c>
      <c r="B134" s="600">
        <v>4120</v>
      </c>
      <c r="C134" s="602"/>
      <c r="D134" s="602"/>
      <c r="E134" s="466">
        <f ca="1">ROUND(SUMIF(INDIRECT(Formulas!$B$1),"20-"&amp;LEFT($B134,3)&amp;"*-"&amp;MID(E$1,2,1)&amp;"*",INDIRECT(Formulas!$B$3)),0)</f>
        <v>0</v>
      </c>
      <c r="F134" s="602"/>
      <c r="G134" s="602"/>
      <c r="H134" s="466">
        <f ca="1">ROUND(SUMIF(INDIRECT(Formulas!$B$1),"20-"&amp;LEFT($B134,3)&amp;"*-"&amp;MID(H$1,2,1)&amp;"*",INDIRECT(Formulas!$B$3)),0)</f>
        <v>0</v>
      </c>
      <c r="I134" s="476"/>
      <c r="J134" s="602"/>
      <c r="K134" s="1655">
        <f ca="1">SUM(E134,H134)</f>
        <v>0</v>
      </c>
      <c r="L134" s="480">
        <v>0</v>
      </c>
    </row>
    <row r="135" spans="1:14" x14ac:dyDescent="0.2">
      <c r="A135" s="1487" t="s">
        <v>697</v>
      </c>
      <c r="B135" s="600">
        <v>4140</v>
      </c>
      <c r="C135" s="602"/>
      <c r="D135" s="602"/>
      <c r="E135" s="466">
        <f ca="1">ROUND(SUMIF(INDIRECT(Formulas!$B$1),"20-"&amp;LEFT($B135,3)&amp;"*-"&amp;MID(E$1,2,1)&amp;"*",INDIRECT(Formulas!$B$3)),0)</f>
        <v>0</v>
      </c>
      <c r="F135" s="602"/>
      <c r="G135" s="602"/>
      <c r="H135" s="466">
        <f ca="1">ROUND(SUMIF(INDIRECT(Formulas!$B$1),"20-"&amp;LEFT($B135,3)&amp;"*-"&amp;MID(H$1,2,1)&amp;"*",INDIRECT(Formulas!$B$3)),0)</f>
        <v>0</v>
      </c>
      <c r="I135" s="476"/>
      <c r="J135" s="602"/>
      <c r="K135" s="1655">
        <f ca="1">SUM(E135,H135)</f>
        <v>0</v>
      </c>
      <c r="L135" s="466">
        <v>0</v>
      </c>
    </row>
    <row r="136" spans="1:14" x14ac:dyDescent="0.2">
      <c r="A136" s="1491" t="s">
        <v>698</v>
      </c>
      <c r="B136" s="614">
        <v>4190</v>
      </c>
      <c r="C136" s="602"/>
      <c r="D136" s="602"/>
      <c r="E136" s="466">
        <f ca="1">ROUND(SUMIF(INDIRECT(Formulas!$B$1),"20-"&amp;LEFT($B136,3)&amp;"*-"&amp;MID(E$1,2,1)&amp;"*",INDIRECT(Formulas!$B$3)),0)</f>
        <v>0</v>
      </c>
      <c r="F136" s="602"/>
      <c r="G136" s="602"/>
      <c r="H136" s="466">
        <f ca="1">ROUND(SUMIF(INDIRECT(Formulas!$B$1),"20-"&amp;LEFT($B136,3)&amp;"*-"&amp;MID(H$1,2,1)&amp;"*",INDIRECT(Formulas!$B$3)),0)</f>
        <v>0</v>
      </c>
      <c r="I136" s="476"/>
      <c r="J136" s="602"/>
      <c r="K136" s="1655">
        <f ca="1">SUM(E136,H136)</f>
        <v>0</v>
      </c>
      <c r="L136" s="466">
        <v>0</v>
      </c>
    </row>
    <row r="137" spans="1:14" ht="12.75" customHeight="1" thickBot="1" x14ac:dyDescent="0.25">
      <c r="A137" s="1651" t="s">
        <v>480</v>
      </c>
      <c r="B137" s="1661">
        <v>4100</v>
      </c>
      <c r="C137" s="602"/>
      <c r="D137" s="602"/>
      <c r="E137" s="1653">
        <f ca="1">SUM(E133:E136)</f>
        <v>0</v>
      </c>
      <c r="F137" s="602"/>
      <c r="G137" s="602"/>
      <c r="H137" s="1653">
        <f ca="1">SUM(H133:H136)</f>
        <v>0</v>
      </c>
      <c r="I137" s="476"/>
      <c r="J137" s="602"/>
      <c r="K137" s="1653">
        <f ca="1">SUM(K133:K136)</f>
        <v>0</v>
      </c>
      <c r="L137" s="1653">
        <f>SUM(L133:L136)</f>
        <v>0</v>
      </c>
    </row>
    <row r="138" spans="1:14" ht="12.75" customHeight="1" thickTop="1" thickBot="1" x14ac:dyDescent="0.25">
      <c r="A138" s="1493" t="s">
        <v>96</v>
      </c>
      <c r="B138" s="628" t="s">
        <v>931</v>
      </c>
      <c r="C138" s="602"/>
      <c r="D138" s="602"/>
      <c r="E138" s="466">
        <f ca="1">ROUND(SUMIF(INDIRECT(Formulas!$B$1),"20-"&amp;LEFT($B138,3)&amp;"*-"&amp;MID(E$1,2,1)&amp;"*",INDIRECT(Formulas!$B$3)),0)</f>
        <v>0</v>
      </c>
      <c r="F138" s="602"/>
      <c r="G138" s="602"/>
      <c r="H138" s="466">
        <f ca="1">ROUND(SUMIF(INDIRECT(Formulas!$B$1),"20-"&amp;LEFT($B138,3)&amp;"*-"&amp;MID(H$1,2,1)&amp;"*",INDIRECT(Formulas!$B$3)),0)</f>
        <v>0</v>
      </c>
      <c r="I138" s="476"/>
      <c r="J138" s="602"/>
      <c r="K138" s="1655">
        <f ca="1">SUM(E138,H138)</f>
        <v>0</v>
      </c>
      <c r="L138" s="569">
        <v>0</v>
      </c>
    </row>
    <row r="139" spans="1:14" ht="12.75" customHeight="1" thickTop="1" thickBot="1" x14ac:dyDescent="0.25">
      <c r="A139" s="1651" t="s">
        <v>1487</v>
      </c>
      <c r="B139" s="1661">
        <v>4000</v>
      </c>
      <c r="C139" s="602"/>
      <c r="D139" s="602"/>
      <c r="E139" s="1653">
        <f ca="1">SUM(E137,E138)</f>
        <v>0</v>
      </c>
      <c r="F139" s="602"/>
      <c r="G139" s="602"/>
      <c r="H139" s="1662">
        <f ca="1">SUM(H137:H138)</f>
        <v>0</v>
      </c>
      <c r="I139" s="476"/>
      <c r="J139" s="602"/>
      <c r="K139" s="1655">
        <f ca="1">SUM(K137,K138)</f>
        <v>0</v>
      </c>
      <c r="L139" s="1662">
        <f>SUM(L137,L138)</f>
        <v>0</v>
      </c>
    </row>
    <row r="140" spans="1:14" ht="15.75" customHeight="1" thickTop="1" x14ac:dyDescent="0.2">
      <c r="A140" s="1595" t="s">
        <v>1037</v>
      </c>
      <c r="B140" s="1596" t="s">
        <v>492</v>
      </c>
      <c r="C140" s="602"/>
      <c r="D140" s="602"/>
      <c r="E140" s="623"/>
      <c r="F140" s="623"/>
      <c r="G140" s="623"/>
      <c r="H140" s="621"/>
      <c r="I140" s="476"/>
      <c r="J140" s="623"/>
      <c r="K140" s="621"/>
      <c r="L140" s="621"/>
    </row>
    <row r="141" spans="1:14" ht="15.75" customHeight="1" x14ac:dyDescent="0.2">
      <c r="A141" s="638" t="s">
        <v>615</v>
      </c>
      <c r="B141" s="608"/>
      <c r="C141" s="602"/>
      <c r="D141" s="602"/>
      <c r="E141" s="602"/>
      <c r="F141" s="602"/>
      <c r="G141" s="602"/>
      <c r="H141" s="609"/>
      <c r="I141" s="468"/>
      <c r="J141" s="602"/>
      <c r="K141" s="609"/>
      <c r="L141" s="609"/>
    </row>
    <row r="142" spans="1:14" x14ac:dyDescent="0.2">
      <c r="A142" s="1487" t="s">
        <v>87</v>
      </c>
      <c r="B142" s="600">
        <v>5110</v>
      </c>
      <c r="C142" s="602"/>
      <c r="D142" s="602"/>
      <c r="E142" s="602"/>
      <c r="F142" s="602"/>
      <c r="G142" s="602"/>
      <c r="H142" s="466">
        <f ca="1">ROUND(SUMIF(INDIRECT(Formulas!$B$1),"20-"&amp;LEFT($B142,3)&amp;"*-"&amp;MID(H$1,2,1)&amp;"*",INDIRECT(Formulas!$B$3)),0)</f>
        <v>0</v>
      </c>
      <c r="I142" s="468"/>
      <c r="J142" s="602"/>
      <c r="K142" s="1655">
        <f ca="1">SUM(H142)</f>
        <v>0</v>
      </c>
      <c r="L142" s="480">
        <v>0</v>
      </c>
    </row>
    <row r="143" spans="1:14" x14ac:dyDescent="0.2">
      <c r="A143" s="1487" t="s">
        <v>88</v>
      </c>
      <c r="B143" s="600">
        <v>5120</v>
      </c>
      <c r="C143" s="602"/>
      <c r="D143" s="602"/>
      <c r="E143" s="602"/>
      <c r="F143" s="602"/>
      <c r="G143" s="602"/>
      <c r="H143" s="466">
        <f ca="1">ROUND(SUMIF(INDIRECT(Formulas!$B$1),"20-"&amp;LEFT($B143,3)&amp;"*-"&amp;MID(H$1,2,1)&amp;"*",INDIRECT(Formulas!$B$3)),0)</f>
        <v>0</v>
      </c>
      <c r="I143" s="468"/>
      <c r="J143" s="602"/>
      <c r="K143" s="1655">
        <f ca="1">SUM(H143)</f>
        <v>0</v>
      </c>
      <c r="L143" s="466">
        <v>0</v>
      </c>
    </row>
    <row r="144" spans="1:14" ht="12.75" customHeight="1" x14ac:dyDescent="0.2">
      <c r="A144" s="1487" t="s">
        <v>1170</v>
      </c>
      <c r="B144" s="614" t="s">
        <v>617</v>
      </c>
      <c r="C144" s="602"/>
      <c r="D144" s="602"/>
      <c r="E144" s="602"/>
      <c r="F144" s="602"/>
      <c r="G144" s="602"/>
      <c r="H144" s="466">
        <f ca="1">ROUND(SUMIF(INDIRECT(Formulas!$B$1),"20-"&amp;LEFT($B144,3)&amp;"*-"&amp;MID(H$1,2,1)&amp;"*",INDIRECT(Formulas!$B$3)),0)</f>
        <v>0</v>
      </c>
      <c r="I144" s="468"/>
      <c r="J144" s="602"/>
      <c r="K144" s="1655">
        <f ca="1">SUM(H144)</f>
        <v>0</v>
      </c>
      <c r="L144" s="466">
        <v>0</v>
      </c>
    </row>
    <row r="145" spans="1:14" x14ac:dyDescent="0.2">
      <c r="A145" s="1487" t="s">
        <v>89</v>
      </c>
      <c r="B145" s="600" t="s">
        <v>589</v>
      </c>
      <c r="C145" s="602"/>
      <c r="D145" s="602"/>
      <c r="E145" s="602"/>
      <c r="F145" s="602"/>
      <c r="G145" s="602"/>
      <c r="H145" s="466">
        <f ca="1">ROUND(SUMIF(INDIRECT(Formulas!$B$1),"20-"&amp;LEFT($B145,3)&amp;"*-"&amp;MID(H$1,2,1)&amp;"*",INDIRECT(Formulas!$B$3)),0)</f>
        <v>0</v>
      </c>
      <c r="I145" s="468"/>
      <c r="J145" s="602"/>
      <c r="K145" s="1655">
        <f ca="1">SUM(H145)</f>
        <v>0</v>
      </c>
      <c r="L145" s="466">
        <v>0</v>
      </c>
    </row>
    <row r="146" spans="1:14" ht="12.75" customHeight="1" x14ac:dyDescent="0.2">
      <c r="A146" s="1487" t="s">
        <v>619</v>
      </c>
      <c r="B146" s="600" t="s">
        <v>618</v>
      </c>
      <c r="C146" s="602"/>
      <c r="D146" s="602"/>
      <c r="E146" s="602"/>
      <c r="F146" s="602"/>
      <c r="G146" s="602"/>
      <c r="H146" s="466">
        <f ca="1">ROUND(SUMIF(INDIRECT(Formulas!$B$1),"20-"&amp;LEFT($B146,3)&amp;"*-"&amp;MID(H$1,2,1)&amp;"*",INDIRECT(Formulas!$B$3)),0)</f>
        <v>0</v>
      </c>
      <c r="I146" s="468"/>
      <c r="J146" s="602"/>
      <c r="K146" s="1655">
        <f ca="1">SUM(H146)</f>
        <v>0</v>
      </c>
      <c r="L146" s="466">
        <v>0</v>
      </c>
    </row>
    <row r="147" spans="1:14" ht="12.75" customHeight="1" thickBot="1" x14ac:dyDescent="0.25">
      <c r="A147" s="1498" t="s">
        <v>626</v>
      </c>
      <c r="B147" s="644" t="s">
        <v>718</v>
      </c>
      <c r="C147" s="602"/>
      <c r="D147" s="602"/>
      <c r="E147" s="602"/>
      <c r="F147" s="602"/>
      <c r="G147" s="602"/>
      <c r="H147" s="1671">
        <f ca="1">SUM(H142:H146)</f>
        <v>0</v>
      </c>
      <c r="I147" s="468"/>
      <c r="J147" s="602"/>
      <c r="K147" s="1653">
        <f ca="1">SUM(K142:K146)</f>
        <v>0</v>
      </c>
      <c r="L147" s="1671">
        <f>SUM(L142:L146)</f>
        <v>0</v>
      </c>
    </row>
    <row r="148" spans="1:14" ht="15.75" customHeight="1" thickTop="1" x14ac:dyDescent="0.2">
      <c r="A148" s="645" t="s">
        <v>1103</v>
      </c>
      <c r="B148" s="646" t="s">
        <v>38</v>
      </c>
      <c r="C148" s="602"/>
      <c r="D148" s="602"/>
      <c r="E148" s="602"/>
      <c r="F148" s="602"/>
      <c r="G148" s="602"/>
      <c r="H148" s="466">
        <f ca="1">ROUND(SUMIF(INDIRECT(Formulas!$B$1),"20-"&amp;LEFT($B148,3)&amp;"*-"&amp;MID(H$1,2,1)&amp;"*",INDIRECT(Formulas!$B$3)),0)</f>
        <v>0</v>
      </c>
      <c r="I148" s="468"/>
      <c r="J148" s="602"/>
      <c r="K148" s="1655">
        <f ca="1">SUM(H148)</f>
        <v>0</v>
      </c>
      <c r="L148" s="489">
        <v>0</v>
      </c>
    </row>
    <row r="149" spans="1:14" ht="12.75" customHeight="1" thickBot="1" x14ac:dyDescent="0.25">
      <c r="A149" s="1490" t="s">
        <v>638</v>
      </c>
      <c r="B149" s="603" t="s">
        <v>492</v>
      </c>
      <c r="C149" s="602"/>
      <c r="D149" s="602"/>
      <c r="E149" s="602"/>
      <c r="F149" s="602"/>
      <c r="G149" s="602"/>
      <c r="H149" s="1653">
        <f ca="1">SUM(H147,H148)</f>
        <v>0</v>
      </c>
      <c r="I149" s="468"/>
      <c r="J149" s="602"/>
      <c r="K149" s="1653">
        <f ca="1">SUM(K147:K148)</f>
        <v>0</v>
      </c>
      <c r="L149" s="1653">
        <f>SUM(L142:L146,L148)</f>
        <v>0</v>
      </c>
    </row>
    <row r="150" spans="1:14" ht="15.75" customHeight="1" thickTop="1" thickBot="1" x14ac:dyDescent="0.25">
      <c r="A150" s="1589" t="s">
        <v>1038</v>
      </c>
      <c r="B150" s="1596" t="s">
        <v>861</v>
      </c>
      <c r="C150" s="602"/>
      <c r="D150" s="602"/>
      <c r="E150" s="602"/>
      <c r="F150" s="602"/>
      <c r="G150" s="602"/>
      <c r="H150" s="647"/>
      <c r="I150" s="518"/>
      <c r="J150" s="602"/>
      <c r="K150" s="609"/>
      <c r="L150" s="567">
        <v>0</v>
      </c>
    </row>
    <row r="151" spans="1:14" ht="12.75" customHeight="1" thickTop="1" thickBot="1" x14ac:dyDescent="0.25">
      <c r="A151" s="2234" t="s">
        <v>620</v>
      </c>
      <c r="B151" s="2214"/>
      <c r="C151" s="1653">
        <f ca="1">SUM(C129,C130,C139,C149,C150)</f>
        <v>102091</v>
      </c>
      <c r="D151" s="1653">
        <f t="shared" ref="D151:K151" ca="1" si="16">SUM(D129,D130,D139,D149,D150)</f>
        <v>6533</v>
      </c>
      <c r="E151" s="1653">
        <f t="shared" ca="1" si="16"/>
        <v>70412</v>
      </c>
      <c r="F151" s="1653">
        <f t="shared" ca="1" si="16"/>
        <v>58822</v>
      </c>
      <c r="G151" s="1653">
        <f t="shared" ca="1" si="16"/>
        <v>2997</v>
      </c>
      <c r="H151" s="1653">
        <f t="shared" ca="1" si="16"/>
        <v>200</v>
      </c>
      <c r="I151" s="1653">
        <f t="shared" ca="1" si="16"/>
        <v>0</v>
      </c>
      <c r="J151" s="1653">
        <f t="shared" ca="1" si="16"/>
        <v>0</v>
      </c>
      <c r="K151" s="1653">
        <f t="shared" ca="1" si="16"/>
        <v>241055</v>
      </c>
      <c r="L151" s="1653">
        <f>SUM(L129,L130,L139,L149,L150)</f>
        <v>247924</v>
      </c>
    </row>
    <row r="152" spans="1:14" ht="12.75" customHeight="1" thickTop="1" x14ac:dyDescent="0.2">
      <c r="A152" s="2237" t="s">
        <v>1178</v>
      </c>
      <c r="B152" s="2238"/>
      <c r="C152" s="604"/>
      <c r="D152" s="604"/>
      <c r="E152" s="604"/>
      <c r="F152" s="604"/>
      <c r="G152" s="604"/>
      <c r="H152" s="604"/>
      <c r="I152" s="604"/>
      <c r="J152" s="602"/>
      <c r="K152" s="1667">
        <f ca="1">'Revenues 9-14'!D268-'Expenditures 15-22'!K151</f>
        <v>7287</v>
      </c>
      <c r="L152" s="604"/>
    </row>
    <row r="153" spans="1:14" s="651" customFormat="1" ht="9" customHeight="1" x14ac:dyDescent="0.2">
      <c r="A153" s="648"/>
      <c r="B153" s="649"/>
      <c r="C153" s="635"/>
      <c r="D153" s="635"/>
      <c r="E153" s="635"/>
      <c r="F153" s="635"/>
      <c r="G153" s="635"/>
      <c r="H153" s="635"/>
      <c r="I153" s="635"/>
      <c r="J153" s="635"/>
      <c r="K153" s="635"/>
      <c r="L153" s="635"/>
      <c r="M153" s="650"/>
      <c r="N153" s="650"/>
    </row>
    <row r="154" spans="1:14" s="653" customFormat="1" ht="16.7" customHeight="1" x14ac:dyDescent="0.2">
      <c r="A154" s="2222" t="s">
        <v>621</v>
      </c>
      <c r="B154" s="2224"/>
      <c r="C154" s="1609"/>
      <c r="D154" s="1610"/>
      <c r="E154" s="1610"/>
      <c r="F154" s="1610"/>
      <c r="G154" s="1610"/>
      <c r="H154" s="1610"/>
      <c r="I154" s="1610"/>
      <c r="J154" s="1610"/>
      <c r="K154" s="1610"/>
      <c r="L154" s="1611"/>
      <c r="M154" s="652"/>
      <c r="N154" s="652"/>
    </row>
    <row r="155" spans="1:14" s="606" customFormat="1" ht="15.75" customHeight="1" thickBot="1" x14ac:dyDescent="0.25">
      <c r="A155" s="1600" t="s">
        <v>81</v>
      </c>
      <c r="B155" s="1601" t="s">
        <v>860</v>
      </c>
      <c r="C155" s="602"/>
      <c r="D155" s="602"/>
      <c r="E155" s="602"/>
      <c r="F155" s="602"/>
      <c r="G155" s="602"/>
      <c r="H155" s="1825"/>
      <c r="I155" s="602"/>
      <c r="J155" s="602"/>
      <c r="K155" s="1808"/>
      <c r="L155" s="1825"/>
      <c r="M155" s="605"/>
      <c r="N155" s="605"/>
    </row>
    <row r="156" spans="1:14" s="606" customFormat="1" ht="15.75" customHeight="1" thickTop="1" x14ac:dyDescent="0.2">
      <c r="A156" s="1805" t="s">
        <v>1845</v>
      </c>
      <c r="B156" s="1806"/>
      <c r="C156" s="602"/>
      <c r="D156" s="602"/>
      <c r="E156" s="602"/>
      <c r="F156" s="602"/>
      <c r="G156" s="602"/>
      <c r="H156" s="1826"/>
      <c r="I156" s="602"/>
      <c r="J156" s="602"/>
      <c r="K156" s="1807"/>
      <c r="L156" s="1826"/>
      <c r="M156" s="605"/>
      <c r="N156" s="605"/>
    </row>
    <row r="157" spans="1:14" s="606" customFormat="1" ht="12" x14ac:dyDescent="0.2">
      <c r="A157" s="1809" t="s">
        <v>496</v>
      </c>
      <c r="B157" s="1810" t="s">
        <v>1844</v>
      </c>
      <c r="C157" s="602"/>
      <c r="D157" s="602"/>
      <c r="E157" s="602"/>
      <c r="F157" s="602"/>
      <c r="G157" s="602"/>
      <c r="H157" s="466">
        <f ca="1">ROUND(SUMIF(INDIRECT(Formulas!$B$1),"30-"&amp;LEFT($B157,3)&amp;"*-"&amp;MID(H$1,2,1)&amp;"*",INDIRECT(Formulas!$B$3)),0)</f>
        <v>0</v>
      </c>
      <c r="I157" s="602"/>
      <c r="J157" s="602"/>
      <c r="K157" s="1654">
        <f ca="1">H157</f>
        <v>0</v>
      </c>
      <c r="L157" s="467"/>
      <c r="M157" s="605"/>
      <c r="N157" s="605"/>
    </row>
    <row r="158" spans="1:14" s="606" customFormat="1" ht="12" x14ac:dyDescent="0.2">
      <c r="A158" s="1809" t="s">
        <v>304</v>
      </c>
      <c r="B158" s="1810" t="s">
        <v>1846</v>
      </c>
      <c r="C158" s="602"/>
      <c r="D158" s="602"/>
      <c r="E158" s="602"/>
      <c r="F158" s="602"/>
      <c r="G158" s="602"/>
      <c r="H158" s="466">
        <f ca="1">ROUND(SUMIF(INDIRECT(Formulas!$B$1),"30-"&amp;LEFT($B158,3)&amp;"*-"&amp;MID(H$1,2,1)&amp;"*",INDIRECT(Formulas!$B$3)),0)</f>
        <v>0</v>
      </c>
      <c r="I158" s="602"/>
      <c r="J158" s="602"/>
      <c r="K158" s="1654">
        <f ca="1">H158</f>
        <v>0</v>
      </c>
      <c r="L158" s="467"/>
      <c r="M158" s="605"/>
      <c r="N158" s="605"/>
    </row>
    <row r="159" spans="1:14" s="606" customFormat="1" ht="12" x14ac:dyDescent="0.2">
      <c r="A159" s="1809" t="s">
        <v>1847</v>
      </c>
      <c r="B159" s="1810" t="s">
        <v>558</v>
      </c>
      <c r="C159" s="602"/>
      <c r="D159" s="602"/>
      <c r="E159" s="602"/>
      <c r="F159" s="602"/>
      <c r="G159" s="602"/>
      <c r="H159" s="466">
        <f ca="1">ROUND(SUMIF(INDIRECT(Formulas!$B$1),"30-"&amp;LEFT($B159,3)&amp;"*-"&amp;MID(H$1,2,1)&amp;"*",INDIRECT(Formulas!$B$3)),0)</f>
        <v>0</v>
      </c>
      <c r="I159" s="602"/>
      <c r="J159" s="602"/>
      <c r="K159" s="1654">
        <f ca="1">H159</f>
        <v>0</v>
      </c>
      <c r="L159" s="467"/>
      <c r="M159" s="605"/>
      <c r="N159" s="605"/>
    </row>
    <row r="160" spans="1:14" s="606" customFormat="1" ht="15.75" customHeight="1" thickBot="1" x14ac:dyDescent="0.25">
      <c r="A160" s="1811" t="s">
        <v>1848</v>
      </c>
      <c r="B160" s="1812" t="s">
        <v>860</v>
      </c>
      <c r="C160" s="602"/>
      <c r="D160" s="602"/>
      <c r="E160" s="602"/>
      <c r="F160" s="602"/>
      <c r="G160" s="602"/>
      <c r="H160" s="1671">
        <f ca="1">SUM(H157:H159)</f>
        <v>0</v>
      </c>
      <c r="I160" s="602"/>
      <c r="J160" s="602"/>
      <c r="K160" s="1653">
        <f ca="1">SUM(K157:K159)</f>
        <v>0</v>
      </c>
      <c r="L160" s="1671">
        <f>SUM(L157:L159)</f>
        <v>0</v>
      </c>
      <c r="M160" s="605"/>
      <c r="N160" s="605"/>
    </row>
    <row r="161" spans="1:14" s="259" customFormat="1" ht="15.75" customHeight="1" thickTop="1" x14ac:dyDescent="0.2">
      <c r="A161" s="1595" t="s">
        <v>82</v>
      </c>
      <c r="B161" s="1596" t="s">
        <v>492</v>
      </c>
      <c r="C161" s="602"/>
      <c r="D161" s="602"/>
      <c r="E161" s="602"/>
      <c r="F161" s="602"/>
      <c r="G161" s="602"/>
      <c r="H161" s="602"/>
      <c r="I161" s="602"/>
      <c r="J161" s="602"/>
      <c r="K161" s="602"/>
      <c r="L161" s="602"/>
      <c r="M161" s="599"/>
      <c r="N161" s="599"/>
    </row>
    <row r="162" spans="1:14" s="259" customFormat="1" ht="15.75" customHeight="1" x14ac:dyDescent="0.2">
      <c r="A162" s="638" t="s">
        <v>615</v>
      </c>
      <c r="B162" s="608"/>
      <c r="C162" s="602"/>
      <c r="D162" s="602"/>
      <c r="E162" s="602"/>
      <c r="F162" s="602"/>
      <c r="G162" s="602"/>
      <c r="H162" s="602"/>
      <c r="I162" s="602"/>
      <c r="J162" s="602"/>
      <c r="K162" s="609"/>
      <c r="L162" s="609"/>
      <c r="M162" s="599"/>
      <c r="N162" s="599"/>
    </row>
    <row r="163" spans="1:14" x14ac:dyDescent="0.2">
      <c r="A163" s="1487" t="s">
        <v>87</v>
      </c>
      <c r="B163" s="600">
        <v>5110</v>
      </c>
      <c r="C163" s="602"/>
      <c r="D163" s="602"/>
      <c r="E163" s="602"/>
      <c r="F163" s="602"/>
      <c r="G163" s="602"/>
      <c r="H163" s="466">
        <f ca="1">ROUND(SUMIF(INDIRECT(Formulas!$B$1),"30-"&amp;LEFT($B163,3)&amp;"*-"&amp;MID(H$1,2,1)&amp;"*",INDIRECT(Formulas!$B$3)),0)</f>
        <v>0</v>
      </c>
      <c r="I163" s="602"/>
      <c r="J163" s="602"/>
      <c r="K163" s="1654">
        <f ca="1">SUM(C163:J163)</f>
        <v>0</v>
      </c>
      <c r="L163" s="466"/>
    </row>
    <row r="164" spans="1:14" x14ac:dyDescent="0.2">
      <c r="A164" s="1487" t="s">
        <v>88</v>
      </c>
      <c r="B164" s="600">
        <v>5120</v>
      </c>
      <c r="C164" s="602"/>
      <c r="D164" s="602"/>
      <c r="E164" s="602"/>
      <c r="F164" s="602"/>
      <c r="G164" s="602"/>
      <c r="H164" s="466">
        <f ca="1">ROUND(SUMIF(INDIRECT(Formulas!$B$1),"30-"&amp;LEFT($B164,3)&amp;"*-"&amp;MID(H$1,2,1)&amp;"*",INDIRECT(Formulas!$B$3)),0)</f>
        <v>0</v>
      </c>
      <c r="I164" s="602"/>
      <c r="J164" s="602"/>
      <c r="K164" s="1654">
        <f ca="1">SUM(C164:J164)</f>
        <v>0</v>
      </c>
      <c r="L164" s="466"/>
    </row>
    <row r="165" spans="1:14" ht="12.75" customHeight="1" x14ac:dyDescent="0.2">
      <c r="A165" s="1487" t="s">
        <v>1170</v>
      </c>
      <c r="B165" s="600" t="s">
        <v>617</v>
      </c>
      <c r="C165" s="602"/>
      <c r="D165" s="602"/>
      <c r="E165" s="602"/>
      <c r="F165" s="602"/>
      <c r="G165" s="602"/>
      <c r="H165" s="466">
        <f ca="1">ROUND(SUMIF(INDIRECT(Formulas!$B$1),"30-"&amp;LEFT($B165,3)&amp;"*-"&amp;MID(H$1,2,1)&amp;"*",INDIRECT(Formulas!$B$3)),0)</f>
        <v>0</v>
      </c>
      <c r="I165" s="602"/>
      <c r="J165" s="602"/>
      <c r="K165" s="1654">
        <f ca="1">SUM(C165:J165)</f>
        <v>0</v>
      </c>
      <c r="L165" s="466"/>
    </row>
    <row r="166" spans="1:14" x14ac:dyDescent="0.2">
      <c r="A166" s="1487" t="s">
        <v>89</v>
      </c>
      <c r="B166" s="614" t="s">
        <v>589</v>
      </c>
      <c r="C166" s="602"/>
      <c r="D166" s="602"/>
      <c r="E166" s="602"/>
      <c r="F166" s="602"/>
      <c r="G166" s="602"/>
      <c r="H166" s="466">
        <f ca="1">ROUND(SUMIF(INDIRECT(Formulas!$B$1),"30-"&amp;LEFT($B166,3)&amp;"*-"&amp;MID(H$1,2,1)&amp;"*",INDIRECT(Formulas!$B$3)),0)</f>
        <v>0</v>
      </c>
      <c r="I166" s="602"/>
      <c r="J166" s="602"/>
      <c r="K166" s="1654">
        <f ca="1">SUM(C166:J166)</f>
        <v>0</v>
      </c>
      <c r="L166" s="466"/>
    </row>
    <row r="167" spans="1:14" ht="12.75" customHeight="1" x14ac:dyDescent="0.2">
      <c r="A167" s="1487" t="s">
        <v>619</v>
      </c>
      <c r="B167" s="600" t="s">
        <v>618</v>
      </c>
      <c r="C167" s="602"/>
      <c r="D167" s="602"/>
      <c r="E167" s="602"/>
      <c r="F167" s="602"/>
      <c r="G167" s="602"/>
      <c r="H167" s="466">
        <f ca="1">ROUND(SUMIF(INDIRECT(Formulas!$B$1),"30-"&amp;LEFT($B167,3)&amp;"*-"&amp;MID(H$1,2,1)&amp;"*",INDIRECT(Formulas!$B$3)),0)</f>
        <v>0</v>
      </c>
      <c r="I167" s="602"/>
      <c r="J167" s="602"/>
      <c r="K167" s="1654">
        <f ca="1">SUM(C167:J167)</f>
        <v>0</v>
      </c>
      <c r="L167" s="466"/>
    </row>
    <row r="168" spans="1:14" ht="13.5" thickBot="1" x14ac:dyDescent="0.25">
      <c r="A168" s="1651" t="s">
        <v>276</v>
      </c>
      <c r="B168" s="1658" t="s">
        <v>718</v>
      </c>
      <c r="C168" s="602"/>
      <c r="D168" s="602"/>
      <c r="E168" s="602"/>
      <c r="F168" s="602"/>
      <c r="G168" s="602"/>
      <c r="H168" s="1653">
        <f ca="1">SUM(H163:H167)</f>
        <v>0</v>
      </c>
      <c r="I168" s="602"/>
      <c r="J168" s="602"/>
      <c r="K168" s="1653">
        <f ca="1">SUM(K163:K167)</f>
        <v>0</v>
      </c>
      <c r="L168" s="1653">
        <f>SUM(L163:L167)</f>
        <v>0</v>
      </c>
    </row>
    <row r="169" spans="1:14" ht="15.75" customHeight="1" thickTop="1" x14ac:dyDescent="0.2">
      <c r="A169" s="654" t="s">
        <v>83</v>
      </c>
      <c r="B169" s="655" t="s">
        <v>38</v>
      </c>
      <c r="C169" s="602"/>
      <c r="D169" s="602"/>
      <c r="E169" s="602"/>
      <c r="F169" s="602"/>
      <c r="G169" s="602"/>
      <c r="H169" s="466">
        <f ca="1">ROUND(SUMIF(INDIRECT(Formulas!$B$1),"30-"&amp;LEFT($B169,3)&amp;"*-"&amp;MID(H$1,2,1)&amp;"*",INDIRECT(Formulas!$B$3)),0)</f>
        <v>0</v>
      </c>
      <c r="I169" s="602"/>
      <c r="J169" s="602"/>
      <c r="K169" s="1654">
        <f ca="1">SUM(C169:H169)</f>
        <v>0</v>
      </c>
      <c r="L169" s="641"/>
    </row>
    <row r="170" spans="1:14" ht="33.75" customHeight="1" x14ac:dyDescent="0.2">
      <c r="A170" s="654" t="s">
        <v>1670</v>
      </c>
      <c r="B170" s="656" t="s">
        <v>31</v>
      </c>
      <c r="C170" s="602"/>
      <c r="D170" s="602"/>
      <c r="E170" s="602"/>
      <c r="F170" s="602"/>
      <c r="G170" s="602"/>
      <c r="H170" s="466">
        <f ca="1">ROUND(SUMIF(INDIRECT(Formulas!$B$1),"30-"&amp;LEFT($B170,3)&amp;"*-"&amp;MID(H$1,2,1)&amp;"*",INDIRECT(Formulas!$B$3)),0)</f>
        <v>0</v>
      </c>
      <c r="I170" s="602"/>
      <c r="J170" s="602"/>
      <c r="K170" s="1654">
        <f ca="1">SUM(C170:J170)</f>
        <v>0</v>
      </c>
      <c r="L170" s="563"/>
    </row>
    <row r="171" spans="1:14" ht="15.75" customHeight="1" x14ac:dyDescent="0.2">
      <c r="A171" s="607" t="s">
        <v>766</v>
      </c>
      <c r="B171" s="657" t="s">
        <v>84</v>
      </c>
      <c r="C171" s="602"/>
      <c r="D171" s="602"/>
      <c r="E171" s="466">
        <f ca="1">ROUND(SUMIF(INDIRECT(Formulas!$B$1),"30-"&amp;LEFT($B171,3)&amp;"*-"&amp;MID(E$1,2,1)&amp;"*",INDIRECT(Formulas!$B$3)),0)</f>
        <v>0</v>
      </c>
      <c r="F171" s="602"/>
      <c r="G171" s="602"/>
      <c r="H171" s="466">
        <f ca="1">ROUND(SUMIF(INDIRECT(Formulas!$B$1),"30-"&amp;LEFT($B171,3)&amp;"*-"&amp;MID(H$1,2,1)&amp;"*",INDIRECT(Formulas!$B$3)),0)</f>
        <v>0</v>
      </c>
      <c r="I171" s="476"/>
      <c r="J171" s="602"/>
      <c r="K171" s="1654">
        <f ca="1">SUM(C171:J171)</f>
        <v>0</v>
      </c>
      <c r="L171" s="563"/>
    </row>
    <row r="172" spans="1:14" ht="12.75" customHeight="1" thickBot="1" x14ac:dyDescent="0.25">
      <c r="A172" s="1651" t="s">
        <v>638</v>
      </c>
      <c r="B172" s="1652" t="s">
        <v>492</v>
      </c>
      <c r="C172" s="602"/>
      <c r="D172" s="602"/>
      <c r="E172" s="1660">
        <f ca="1">SUM(E168,E169,E170,E171)</f>
        <v>0</v>
      </c>
      <c r="F172" s="602"/>
      <c r="G172" s="602"/>
      <c r="H172" s="1660">
        <f ca="1">SUM(H168,H169,H170,H171)</f>
        <v>0</v>
      </c>
      <c r="I172" s="623"/>
      <c r="J172" s="602"/>
      <c r="K172" s="1660">
        <f ca="1">SUM(K168,K169,K170,K171)</f>
        <v>0</v>
      </c>
      <c r="L172" s="1660">
        <f>SUM(L168,L169,L170,L171)</f>
        <v>0</v>
      </c>
    </row>
    <row r="173" spans="1:14" ht="15.75" customHeight="1" thickTop="1" thickBot="1" x14ac:dyDescent="0.25">
      <c r="A173" s="1602" t="s">
        <v>85</v>
      </c>
      <c r="B173" s="1594" t="s">
        <v>861</v>
      </c>
      <c r="C173" s="602"/>
      <c r="D173" s="602"/>
      <c r="E173" s="609"/>
      <c r="F173" s="602"/>
      <c r="G173" s="602"/>
      <c r="H173" s="612"/>
      <c r="I173" s="623"/>
      <c r="J173" s="602"/>
      <c r="K173" s="609"/>
      <c r="L173" s="569"/>
    </row>
    <row r="174" spans="1:14" ht="12.75" customHeight="1" thickTop="1" thickBot="1" x14ac:dyDescent="0.25">
      <c r="A174" s="1672" t="s">
        <v>90</v>
      </c>
      <c r="B174" s="1673"/>
      <c r="C174" s="602"/>
      <c r="D174" s="602"/>
      <c r="E174" s="1660">
        <f ca="1">SUM(E172,E173)</f>
        <v>0</v>
      </c>
      <c r="F174" s="602"/>
      <c r="G174" s="602"/>
      <c r="H174" s="1660">
        <f ca="1">SUM(H160,H172,H173)</f>
        <v>0</v>
      </c>
      <c r="I174" s="623"/>
      <c r="J174" s="602"/>
      <c r="K174" s="1660">
        <f ca="1">SUM(K160,K172,K173)</f>
        <v>0</v>
      </c>
      <c r="L174" s="1660">
        <f>SUM(L160,L172,L173)</f>
        <v>0</v>
      </c>
    </row>
    <row r="175" spans="1:14" ht="13.5" thickTop="1" x14ac:dyDescent="0.2">
      <c r="A175" s="2217" t="s">
        <v>996</v>
      </c>
      <c r="B175" s="2218"/>
      <c r="C175" s="602"/>
      <c r="D175" s="602"/>
      <c r="E175" s="602"/>
      <c r="F175" s="602"/>
      <c r="G175" s="602"/>
      <c r="H175" s="604"/>
      <c r="I175" s="602"/>
      <c r="J175" s="602"/>
      <c r="K175" s="1667">
        <f ca="1">'Revenues 9-14'!E268-'Expenditures 15-22'!K174</f>
        <v>0</v>
      </c>
      <c r="L175" s="604"/>
    </row>
    <row r="176" spans="1:14" s="651" customFormat="1" ht="9" customHeight="1" x14ac:dyDescent="0.2">
      <c r="A176" s="648"/>
      <c r="B176" s="658"/>
      <c r="C176" s="635"/>
      <c r="D176" s="635"/>
      <c r="E176" s="635"/>
      <c r="F176" s="635"/>
      <c r="G176" s="635"/>
      <c r="H176" s="635"/>
      <c r="I176" s="635"/>
      <c r="J176" s="635"/>
      <c r="K176" s="635"/>
      <c r="L176" s="635"/>
      <c r="M176" s="650"/>
      <c r="N176" s="650"/>
    </row>
    <row r="177" spans="1:14" s="343" customFormat="1" ht="16.7" customHeight="1" x14ac:dyDescent="0.2">
      <c r="A177" s="1537" t="s">
        <v>937</v>
      </c>
      <c r="B177" s="1538"/>
      <c r="C177" s="1534"/>
      <c r="D177" s="1535"/>
      <c r="E177" s="1535"/>
      <c r="F177" s="1535"/>
      <c r="G177" s="1535"/>
      <c r="H177" s="1535"/>
      <c r="I177" s="1535"/>
      <c r="J177" s="1535"/>
      <c r="K177" s="1535"/>
      <c r="L177" s="1536"/>
      <c r="M177" s="595"/>
      <c r="N177" s="595"/>
    </row>
    <row r="178" spans="1:14" s="659" customFormat="1" ht="15.75" customHeight="1" x14ac:dyDescent="0.2">
      <c r="A178" s="1603" t="s">
        <v>938</v>
      </c>
      <c r="B178" s="1604"/>
      <c r="C178" s="602"/>
      <c r="D178" s="602"/>
      <c r="E178" s="602"/>
      <c r="F178" s="602"/>
      <c r="G178" s="602"/>
      <c r="H178" s="602"/>
      <c r="I178" s="602"/>
      <c r="J178" s="602"/>
      <c r="K178" s="602"/>
      <c r="L178" s="602"/>
      <c r="M178" s="650"/>
      <c r="N178" s="650"/>
    </row>
    <row r="179" spans="1:14" s="659" customFormat="1" ht="15.75" customHeight="1" x14ac:dyDescent="0.2">
      <c r="A179" s="660" t="s">
        <v>591</v>
      </c>
      <c r="B179" s="608"/>
      <c r="C179" s="609"/>
      <c r="D179" s="609"/>
      <c r="E179" s="609"/>
      <c r="F179" s="602"/>
      <c r="G179" s="602"/>
      <c r="H179" s="609"/>
      <c r="I179" s="602"/>
      <c r="J179" s="602"/>
      <c r="K179" s="609"/>
      <c r="L179" s="609"/>
      <c r="M179" s="650"/>
      <c r="N179" s="650"/>
    </row>
    <row r="180" spans="1:14" ht="12.75" customHeight="1" x14ac:dyDescent="0.2">
      <c r="A180" s="1487" t="s">
        <v>2059</v>
      </c>
      <c r="B180" s="600" t="s">
        <v>716</v>
      </c>
      <c r="C180" s="466">
        <f ca="1">ROUND(SUMIF(INDIRECT(Formulas!$B$1),"40-"&amp;LEFT($B180,3)&amp;"*-"&amp;MID(C$1,2,1)&amp;"*",INDIRECT(Formulas!$B$3)),0)</f>
        <v>0</v>
      </c>
      <c r="D180" s="466">
        <f ca="1">ROUND(SUMIF(INDIRECT(Formulas!$B$1),"40-"&amp;LEFT($B180,3)&amp;"*-"&amp;MID(D$1,2,1)&amp;"*",INDIRECT(Formulas!$B$3)),0)</f>
        <v>0</v>
      </c>
      <c r="E180" s="466">
        <f ca="1">ROUND(SUMIF(INDIRECT(Formulas!$B$1),"40-"&amp;LEFT($B180,3)&amp;"*-"&amp;MID(E$1,2,1)&amp;"*",INDIRECT(Formulas!$B$3)),0)</f>
        <v>0</v>
      </c>
      <c r="F180" s="466">
        <f ca="1">ROUND(SUMIF(INDIRECT(Formulas!$B$1),"40-"&amp;LEFT($B180,3)&amp;"*-"&amp;MID(F$1,2,1)&amp;"*",INDIRECT(Formulas!$B$3)),0)</f>
        <v>0</v>
      </c>
      <c r="G180" s="466">
        <f ca="1">ROUND(SUMIF(INDIRECT(Formulas!$B$1),"40-"&amp;LEFT($B180,3)&amp;"*-"&amp;MID(G$1,2,1)&amp;"*",INDIRECT(Formulas!$B$3)),0)</f>
        <v>0</v>
      </c>
      <c r="H180" s="466">
        <f ca="1">ROUND(SUMIF(INDIRECT(Formulas!$B$1),"40-"&amp;LEFT($B180,3)&amp;"*-"&amp;MID(H$1,2,1)&amp;"*",INDIRECT(Formulas!$B$3)),0)</f>
        <v>0</v>
      </c>
      <c r="I180" s="466">
        <f ca="1">ROUND(SUMIF(INDIRECT(Formulas!$B$1),"40-"&amp;LEFT($B180,3)&amp;"*-"&amp;MID(I$1,2,1)&amp;"*",INDIRECT(Formulas!$B$3)),0)</f>
        <v>0</v>
      </c>
      <c r="J180" s="466">
        <f ca="1">ROUND(SUMIF(INDIRECT(Formulas!$B$1),"40-"&amp;LEFT($B180,3)&amp;"*-"&amp;MID(J$1,2,1)&amp;"*",INDIRECT(Formulas!$B$3)),0)</f>
        <v>0</v>
      </c>
      <c r="K180" s="1654">
        <f ca="1">SUM(C180:J180)</f>
        <v>0</v>
      </c>
      <c r="L180" s="466"/>
    </row>
    <row r="181" spans="1:14" ht="15.75" customHeight="1" x14ac:dyDescent="0.2">
      <c r="A181" s="610" t="s">
        <v>612</v>
      </c>
      <c r="B181" s="661"/>
      <c r="C181" s="564"/>
      <c r="D181" s="564"/>
      <c r="E181" s="564"/>
      <c r="F181" s="564"/>
      <c r="G181" s="564"/>
      <c r="H181" s="564"/>
      <c r="I181" s="468"/>
      <c r="J181" s="468"/>
      <c r="K181" s="564"/>
      <c r="L181" s="564"/>
    </row>
    <row r="182" spans="1:14" ht="12.75" customHeight="1" x14ac:dyDescent="0.2">
      <c r="A182" s="1487" t="s">
        <v>953</v>
      </c>
      <c r="B182" s="600">
        <v>2550</v>
      </c>
      <c r="C182" s="466">
        <f ca="1">ROUND(SUMIF(INDIRECT(Formulas!$B$1),"40-"&amp;LEFT($B182,3)&amp;"*-"&amp;MID(C$1,2,1)&amp;"*",INDIRECT(Formulas!$B$3)),0)</f>
        <v>13270</v>
      </c>
      <c r="D182" s="466">
        <f ca="1">ROUND(SUMIF(INDIRECT(Formulas!$B$1),"40-"&amp;LEFT($B182,3)&amp;"*-"&amp;MID(D$1,2,1)&amp;"*",INDIRECT(Formulas!$B$3)),0)</f>
        <v>1347</v>
      </c>
      <c r="E182" s="466">
        <f ca="1">ROUND(SUMIF(INDIRECT(Formulas!$B$1),"40-"&amp;LEFT($B182,3)&amp;"*-"&amp;MID(E$1,2,1)&amp;"*",INDIRECT(Formulas!$B$3)),0)</f>
        <v>63254</v>
      </c>
      <c r="F182" s="466">
        <f ca="1">ROUND(SUMIF(INDIRECT(Formulas!$B$1),"40-"&amp;LEFT($B182,3)&amp;"*-"&amp;MID(F$1,2,1)&amp;"*",INDIRECT(Formulas!$B$3)),0)</f>
        <v>14622</v>
      </c>
      <c r="G182" s="466">
        <f ca="1">ROUND(SUMIF(INDIRECT(Formulas!$B$1),"40-"&amp;LEFT($B182,3)&amp;"*-"&amp;MID(G$1,2,1)&amp;"*",INDIRECT(Formulas!$B$3)),0)</f>
        <v>21651</v>
      </c>
      <c r="H182" s="466">
        <f ca="1">ROUND(SUMIF(INDIRECT(Formulas!$B$1),"40-"&amp;LEFT($B182,3)&amp;"*-"&amp;MID(H$1,2,1)&amp;"*",INDIRECT(Formulas!$B$3)),0)</f>
        <v>0</v>
      </c>
      <c r="I182" s="466">
        <f ca="1">ROUND(SUMIF(INDIRECT(Formulas!$B$1),"40-"&amp;LEFT($B182,3)&amp;"*-"&amp;MID(I$1,2,1)&amp;"*",INDIRECT(Formulas!$B$3)),0)</f>
        <v>0</v>
      </c>
      <c r="J182" s="466">
        <f ca="1">ROUND(SUMIF(INDIRECT(Formulas!$B$1),"40-"&amp;LEFT($B182,3)&amp;"*-"&amp;MID(J$1,2,1)&amp;"*",INDIRECT(Formulas!$B$3)),0)</f>
        <v>0</v>
      </c>
      <c r="K182" s="1654">
        <f ca="1">SUM(C182:J182)</f>
        <v>114144</v>
      </c>
      <c r="L182" s="466">
        <v>192190</v>
      </c>
    </row>
    <row r="183" spans="1:14" ht="12.75" customHeight="1" thickBot="1" x14ac:dyDescent="0.25">
      <c r="A183" s="1492" t="s">
        <v>980</v>
      </c>
      <c r="B183" s="662">
        <v>2900</v>
      </c>
      <c r="C183" s="466">
        <f ca="1">ROUND(SUMIF(INDIRECT(Formulas!$B$1),"40-"&amp;LEFT($B183,3)&amp;"*-"&amp;MID(C$1,2,1)&amp;"*",INDIRECT(Formulas!$B$3)),0)</f>
        <v>0</v>
      </c>
      <c r="D183" s="466">
        <f ca="1">ROUND(SUMIF(INDIRECT(Formulas!$B$1),"40-"&amp;LEFT($B183,3)&amp;"*-"&amp;MID(D$1,2,1)&amp;"*",INDIRECT(Formulas!$B$3)),0)</f>
        <v>0</v>
      </c>
      <c r="E183" s="466">
        <f ca="1">ROUND(SUMIF(INDIRECT(Formulas!$B$1),"40-"&amp;LEFT($B183,3)&amp;"*-"&amp;MID(E$1,2,1)&amp;"*",INDIRECT(Formulas!$B$3)),0)</f>
        <v>0</v>
      </c>
      <c r="F183" s="466">
        <f ca="1">ROUND(SUMIF(INDIRECT(Formulas!$B$1),"40-"&amp;LEFT($B183,3)&amp;"*-"&amp;MID(F$1,2,1)&amp;"*",INDIRECT(Formulas!$B$3)),0)</f>
        <v>0</v>
      </c>
      <c r="G183" s="466">
        <f ca="1">ROUND(SUMIF(INDIRECT(Formulas!$B$1),"40-"&amp;LEFT($B183,3)&amp;"*-"&amp;MID(G$1,2,1)&amp;"*",INDIRECT(Formulas!$B$3)),0)</f>
        <v>0</v>
      </c>
      <c r="H183" s="466">
        <f ca="1">ROUND(SUMIF(INDIRECT(Formulas!$B$1),"40-"&amp;LEFT($B183,3)&amp;"*-"&amp;MID(H$1,2,1)&amp;"*",INDIRECT(Formulas!$B$3)),0)</f>
        <v>0</v>
      </c>
      <c r="I183" s="466">
        <f ca="1">ROUND(SUMIF(INDIRECT(Formulas!$B$1),"40-"&amp;LEFT($B183,3)&amp;"*-"&amp;MID(I$1,2,1)&amp;"*",INDIRECT(Formulas!$B$3)),0)</f>
        <v>0</v>
      </c>
      <c r="J183" s="466">
        <f ca="1">ROUND(SUMIF(INDIRECT(Formulas!$B$1),"40-"&amp;LEFT($B183,3)&amp;"*-"&amp;MID(J$1,2,1)&amp;"*",INDIRECT(Formulas!$B$3)),0)</f>
        <v>0</v>
      </c>
      <c r="K183" s="1660">
        <f ca="1">SUM(C183:J183)</f>
        <v>0</v>
      </c>
      <c r="L183" s="567">
        <v>0</v>
      </c>
    </row>
    <row r="184" spans="1:14" ht="12.75" customHeight="1" thickTop="1" thickBot="1" x14ac:dyDescent="0.25">
      <c r="A184" s="1674" t="s">
        <v>811</v>
      </c>
      <c r="B184" s="1652" t="s">
        <v>569</v>
      </c>
      <c r="C184" s="1660">
        <f ca="1">SUM(C180,C182,C183)</f>
        <v>13270</v>
      </c>
      <c r="D184" s="1660">
        <f t="shared" ref="D184:J184" ca="1" si="17">SUM(D180,D182,D183)</f>
        <v>1347</v>
      </c>
      <c r="E184" s="1660">
        <f t="shared" ca="1" si="17"/>
        <v>63254</v>
      </c>
      <c r="F184" s="1660">
        <f t="shared" ca="1" si="17"/>
        <v>14622</v>
      </c>
      <c r="G184" s="1660">
        <f t="shared" ca="1" si="17"/>
        <v>21651</v>
      </c>
      <c r="H184" s="1660">
        <f t="shared" ca="1" si="17"/>
        <v>0</v>
      </c>
      <c r="I184" s="1660">
        <f t="shared" ca="1" si="17"/>
        <v>0</v>
      </c>
      <c r="J184" s="1660">
        <f t="shared" ca="1" si="17"/>
        <v>0</v>
      </c>
      <c r="K184" s="1660">
        <f ca="1">SUM(K180,K182,K183)</f>
        <v>114144</v>
      </c>
      <c r="L184" s="1660">
        <f>SUM(L180, L182:L183)</f>
        <v>192190</v>
      </c>
    </row>
    <row r="185" spans="1:14" ht="15.75" customHeight="1" thickTop="1" thickBot="1" x14ac:dyDescent="0.25">
      <c r="A185" s="1605" t="s">
        <v>939</v>
      </c>
      <c r="B185" s="1594">
        <v>3000</v>
      </c>
      <c r="C185" s="466">
        <f ca="1">ROUND(SUMIF(INDIRECT(Formulas!$B$1),"40-"&amp;LEFT($B185,3)&amp;"*-"&amp;MID(C$1,2,1)&amp;"*",INDIRECT(Formulas!$B$3)),0)</f>
        <v>0</v>
      </c>
      <c r="D185" s="466">
        <f ca="1">ROUND(SUMIF(INDIRECT(Formulas!$B$1),"40-"&amp;LEFT($B185,3)&amp;"*-"&amp;MID(D$1,2,1)&amp;"*",INDIRECT(Formulas!$B$3)),0)</f>
        <v>0</v>
      </c>
      <c r="E185" s="466">
        <f ca="1">ROUND(SUMIF(INDIRECT(Formulas!$B$1),"40-"&amp;LEFT($B185,3)&amp;"*-"&amp;MID(E$1,2,1)&amp;"*",INDIRECT(Formulas!$B$3)),0)</f>
        <v>0</v>
      </c>
      <c r="F185" s="466">
        <f ca="1">ROUND(SUMIF(INDIRECT(Formulas!$B$1),"40-"&amp;LEFT($B185,3)&amp;"*-"&amp;MID(F$1,2,1)&amp;"*",INDIRECT(Formulas!$B$3)),0)</f>
        <v>0</v>
      </c>
      <c r="G185" s="466">
        <f ca="1">ROUND(SUMIF(INDIRECT(Formulas!$B$1),"40-"&amp;LEFT($B185,3)&amp;"*-"&amp;MID(G$1,2,1)&amp;"*",INDIRECT(Formulas!$B$3)),0)</f>
        <v>0</v>
      </c>
      <c r="H185" s="466">
        <f ca="1">ROUND(SUMIF(INDIRECT(Formulas!$B$1),"40-"&amp;LEFT($B185,3)&amp;"*-"&amp;MID(H$1,2,1)&amp;"*",INDIRECT(Formulas!$B$3)),0)</f>
        <v>0</v>
      </c>
      <c r="I185" s="466">
        <f ca="1">ROUND(SUMIF(INDIRECT(Formulas!$B$1),"40-"&amp;LEFT($B185,3)&amp;"*-"&amp;MID(I$1,2,1)&amp;"*",INDIRECT(Formulas!$B$3)),0)</f>
        <v>0</v>
      </c>
      <c r="J185" s="466">
        <f ca="1">ROUND(SUMIF(INDIRECT(Formulas!$B$1),"40-"&amp;LEFT($B185,3)&amp;"*-"&amp;MID(J$1,2,1)&amp;"*",INDIRECT(Formulas!$B$3)),0)</f>
        <v>0</v>
      </c>
      <c r="K185" s="1653">
        <f ca="1">SUM(C185:J185)</f>
        <v>0</v>
      </c>
      <c r="L185" s="569"/>
    </row>
    <row r="186" spans="1:14" s="659" customFormat="1" ht="15.75" customHeight="1" thickTop="1" x14ac:dyDescent="0.2">
      <c r="A186" s="1589" t="s">
        <v>91</v>
      </c>
      <c r="B186" s="1592" t="s">
        <v>860</v>
      </c>
      <c r="C186" s="602"/>
      <c r="D186" s="602"/>
      <c r="E186" s="602"/>
      <c r="F186" s="602"/>
      <c r="G186" s="602"/>
      <c r="H186" s="602"/>
      <c r="I186" s="602"/>
      <c r="J186" s="602"/>
      <c r="K186" s="602"/>
      <c r="L186" s="602"/>
      <c r="M186" s="650"/>
      <c r="N186" s="650"/>
    </row>
    <row r="187" spans="1:14" s="659" customFormat="1" ht="15.75" customHeight="1" x14ac:dyDescent="0.2">
      <c r="A187" s="607" t="s">
        <v>1131</v>
      </c>
      <c r="B187" s="608"/>
      <c r="C187" s="602"/>
      <c r="D187" s="602"/>
      <c r="E187" s="602"/>
      <c r="F187" s="602"/>
      <c r="G187" s="602"/>
      <c r="H187" s="602"/>
      <c r="I187" s="602"/>
      <c r="J187" s="602"/>
      <c r="K187" s="602"/>
      <c r="L187" s="602"/>
      <c r="M187" s="650"/>
      <c r="N187" s="650"/>
    </row>
    <row r="188" spans="1:14" x14ac:dyDescent="0.2">
      <c r="A188" s="1487" t="s">
        <v>496</v>
      </c>
      <c r="B188" s="600">
        <v>4110</v>
      </c>
      <c r="C188" s="602"/>
      <c r="D188" s="602"/>
      <c r="E188" s="466">
        <f ca="1">ROUND(SUMIF(INDIRECT(Formulas!$B$1),"40-"&amp;LEFT($B188,3)&amp;"*-"&amp;MID(E$1,2,1)&amp;"*",INDIRECT(Formulas!$B$3)),0)</f>
        <v>0</v>
      </c>
      <c r="F188" s="602"/>
      <c r="G188" s="602"/>
      <c r="H188" s="466">
        <f ca="1">ROUND(SUMIF(INDIRECT(Formulas!$B$1),"40-"&amp;LEFT($B188,3)&amp;"*-"&amp;MID(H$1,2,1)&amp;"*",INDIRECT(Formulas!$B$3)),0)</f>
        <v>0</v>
      </c>
      <c r="I188" s="476"/>
      <c r="J188" s="602"/>
      <c r="K188" s="1654">
        <f t="shared" ref="K188:K193" ca="1" si="18">SUM(E188,H188)</f>
        <v>0</v>
      </c>
      <c r="L188" s="466"/>
    </row>
    <row r="189" spans="1:14" x14ac:dyDescent="0.2">
      <c r="A189" s="1487" t="s">
        <v>304</v>
      </c>
      <c r="B189" s="600">
        <v>4120</v>
      </c>
      <c r="C189" s="602"/>
      <c r="D189" s="602"/>
      <c r="E189" s="466">
        <f ca="1">ROUND(SUMIF(INDIRECT(Formulas!$B$1),"40-"&amp;LEFT($B189,3)&amp;"*-"&amp;MID(E$1,2,1)&amp;"*",INDIRECT(Formulas!$B$3)),0)</f>
        <v>0</v>
      </c>
      <c r="F189" s="602"/>
      <c r="G189" s="602"/>
      <c r="H189" s="466">
        <f ca="1">ROUND(SUMIF(INDIRECT(Formulas!$B$1),"40-"&amp;LEFT($B189,3)&amp;"*-"&amp;MID(H$1,2,1)&amp;"*",INDIRECT(Formulas!$B$3)),0)</f>
        <v>0</v>
      </c>
      <c r="I189" s="476"/>
      <c r="J189" s="602"/>
      <c r="K189" s="1654">
        <f t="shared" ca="1" si="18"/>
        <v>0</v>
      </c>
      <c r="L189" s="466"/>
    </row>
    <row r="190" spans="1:14" x14ac:dyDescent="0.2">
      <c r="A190" s="1487" t="s">
        <v>305</v>
      </c>
      <c r="B190" s="614">
        <v>4130</v>
      </c>
      <c r="C190" s="602"/>
      <c r="D190" s="602"/>
      <c r="E190" s="466">
        <f ca="1">ROUND(SUMIF(INDIRECT(Formulas!$B$1),"40-"&amp;LEFT($B190,3)&amp;"*-"&amp;MID(E$1,2,1)&amp;"*",INDIRECT(Formulas!$B$3)),0)</f>
        <v>0</v>
      </c>
      <c r="F190" s="602"/>
      <c r="G190" s="602"/>
      <c r="H190" s="466">
        <f ca="1">ROUND(SUMIF(INDIRECT(Formulas!$B$1),"40-"&amp;LEFT($B190,3)&amp;"*-"&amp;MID(H$1,2,1)&amp;"*",INDIRECT(Formulas!$B$3)),0)</f>
        <v>0</v>
      </c>
      <c r="I190" s="476"/>
      <c r="J190" s="602"/>
      <c r="K190" s="1654">
        <f t="shared" ca="1" si="18"/>
        <v>0</v>
      </c>
      <c r="L190" s="466"/>
    </row>
    <row r="191" spans="1:14" x14ac:dyDescent="0.2">
      <c r="A191" s="1487" t="s">
        <v>697</v>
      </c>
      <c r="B191" s="600">
        <v>4140</v>
      </c>
      <c r="C191" s="602"/>
      <c r="D191" s="602"/>
      <c r="E191" s="466">
        <f ca="1">ROUND(SUMIF(INDIRECT(Formulas!$B$1),"40-"&amp;LEFT($B191,3)&amp;"*-"&amp;MID(E$1,2,1)&amp;"*",INDIRECT(Formulas!$B$3)),0)</f>
        <v>0</v>
      </c>
      <c r="F191" s="602"/>
      <c r="G191" s="602"/>
      <c r="H191" s="466">
        <f ca="1">ROUND(SUMIF(INDIRECT(Formulas!$B$1),"40-"&amp;LEFT($B191,3)&amp;"*-"&amp;MID(H$1,2,1)&amp;"*",INDIRECT(Formulas!$B$3)),0)</f>
        <v>0</v>
      </c>
      <c r="I191" s="476"/>
      <c r="J191" s="602"/>
      <c r="K191" s="1654">
        <f t="shared" ca="1" si="18"/>
        <v>0</v>
      </c>
      <c r="L191" s="466"/>
    </row>
    <row r="192" spans="1:14" x14ac:dyDescent="0.2">
      <c r="A192" s="1487" t="s">
        <v>86</v>
      </c>
      <c r="B192" s="600">
        <v>4170</v>
      </c>
      <c r="C192" s="602"/>
      <c r="D192" s="602"/>
      <c r="E192" s="466">
        <f ca="1">ROUND(SUMIF(INDIRECT(Formulas!$B$1),"40-"&amp;LEFT($B192,3)&amp;"*-"&amp;MID(E$1,2,1)&amp;"*",INDIRECT(Formulas!$B$3)),0)</f>
        <v>0</v>
      </c>
      <c r="F192" s="602"/>
      <c r="G192" s="602"/>
      <c r="H192" s="466">
        <f ca="1">ROUND(SUMIF(INDIRECT(Formulas!$B$1),"40-"&amp;LEFT($B192,3)&amp;"*-"&amp;MID(H$1,2,1)&amp;"*",INDIRECT(Formulas!$B$3)),0)</f>
        <v>0</v>
      </c>
      <c r="I192" s="476"/>
      <c r="J192" s="602"/>
      <c r="K192" s="1654">
        <f t="shared" ca="1" si="18"/>
        <v>0</v>
      </c>
      <c r="L192" s="466"/>
    </row>
    <row r="193" spans="1:14" x14ac:dyDescent="0.2">
      <c r="A193" s="1491" t="s">
        <v>698</v>
      </c>
      <c r="B193" s="614">
        <v>4190</v>
      </c>
      <c r="C193" s="602"/>
      <c r="D193" s="602"/>
      <c r="E193" s="466">
        <f ca="1">ROUND(SUMIF(INDIRECT(Formulas!$B$1),"40-"&amp;LEFT($B193,3)&amp;"*-"&amp;MID(E$1,2,1)&amp;"*",INDIRECT(Formulas!$B$3)),0)</f>
        <v>0</v>
      </c>
      <c r="F193" s="602"/>
      <c r="G193" s="602"/>
      <c r="H193" s="466">
        <f ca="1">ROUND(SUMIF(INDIRECT(Formulas!$B$1),"40-"&amp;LEFT($B193,3)&amp;"*-"&amp;MID(H$1,2,1)&amp;"*",INDIRECT(Formulas!$B$3)),0)</f>
        <v>0</v>
      </c>
      <c r="I193" s="476"/>
      <c r="J193" s="602"/>
      <c r="K193" s="1654">
        <f t="shared" ca="1" si="18"/>
        <v>0</v>
      </c>
      <c r="L193" s="466"/>
    </row>
    <row r="194" spans="1:14" ht="12.75" customHeight="1" thickBot="1" x14ac:dyDescent="0.25">
      <c r="A194" s="1651" t="s">
        <v>1140</v>
      </c>
      <c r="B194" s="1652" t="s">
        <v>559</v>
      </c>
      <c r="C194" s="602"/>
      <c r="D194" s="602"/>
      <c r="E194" s="1653">
        <f ca="1">SUM(E188:E193)</f>
        <v>0</v>
      </c>
      <c r="F194" s="602"/>
      <c r="G194" s="602"/>
      <c r="H194" s="1653">
        <f ca="1">SUM(H188:H193)</f>
        <v>0</v>
      </c>
      <c r="I194" s="476"/>
      <c r="J194" s="602"/>
      <c r="K194" s="1653">
        <f ca="1">SUM(K188:K193)</f>
        <v>0</v>
      </c>
      <c r="L194" s="1653">
        <f>SUM(L188:L193)</f>
        <v>0</v>
      </c>
    </row>
    <row r="195" spans="1:14" ht="15.75" customHeight="1" thickTop="1" x14ac:dyDescent="0.2">
      <c r="A195" s="654" t="s">
        <v>92</v>
      </c>
      <c r="B195" s="663" t="s">
        <v>931</v>
      </c>
      <c r="C195" s="602"/>
      <c r="D195" s="602"/>
      <c r="E195" s="466">
        <f ca="1">ROUND(SUMIF(INDIRECT(Formulas!$B$1),"40-"&amp;LEFT($B195,3)&amp;"*-"&amp;MID(E$1,2,1)&amp;"*",INDIRECT(Formulas!$B$3)),0)</f>
        <v>0</v>
      </c>
      <c r="F195" s="602"/>
      <c r="G195" s="602"/>
      <c r="H195" s="466">
        <f ca="1">ROUND(SUMIF(INDIRECT(Formulas!$B$1),"40-"&amp;LEFT($B195,3)&amp;"*-"&amp;MID(H$1,2,1)&amp;"*",INDIRECT(Formulas!$B$3)),0)</f>
        <v>0</v>
      </c>
      <c r="I195" s="476"/>
      <c r="J195" s="602"/>
      <c r="K195" s="1668">
        <f ca="1">SUM(E195,H195)</f>
        <v>0</v>
      </c>
      <c r="L195" s="641"/>
    </row>
    <row r="196" spans="1:14" ht="12.75" customHeight="1" thickBot="1" x14ac:dyDescent="0.25">
      <c r="A196" s="1651" t="s">
        <v>1487</v>
      </c>
      <c r="B196" s="1652" t="s">
        <v>860</v>
      </c>
      <c r="C196" s="602"/>
      <c r="D196" s="602"/>
      <c r="E196" s="1660">
        <f ca="1">SUM(E194,E195)</f>
        <v>0</v>
      </c>
      <c r="F196" s="602"/>
      <c r="G196" s="602"/>
      <c r="H196" s="1660">
        <f ca="1">SUM(H194,H195)</f>
        <v>0</v>
      </c>
      <c r="I196" s="476"/>
      <c r="J196" s="602"/>
      <c r="K196" s="1660">
        <f ca="1">SUM(K194,K195)</f>
        <v>0</v>
      </c>
      <c r="L196" s="1660">
        <f>SUM(L194,L195)</f>
        <v>0</v>
      </c>
    </row>
    <row r="197" spans="1:14" s="659" customFormat="1" ht="15.75" customHeight="1" thickTop="1" x14ac:dyDescent="0.2">
      <c r="A197" s="1595" t="s">
        <v>940</v>
      </c>
      <c r="B197" s="1592" t="s">
        <v>492</v>
      </c>
      <c r="C197" s="602"/>
      <c r="D197" s="602"/>
      <c r="E197" s="602"/>
      <c r="F197" s="602"/>
      <c r="G197" s="602"/>
      <c r="H197" s="602"/>
      <c r="I197" s="602"/>
      <c r="J197" s="602"/>
      <c r="K197" s="602"/>
      <c r="L197" s="602"/>
      <c r="M197" s="650"/>
      <c r="N197" s="650"/>
    </row>
    <row r="198" spans="1:14" s="659" customFormat="1" ht="15.75" customHeight="1" x14ac:dyDescent="0.2">
      <c r="A198" s="638" t="s">
        <v>93</v>
      </c>
      <c r="B198" s="608"/>
      <c r="C198" s="602"/>
      <c r="D198" s="602"/>
      <c r="E198" s="602"/>
      <c r="F198" s="602"/>
      <c r="G198" s="602"/>
      <c r="H198" s="602"/>
      <c r="I198" s="602"/>
      <c r="J198" s="602"/>
      <c r="K198" s="602"/>
      <c r="L198" s="602"/>
      <c r="M198" s="650"/>
      <c r="N198" s="650"/>
    </row>
    <row r="199" spans="1:14" x14ac:dyDescent="0.2">
      <c r="A199" s="1487" t="s">
        <v>87</v>
      </c>
      <c r="B199" s="600">
        <v>5110</v>
      </c>
      <c r="C199" s="602"/>
      <c r="D199" s="602"/>
      <c r="E199" s="602"/>
      <c r="F199" s="602"/>
      <c r="G199" s="602"/>
      <c r="H199" s="466">
        <f ca="1">ROUND(SUMIF(INDIRECT(Formulas!$B$1),"40-"&amp;LEFT($B199,3)&amp;"*-"&amp;MID(H$1,2,1)&amp;"*",INDIRECT(Formulas!$B$3)),0)</f>
        <v>0</v>
      </c>
      <c r="I199" s="602"/>
      <c r="J199" s="602"/>
      <c r="K199" s="1654">
        <f ca="1">SUM(H199)</f>
        <v>0</v>
      </c>
      <c r="L199" s="466"/>
    </row>
    <row r="200" spans="1:14" x14ac:dyDescent="0.2">
      <c r="A200" s="1487" t="s">
        <v>88</v>
      </c>
      <c r="B200" s="600">
        <v>5120</v>
      </c>
      <c r="C200" s="602"/>
      <c r="D200" s="602"/>
      <c r="E200" s="602"/>
      <c r="F200" s="602"/>
      <c r="G200" s="602"/>
      <c r="H200" s="466">
        <f ca="1">ROUND(SUMIF(INDIRECT(Formulas!$B$1),"40-"&amp;LEFT($B200,3)&amp;"*-"&amp;MID(H$1,2,1)&amp;"*",INDIRECT(Formulas!$B$3)),0)</f>
        <v>0</v>
      </c>
      <c r="I200" s="602"/>
      <c r="J200" s="602"/>
      <c r="K200" s="1654">
        <f ca="1">SUM(H200)</f>
        <v>0</v>
      </c>
      <c r="L200" s="466"/>
    </row>
    <row r="201" spans="1:14" ht="12.75" customHeight="1" x14ac:dyDescent="0.2">
      <c r="A201" s="1487" t="s">
        <v>1170</v>
      </c>
      <c r="B201" s="614" t="s">
        <v>617</v>
      </c>
      <c r="C201" s="602"/>
      <c r="D201" s="602"/>
      <c r="E201" s="602"/>
      <c r="F201" s="602"/>
      <c r="G201" s="602"/>
      <c r="H201" s="466">
        <f ca="1">ROUND(SUMIF(INDIRECT(Formulas!$B$1),"40-"&amp;LEFT($B201,3)&amp;"*-"&amp;MID(H$1,2,1)&amp;"*",INDIRECT(Formulas!$B$3)),0)</f>
        <v>0</v>
      </c>
      <c r="I201" s="602"/>
      <c r="J201" s="602"/>
      <c r="K201" s="1654">
        <f ca="1">SUM(H201)</f>
        <v>0</v>
      </c>
      <c r="L201" s="466"/>
    </row>
    <row r="202" spans="1:14" x14ac:dyDescent="0.2">
      <c r="A202" s="1487" t="s">
        <v>89</v>
      </c>
      <c r="B202" s="600" t="s">
        <v>589</v>
      </c>
      <c r="C202" s="602"/>
      <c r="D202" s="602"/>
      <c r="E202" s="602"/>
      <c r="F202" s="602"/>
      <c r="G202" s="602"/>
      <c r="H202" s="466">
        <f ca="1">ROUND(SUMIF(INDIRECT(Formulas!$B$1),"40-"&amp;LEFT($B202,3)&amp;"*-"&amp;MID(H$1,2,1)&amp;"*",INDIRECT(Formulas!$B$3)),0)</f>
        <v>0</v>
      </c>
      <c r="I202" s="602"/>
      <c r="J202" s="602"/>
      <c r="K202" s="1654">
        <f ca="1">SUM(H202)</f>
        <v>0</v>
      </c>
      <c r="L202" s="466"/>
    </row>
    <row r="203" spans="1:14" x14ac:dyDescent="0.2">
      <c r="A203" s="1499" t="s">
        <v>619</v>
      </c>
      <c r="B203" s="600" t="s">
        <v>618</v>
      </c>
      <c r="C203" s="602"/>
      <c r="D203" s="602"/>
      <c r="E203" s="602"/>
      <c r="F203" s="602"/>
      <c r="G203" s="602"/>
      <c r="H203" s="466">
        <f ca="1">ROUND(SUMIF(INDIRECT(Formulas!$B$1),"40-"&amp;LEFT($B203,3)&amp;"*-"&amp;MID(H$1,2,1)&amp;"*",INDIRECT(Formulas!$B$3)),0)</f>
        <v>0</v>
      </c>
      <c r="I203" s="602"/>
      <c r="J203" s="602"/>
      <c r="K203" s="1654">
        <f ca="1">SUM(H203)</f>
        <v>0</v>
      </c>
      <c r="L203" s="471"/>
    </row>
    <row r="204" spans="1:14" ht="13.5" thickBot="1" x14ac:dyDescent="0.25">
      <c r="A204" s="1651" t="s">
        <v>276</v>
      </c>
      <c r="B204" s="1652" t="s">
        <v>718</v>
      </c>
      <c r="C204" s="602"/>
      <c r="D204" s="602"/>
      <c r="E204" s="602"/>
      <c r="F204" s="602"/>
      <c r="G204" s="602"/>
      <c r="H204" s="1653">
        <f ca="1">SUM(H199:H203)</f>
        <v>0</v>
      </c>
      <c r="I204" s="602"/>
      <c r="J204" s="602"/>
      <c r="K204" s="1653">
        <f ca="1">SUM(K199:K203)</f>
        <v>0</v>
      </c>
      <c r="L204" s="1653">
        <f>SUM(L199:L203)</f>
        <v>0</v>
      </c>
    </row>
    <row r="205" spans="1:14" ht="15.75" customHeight="1" thickTop="1" x14ac:dyDescent="0.2">
      <c r="A205" s="664" t="s">
        <v>83</v>
      </c>
      <c r="B205" s="665" t="s">
        <v>38</v>
      </c>
      <c r="C205" s="602"/>
      <c r="D205" s="602"/>
      <c r="E205" s="602"/>
      <c r="F205" s="602"/>
      <c r="G205" s="602"/>
      <c r="H205" s="466">
        <f ca="1">ROUND(SUMIF(INDIRECT(Formulas!$B$1),"40-"&amp;LEFT($B205,3)&amp;"*-"&amp;MID(H$1,2,1)&amp;"*",INDIRECT(Formulas!$B$3)),0)</f>
        <v>0</v>
      </c>
      <c r="I205" s="602"/>
      <c r="J205" s="602"/>
      <c r="K205" s="1668">
        <f ca="1">SUM(H205)</f>
        <v>0</v>
      </c>
      <c r="L205" s="532"/>
    </row>
    <row r="206" spans="1:14" ht="30" customHeight="1" x14ac:dyDescent="0.2">
      <c r="A206" s="666" t="s">
        <v>1671</v>
      </c>
      <c r="B206" s="657" t="s">
        <v>31</v>
      </c>
      <c r="C206" s="602"/>
      <c r="D206" s="602"/>
      <c r="E206" s="602"/>
      <c r="F206" s="602"/>
      <c r="G206" s="602"/>
      <c r="H206" s="466">
        <f ca="1">ROUND(SUMIF(INDIRECT(Formulas!$B$1),"40-"&amp;LEFT($B206,3)&amp;"*-"&amp;MID(H$1,2,1)&amp;"*",INDIRECT(Formulas!$B$3)),0)</f>
        <v>7690</v>
      </c>
      <c r="I206" s="602"/>
      <c r="J206" s="602"/>
      <c r="K206" s="1654">
        <f ca="1">SUM(H206)</f>
        <v>7690</v>
      </c>
      <c r="L206" s="466"/>
    </row>
    <row r="207" spans="1:14" ht="15.75" customHeight="1" x14ac:dyDescent="0.2">
      <c r="A207" s="607" t="s">
        <v>766</v>
      </c>
      <c r="B207" s="657" t="s">
        <v>84</v>
      </c>
      <c r="C207" s="602"/>
      <c r="D207" s="602"/>
      <c r="E207" s="602"/>
      <c r="F207" s="602"/>
      <c r="G207" s="602"/>
      <c r="H207" s="466">
        <f ca="1">ROUND(SUMIF(INDIRECT(Formulas!$B$1),"40-"&amp;LEFT($B207,3)&amp;"*-"&amp;MID(H$1,2,1)&amp;"*",INDIRECT(Formulas!$B$3)),0)</f>
        <v>0</v>
      </c>
      <c r="I207" s="602"/>
      <c r="J207" s="602"/>
      <c r="K207" s="1654">
        <f ca="1">H207</f>
        <v>0</v>
      </c>
      <c r="L207" s="466"/>
    </row>
    <row r="208" spans="1:14" ht="12.75" customHeight="1" thickBot="1" x14ac:dyDescent="0.25">
      <c r="A208" s="1669" t="s">
        <v>638</v>
      </c>
      <c r="B208" s="1670" t="s">
        <v>492</v>
      </c>
      <c r="C208" s="602"/>
      <c r="D208" s="602"/>
      <c r="E208" s="602"/>
      <c r="F208" s="602"/>
      <c r="G208" s="602"/>
      <c r="H208" s="1660">
        <f ca="1">SUM(H204,H205,H206,H207)</f>
        <v>7690</v>
      </c>
      <c r="I208" s="602"/>
      <c r="J208" s="602"/>
      <c r="K208" s="1660">
        <f ca="1">SUM(K204,K205,K206,K207)</f>
        <v>7690</v>
      </c>
      <c r="L208" s="1660">
        <f>SUM(L204,L205,L206,L207)</f>
        <v>0</v>
      </c>
    </row>
    <row r="209" spans="1:14" ht="15.75" customHeight="1" thickTop="1" thickBot="1" x14ac:dyDescent="0.25">
      <c r="A209" s="1589" t="s">
        <v>872</v>
      </c>
      <c r="B209" s="1596" t="s">
        <v>861</v>
      </c>
      <c r="C209" s="609"/>
      <c r="D209" s="609"/>
      <c r="E209" s="609"/>
      <c r="F209" s="609"/>
      <c r="G209" s="609"/>
      <c r="H209" s="609"/>
      <c r="I209" s="602"/>
      <c r="J209" s="602"/>
      <c r="K209" s="609"/>
      <c r="L209" s="569"/>
    </row>
    <row r="210" spans="1:14" ht="12.75" customHeight="1" thickTop="1" thickBot="1" x14ac:dyDescent="0.25">
      <c r="A210" s="1675" t="s">
        <v>277</v>
      </c>
      <c r="B210" s="1676"/>
      <c r="C210" s="1653">
        <f ca="1">SUM(C184,C185)</f>
        <v>13270</v>
      </c>
      <c r="D210" s="1653">
        <f ca="1">SUM(D184,D185)</f>
        <v>1347</v>
      </c>
      <c r="E210" s="1653">
        <f ca="1">SUM(E184,E185,E196)</f>
        <v>63254</v>
      </c>
      <c r="F210" s="1653">
        <f ca="1">SUM(F184,F185)</f>
        <v>14622</v>
      </c>
      <c r="G210" s="1653">
        <f ca="1">SUM(G184,G185)</f>
        <v>21651</v>
      </c>
      <c r="H210" s="1653">
        <f ca="1">SUM(H184,H185,H196,H208,H209)</f>
        <v>7690</v>
      </c>
      <c r="I210" s="1653">
        <f ca="1">SUM(I184,I185)</f>
        <v>0</v>
      </c>
      <c r="J210" s="1653">
        <f ca="1">SUM(J184,J185)</f>
        <v>0</v>
      </c>
      <c r="K210" s="1654">
        <f ca="1">SUM(K184,K185,K196,K208,K209)</f>
        <v>121834</v>
      </c>
      <c r="L210" s="1653">
        <f>SUM(L184,L185,L196,L208,L209)</f>
        <v>192190</v>
      </c>
    </row>
    <row r="211" spans="1:14" ht="13.5" thickTop="1" x14ac:dyDescent="0.2">
      <c r="A211" s="2217" t="s">
        <v>996</v>
      </c>
      <c r="B211" s="2218"/>
      <c r="C211" s="604"/>
      <c r="D211" s="604"/>
      <c r="E211" s="604"/>
      <c r="F211" s="604"/>
      <c r="G211" s="604"/>
      <c r="H211" s="604"/>
      <c r="I211" s="602"/>
      <c r="J211" s="602"/>
      <c r="K211" s="1667">
        <f ca="1">'Revenues 9-14'!F268-'Expenditures 15-22'!K210</f>
        <v>79977</v>
      </c>
      <c r="L211" s="604"/>
    </row>
    <row r="212" spans="1:14" s="651" customFormat="1" ht="9" customHeight="1" x14ac:dyDescent="0.2">
      <c r="A212" s="648"/>
      <c r="B212" s="658"/>
      <c r="C212" s="635"/>
      <c r="D212" s="635"/>
      <c r="E212" s="635"/>
      <c r="F212" s="635"/>
      <c r="G212" s="635"/>
      <c r="H212" s="635"/>
      <c r="I212" s="635"/>
      <c r="J212" s="635"/>
      <c r="K212" s="635"/>
      <c r="L212" s="635"/>
      <c r="M212" s="650"/>
      <c r="N212" s="650"/>
    </row>
    <row r="213" spans="1:14" s="343" customFormat="1" ht="16.7" customHeight="1" x14ac:dyDescent="0.2">
      <c r="A213" s="2239" t="s">
        <v>965</v>
      </c>
      <c r="B213" s="2240"/>
      <c r="C213" s="1534"/>
      <c r="D213" s="1535"/>
      <c r="E213" s="1535"/>
      <c r="F213" s="1535"/>
      <c r="G213" s="1535"/>
      <c r="H213" s="1535"/>
      <c r="I213" s="1535"/>
      <c r="J213" s="1535"/>
      <c r="K213" s="1535"/>
      <c r="L213" s="1536"/>
      <c r="M213" s="595"/>
      <c r="N213" s="595"/>
    </row>
    <row r="214" spans="1:14" s="659" customFormat="1" ht="15.75" customHeight="1" x14ac:dyDescent="0.2">
      <c r="A214" s="1606" t="s">
        <v>873</v>
      </c>
      <c r="B214" s="1598" t="s">
        <v>570</v>
      </c>
      <c r="C214" s="602"/>
      <c r="D214" s="609"/>
      <c r="E214" s="602"/>
      <c r="F214" s="602"/>
      <c r="G214" s="602"/>
      <c r="H214" s="602"/>
      <c r="I214" s="602"/>
      <c r="J214" s="602"/>
      <c r="K214" s="609"/>
      <c r="L214" s="609"/>
      <c r="M214" s="650"/>
      <c r="N214" s="650"/>
    </row>
    <row r="215" spans="1:14" x14ac:dyDescent="0.2">
      <c r="A215" s="1487" t="s">
        <v>961</v>
      </c>
      <c r="B215" s="600">
        <v>1100</v>
      </c>
      <c r="C215" s="602"/>
      <c r="D215" s="466">
        <f ca="1">ROUND(SUMIF(INDIRECT(Formulas!$B$1),"50-"&amp;LEFT($B215,3)&amp;"*-"&amp;MID(D$1,2,1)&amp;"*",INDIRECT(Formulas!$B$3)),0)</f>
        <v>9149</v>
      </c>
      <c r="E215" s="602"/>
      <c r="F215" s="602"/>
      <c r="G215" s="602"/>
      <c r="H215" s="602"/>
      <c r="I215" s="602"/>
      <c r="J215" s="602"/>
      <c r="K215" s="1654">
        <f ca="1">D215</f>
        <v>9149</v>
      </c>
      <c r="L215" s="466">
        <v>0</v>
      </c>
    </row>
    <row r="216" spans="1:14" x14ac:dyDescent="0.2">
      <c r="A216" s="1487" t="s">
        <v>163</v>
      </c>
      <c r="B216" s="600" t="s">
        <v>967</v>
      </c>
      <c r="C216" s="602"/>
      <c r="D216" s="466">
        <f ca="1">ROUND(SUMIF(INDIRECT(Formulas!$B$1),"50-"&amp;LEFT($B216,3)&amp;"*-"&amp;MID(D$1,2,1)&amp;"*",INDIRECT(Formulas!$B$3)),0)</f>
        <v>2180</v>
      </c>
      <c r="E216" s="602"/>
      <c r="F216" s="602"/>
      <c r="G216" s="602"/>
      <c r="H216" s="602"/>
      <c r="I216" s="602"/>
      <c r="J216" s="602"/>
      <c r="K216" s="1654">
        <f t="shared" ref="K216:K228" ca="1" si="19">D216</f>
        <v>2180</v>
      </c>
      <c r="L216" s="466">
        <v>3075</v>
      </c>
    </row>
    <row r="217" spans="1:14" x14ac:dyDescent="0.2">
      <c r="A217" s="1487" t="s">
        <v>164</v>
      </c>
      <c r="B217" s="600">
        <v>1200</v>
      </c>
      <c r="C217" s="602"/>
      <c r="D217" s="466">
        <f ca="1">ROUND(SUMIF(INDIRECT(Formulas!$B$1),"50-"&amp;LEFT($B217,3)&amp;"*-"&amp;MID(D$1,2,1)&amp;"*",INDIRECT(Formulas!$B$3)),0)</f>
        <v>9000</v>
      </c>
      <c r="E217" s="602"/>
      <c r="F217" s="602"/>
      <c r="G217" s="602"/>
      <c r="H217" s="602"/>
      <c r="I217" s="602"/>
      <c r="J217" s="602"/>
      <c r="K217" s="1654">
        <f t="shared" ca="1" si="19"/>
        <v>9000</v>
      </c>
      <c r="L217" s="466">
        <v>11140</v>
      </c>
    </row>
    <row r="218" spans="1:14" x14ac:dyDescent="0.2">
      <c r="A218" s="1487" t="s">
        <v>278</v>
      </c>
      <c r="B218" s="600" t="s">
        <v>968</v>
      </c>
      <c r="C218" s="602"/>
      <c r="D218" s="466">
        <f ca="1">ROUND(SUMIF(INDIRECT(Formulas!$B$1),"50-"&amp;LEFT($B218,3)&amp;"*-"&amp;MID(D$1,2,1)&amp;"*",INDIRECT(Formulas!$B$3)),0)</f>
        <v>0</v>
      </c>
      <c r="E218" s="602"/>
      <c r="F218" s="602"/>
      <c r="G218" s="602"/>
      <c r="H218" s="602"/>
      <c r="I218" s="602"/>
      <c r="J218" s="602"/>
      <c r="K218" s="1654">
        <f t="shared" ca="1" si="19"/>
        <v>0</v>
      </c>
      <c r="L218" s="466">
        <v>0</v>
      </c>
    </row>
    <row r="219" spans="1:14" x14ac:dyDescent="0.2">
      <c r="A219" s="1487" t="s">
        <v>279</v>
      </c>
      <c r="B219" s="600">
        <v>1250</v>
      </c>
      <c r="C219" s="602"/>
      <c r="D219" s="466">
        <f ca="1">ROUND(SUMIF(INDIRECT(Formulas!$B$1),"50-"&amp;LEFT($B219,3)&amp;"*-"&amp;MID(D$1,2,1)&amp;"*",INDIRECT(Formulas!$B$3)),0)</f>
        <v>4485</v>
      </c>
      <c r="E219" s="602"/>
      <c r="F219" s="602"/>
      <c r="G219" s="602"/>
      <c r="H219" s="602"/>
      <c r="I219" s="602"/>
      <c r="J219" s="602"/>
      <c r="K219" s="1654">
        <f t="shared" ca="1" si="19"/>
        <v>4485</v>
      </c>
      <c r="L219" s="466">
        <v>3000</v>
      </c>
    </row>
    <row r="220" spans="1:14" x14ac:dyDescent="0.2">
      <c r="A220" s="1487" t="s">
        <v>280</v>
      </c>
      <c r="B220" s="600" t="s">
        <v>161</v>
      </c>
      <c r="C220" s="602"/>
      <c r="D220" s="466">
        <f ca="1">ROUND(SUMIF(INDIRECT(Formulas!$B$1),"50-"&amp;LEFT($B220,3)&amp;"*-"&amp;MID(D$1,2,1)&amp;"*",INDIRECT(Formulas!$B$3)),0)</f>
        <v>0</v>
      </c>
      <c r="E220" s="602"/>
      <c r="F220" s="602"/>
      <c r="G220" s="602"/>
      <c r="H220" s="602"/>
      <c r="I220" s="602"/>
      <c r="J220" s="602"/>
      <c r="K220" s="1654">
        <f t="shared" ca="1" si="19"/>
        <v>0</v>
      </c>
      <c r="L220" s="466">
        <v>0</v>
      </c>
    </row>
    <row r="221" spans="1:14" x14ac:dyDescent="0.2">
      <c r="A221" s="1487" t="s">
        <v>962</v>
      </c>
      <c r="B221" s="600">
        <v>1300</v>
      </c>
      <c r="C221" s="602"/>
      <c r="D221" s="466">
        <f ca="1">ROUND(SUMIF(INDIRECT(Formulas!$B$1),"50-"&amp;LEFT($B221,3)&amp;"*-"&amp;MID(D$1,2,1)&amp;"*",INDIRECT(Formulas!$B$3)),0)</f>
        <v>0</v>
      </c>
      <c r="E221" s="602"/>
      <c r="F221" s="602"/>
      <c r="G221" s="602"/>
      <c r="H221" s="602"/>
      <c r="I221" s="602"/>
      <c r="J221" s="602"/>
      <c r="K221" s="1654">
        <f t="shared" ca="1" si="19"/>
        <v>0</v>
      </c>
      <c r="L221" s="466">
        <v>0</v>
      </c>
    </row>
    <row r="222" spans="1:14" x14ac:dyDescent="0.2">
      <c r="A222" s="1487" t="s">
        <v>723</v>
      </c>
      <c r="B222" s="600">
        <v>1400</v>
      </c>
      <c r="C222" s="602"/>
      <c r="D222" s="466">
        <f ca="1">ROUND(SUMIF(INDIRECT(Formulas!$B$1),"50-"&amp;LEFT($B222,3)&amp;"*-"&amp;MID(D$1,2,1)&amp;"*",INDIRECT(Formulas!$B$3)),0)</f>
        <v>0</v>
      </c>
      <c r="E222" s="602"/>
      <c r="F222" s="602"/>
      <c r="G222" s="602"/>
      <c r="H222" s="602"/>
      <c r="I222" s="602"/>
      <c r="J222" s="602"/>
      <c r="K222" s="1654">
        <f t="shared" ca="1" si="19"/>
        <v>0</v>
      </c>
      <c r="L222" s="466">
        <v>0</v>
      </c>
    </row>
    <row r="223" spans="1:14" x14ac:dyDescent="0.2">
      <c r="A223" s="1487" t="s">
        <v>963</v>
      </c>
      <c r="B223" s="600">
        <v>1500</v>
      </c>
      <c r="C223" s="602"/>
      <c r="D223" s="466">
        <f ca="1">ROUND(SUMIF(INDIRECT(Formulas!$B$1),"50-"&amp;LEFT($B223,3)&amp;"*-"&amp;MID(D$1,2,1)&amp;"*",INDIRECT(Formulas!$B$3)),0)</f>
        <v>841</v>
      </c>
      <c r="E223" s="602"/>
      <c r="F223" s="602"/>
      <c r="G223" s="602"/>
      <c r="H223" s="602"/>
      <c r="I223" s="602"/>
      <c r="J223" s="602"/>
      <c r="K223" s="1654">
        <f t="shared" ca="1" si="19"/>
        <v>841</v>
      </c>
      <c r="L223" s="466">
        <v>0</v>
      </c>
    </row>
    <row r="224" spans="1:14" x14ac:dyDescent="0.2">
      <c r="A224" s="1487" t="s">
        <v>964</v>
      </c>
      <c r="B224" s="600">
        <v>1600</v>
      </c>
      <c r="C224" s="602"/>
      <c r="D224" s="466">
        <f ca="1">ROUND(SUMIF(INDIRECT(Formulas!$B$1),"50-"&amp;LEFT($B224,3)&amp;"*-"&amp;MID(D$1,2,1)&amp;"*",INDIRECT(Formulas!$B$3)),0)</f>
        <v>0</v>
      </c>
      <c r="E224" s="602"/>
      <c r="F224" s="602"/>
      <c r="G224" s="602"/>
      <c r="H224" s="602"/>
      <c r="I224" s="602"/>
      <c r="J224" s="602"/>
      <c r="K224" s="1654">
        <f t="shared" ca="1" si="19"/>
        <v>0</v>
      </c>
      <c r="L224" s="466"/>
    </row>
    <row r="225" spans="1:12" x14ac:dyDescent="0.2">
      <c r="A225" s="1487" t="s">
        <v>987</v>
      </c>
      <c r="B225" s="600">
        <v>1650</v>
      </c>
      <c r="C225" s="602"/>
      <c r="D225" s="466">
        <f ca="1">ROUND(SUMIF(INDIRECT(Formulas!$B$1),"50-"&amp;LEFT($B225,3)&amp;"*-"&amp;MID(D$1,2,1)&amp;"*",INDIRECT(Formulas!$B$3)),0)</f>
        <v>0</v>
      </c>
      <c r="E225" s="602"/>
      <c r="F225" s="602"/>
      <c r="G225" s="602"/>
      <c r="H225" s="602"/>
      <c r="I225" s="602"/>
      <c r="J225" s="602"/>
      <c r="K225" s="1654">
        <f t="shared" ca="1" si="19"/>
        <v>0</v>
      </c>
      <c r="L225" s="466">
        <v>0</v>
      </c>
    </row>
    <row r="226" spans="1:12" x14ac:dyDescent="0.2">
      <c r="A226" s="1487" t="s">
        <v>724</v>
      </c>
      <c r="B226" s="600" t="s">
        <v>162</v>
      </c>
      <c r="C226" s="602"/>
      <c r="D226" s="466">
        <f ca="1">ROUND(SUMIF(INDIRECT(Formulas!$B$1),"50-"&amp;LEFT($B226,3)&amp;"*-"&amp;MID(D$1,2,1)&amp;"*",INDIRECT(Formulas!$B$3)),0)</f>
        <v>0</v>
      </c>
      <c r="E226" s="602"/>
      <c r="F226" s="602"/>
      <c r="G226" s="602"/>
      <c r="H226" s="602"/>
      <c r="I226" s="602"/>
      <c r="J226" s="602"/>
      <c r="K226" s="1654">
        <f t="shared" ca="1" si="19"/>
        <v>0</v>
      </c>
      <c r="L226" s="466">
        <v>0</v>
      </c>
    </row>
    <row r="227" spans="1:12" x14ac:dyDescent="0.2">
      <c r="A227" s="1487" t="s">
        <v>1087</v>
      </c>
      <c r="B227" s="600">
        <v>1800</v>
      </c>
      <c r="C227" s="602"/>
      <c r="D227" s="466">
        <f ca="1">ROUND(SUMIF(INDIRECT(Formulas!$B$1),"50-"&amp;LEFT($B227,3)&amp;"*-"&amp;MID(D$1,2,1)&amp;"*",INDIRECT(Formulas!$B$3)),0)</f>
        <v>0</v>
      </c>
      <c r="E227" s="602"/>
      <c r="F227" s="602"/>
      <c r="G227" s="602"/>
      <c r="H227" s="602"/>
      <c r="I227" s="602"/>
      <c r="J227" s="602"/>
      <c r="K227" s="1654">
        <f t="shared" ca="1" si="19"/>
        <v>0</v>
      </c>
      <c r="L227" s="466">
        <v>0</v>
      </c>
    </row>
    <row r="228" spans="1:12" x14ac:dyDescent="0.2">
      <c r="A228" s="1487" t="s">
        <v>1088</v>
      </c>
      <c r="B228" s="600">
        <v>1900</v>
      </c>
      <c r="C228" s="602"/>
      <c r="D228" s="466">
        <f ca="1">ROUND(SUMIF(INDIRECT(Formulas!$B$1),"50-"&amp;LEFT($B228,3)&amp;"*-"&amp;MID(D$1,2,1)&amp;"*",INDIRECT(Formulas!$B$3)),0)</f>
        <v>0</v>
      </c>
      <c r="E228" s="602"/>
      <c r="F228" s="602"/>
      <c r="G228" s="602"/>
      <c r="H228" s="602"/>
      <c r="I228" s="602"/>
      <c r="J228" s="602"/>
      <c r="K228" s="1654">
        <f t="shared" ca="1" si="19"/>
        <v>0</v>
      </c>
      <c r="L228" s="466"/>
    </row>
    <row r="229" spans="1:12" ht="12.75" customHeight="1" thickBot="1" x14ac:dyDescent="0.25">
      <c r="A229" s="1651" t="s">
        <v>715</v>
      </c>
      <c r="B229" s="1658" t="s">
        <v>570</v>
      </c>
      <c r="C229" s="602"/>
      <c r="D229" s="1653">
        <f ca="1">SUM(D215:D228)</f>
        <v>25655</v>
      </c>
      <c r="E229" s="602"/>
      <c r="F229" s="602"/>
      <c r="G229" s="602"/>
      <c r="H229" s="602"/>
      <c r="I229" s="602"/>
      <c r="J229" s="602"/>
      <c r="K229" s="1653">
        <f ca="1">SUM(K215:K228)</f>
        <v>25655</v>
      </c>
      <c r="L229" s="1653">
        <f>SUM(L215:L228)</f>
        <v>17215</v>
      </c>
    </row>
    <row r="230" spans="1:12" ht="15.75" customHeight="1" thickTop="1" x14ac:dyDescent="0.2">
      <c r="A230" s="1595" t="s">
        <v>874</v>
      </c>
      <c r="B230" s="1596" t="s">
        <v>569</v>
      </c>
      <c r="C230" s="602"/>
      <c r="D230" s="602"/>
      <c r="E230" s="602"/>
      <c r="F230" s="602"/>
      <c r="G230" s="602"/>
      <c r="H230" s="602"/>
      <c r="I230" s="602"/>
      <c r="J230" s="602"/>
      <c r="K230" s="602"/>
      <c r="L230" s="602"/>
    </row>
    <row r="231" spans="1:12" ht="15.75" customHeight="1" x14ac:dyDescent="0.2">
      <c r="A231" s="638" t="s">
        <v>591</v>
      </c>
      <c r="B231" s="608"/>
      <c r="C231" s="602"/>
      <c r="D231" s="602"/>
      <c r="E231" s="602"/>
      <c r="F231" s="602"/>
      <c r="G231" s="602"/>
      <c r="H231" s="602"/>
      <c r="I231" s="602"/>
      <c r="J231" s="602"/>
      <c r="K231" s="602"/>
      <c r="L231" s="602"/>
    </row>
    <row r="232" spans="1:12" x14ac:dyDescent="0.2">
      <c r="A232" s="1487" t="s">
        <v>1089</v>
      </c>
      <c r="B232" s="600">
        <v>2110</v>
      </c>
      <c r="C232" s="602"/>
      <c r="D232" s="466">
        <f ca="1">ROUND(SUMIF(INDIRECT(Formulas!$B$1),"50-"&amp;LEFT($B232,3)&amp;"*-"&amp;MID(D$1,2,1)&amp;"*",INDIRECT(Formulas!$B$3)),0)</f>
        <v>0</v>
      </c>
      <c r="E232" s="602"/>
      <c r="F232" s="602"/>
      <c r="G232" s="602"/>
      <c r="H232" s="602"/>
      <c r="I232" s="602"/>
      <c r="J232" s="602"/>
      <c r="K232" s="1654">
        <f t="shared" ref="K232:K237" ca="1" si="20">D232</f>
        <v>0</v>
      </c>
      <c r="L232" s="466">
        <v>0</v>
      </c>
    </row>
    <row r="233" spans="1:12" x14ac:dyDescent="0.2">
      <c r="A233" s="1487" t="s">
        <v>1090</v>
      </c>
      <c r="B233" s="600">
        <v>2120</v>
      </c>
      <c r="C233" s="602"/>
      <c r="D233" s="466">
        <f ca="1">ROUND(SUMIF(INDIRECT(Formulas!$B$1),"50-"&amp;LEFT($B233,3)&amp;"*-"&amp;MID(D$1,2,1)&amp;"*",INDIRECT(Formulas!$B$3)),0)</f>
        <v>0</v>
      </c>
      <c r="E233" s="602"/>
      <c r="F233" s="602"/>
      <c r="G233" s="602"/>
      <c r="H233" s="602"/>
      <c r="I233" s="602"/>
      <c r="J233" s="602"/>
      <c r="K233" s="1654">
        <f t="shared" ca="1" si="20"/>
        <v>0</v>
      </c>
      <c r="L233" s="466">
        <v>0</v>
      </c>
    </row>
    <row r="234" spans="1:12" x14ac:dyDescent="0.2">
      <c r="A234" s="1487" t="s">
        <v>198</v>
      </c>
      <c r="B234" s="600">
        <v>2130</v>
      </c>
      <c r="C234" s="602"/>
      <c r="D234" s="466">
        <f ca="1">ROUND(SUMIF(INDIRECT(Formulas!$B$1),"50-"&amp;LEFT($B234,3)&amp;"*-"&amp;MID(D$1,2,1)&amp;"*",INDIRECT(Formulas!$B$3)),0)</f>
        <v>0</v>
      </c>
      <c r="E234" s="602"/>
      <c r="F234" s="602"/>
      <c r="G234" s="602"/>
      <c r="H234" s="602"/>
      <c r="I234" s="602"/>
      <c r="J234" s="602"/>
      <c r="K234" s="1654">
        <f t="shared" ca="1" si="20"/>
        <v>0</v>
      </c>
      <c r="L234" s="466">
        <v>0</v>
      </c>
    </row>
    <row r="235" spans="1:12" x14ac:dyDescent="0.2">
      <c r="A235" s="1487" t="s">
        <v>199</v>
      </c>
      <c r="B235" s="600">
        <v>2140</v>
      </c>
      <c r="C235" s="602"/>
      <c r="D235" s="466">
        <f ca="1">ROUND(SUMIF(INDIRECT(Formulas!$B$1),"50-"&amp;LEFT($B235,3)&amp;"*-"&amp;MID(D$1,2,1)&amp;"*",INDIRECT(Formulas!$B$3)),0)</f>
        <v>0</v>
      </c>
      <c r="E235" s="602"/>
      <c r="F235" s="602"/>
      <c r="G235" s="602"/>
      <c r="H235" s="602"/>
      <c r="I235" s="602"/>
      <c r="J235" s="602"/>
      <c r="K235" s="1654">
        <f t="shared" ca="1" si="20"/>
        <v>0</v>
      </c>
      <c r="L235" s="466">
        <v>0</v>
      </c>
    </row>
    <row r="236" spans="1:12" x14ac:dyDescent="0.2">
      <c r="A236" s="1487" t="s">
        <v>200</v>
      </c>
      <c r="B236" s="600">
        <v>2150</v>
      </c>
      <c r="C236" s="602"/>
      <c r="D236" s="466">
        <f ca="1">ROUND(SUMIF(INDIRECT(Formulas!$B$1),"50-"&amp;LEFT($B236,3)&amp;"*-"&amp;MID(D$1,2,1)&amp;"*",INDIRECT(Formulas!$B$3)),0)</f>
        <v>0</v>
      </c>
      <c r="E236" s="602"/>
      <c r="F236" s="602"/>
      <c r="G236" s="602"/>
      <c r="H236" s="602"/>
      <c r="I236" s="602"/>
      <c r="J236" s="602"/>
      <c r="K236" s="1654">
        <f t="shared" ca="1" si="20"/>
        <v>0</v>
      </c>
      <c r="L236" s="466">
        <v>0</v>
      </c>
    </row>
    <row r="237" spans="1:12" x14ac:dyDescent="0.2">
      <c r="A237" s="1487" t="s">
        <v>165</v>
      </c>
      <c r="B237" s="600">
        <v>2190</v>
      </c>
      <c r="C237" s="602"/>
      <c r="D237" s="466">
        <f ca="1">ROUND(SUMIF(INDIRECT(Formulas!$B$1),"50-"&amp;LEFT($B237,3)&amp;"*-"&amp;MID(D$1,2,1)&amp;"*",INDIRECT(Formulas!$B$3)),0)</f>
        <v>0</v>
      </c>
      <c r="E237" s="602"/>
      <c r="F237" s="602"/>
      <c r="G237" s="602"/>
      <c r="H237" s="602"/>
      <c r="I237" s="602"/>
      <c r="J237" s="602"/>
      <c r="K237" s="1654">
        <f t="shared" ca="1" si="20"/>
        <v>0</v>
      </c>
      <c r="L237" s="466">
        <v>0</v>
      </c>
    </row>
    <row r="238" spans="1:12" ht="12.75" customHeight="1" thickBot="1" x14ac:dyDescent="0.25">
      <c r="A238" s="1651" t="s">
        <v>560</v>
      </c>
      <c r="B238" s="1658" t="s">
        <v>716</v>
      </c>
      <c r="C238" s="602"/>
      <c r="D238" s="1653">
        <f ca="1">SUM(D232:D237)</f>
        <v>0</v>
      </c>
      <c r="E238" s="602"/>
      <c r="F238" s="602"/>
      <c r="G238" s="602"/>
      <c r="H238" s="602"/>
      <c r="I238" s="602"/>
      <c r="J238" s="602"/>
      <c r="K238" s="1653">
        <f ca="1">SUM(K232:K237)</f>
        <v>0</v>
      </c>
      <c r="L238" s="1653">
        <f>SUM(L232:L237)</f>
        <v>0</v>
      </c>
    </row>
    <row r="239" spans="1:12" ht="15.75" customHeight="1" thickTop="1" x14ac:dyDescent="0.2">
      <c r="A239" s="610" t="s">
        <v>592</v>
      </c>
      <c r="B239" s="617"/>
      <c r="C239" s="602"/>
      <c r="D239" s="612"/>
      <c r="E239" s="602"/>
      <c r="F239" s="602"/>
      <c r="G239" s="602"/>
      <c r="H239" s="602"/>
      <c r="I239" s="602"/>
      <c r="J239" s="602"/>
      <c r="K239" s="612"/>
      <c r="L239" s="612"/>
    </row>
    <row r="240" spans="1:12" x14ac:dyDescent="0.2">
      <c r="A240" s="1487" t="s">
        <v>814</v>
      </c>
      <c r="B240" s="600">
        <v>2210</v>
      </c>
      <c r="C240" s="602"/>
      <c r="D240" s="466">
        <f ca="1">ROUND(SUMIF(INDIRECT(Formulas!$B$1),"50-"&amp;LEFT($B240,3)&amp;"*-"&amp;MID(D$1,2,1)&amp;"*",INDIRECT(Formulas!$B$3)),0)</f>
        <v>0</v>
      </c>
      <c r="E240" s="602"/>
      <c r="F240" s="602"/>
      <c r="G240" s="602"/>
      <c r="H240" s="602"/>
      <c r="I240" s="602"/>
      <c r="J240" s="602"/>
      <c r="K240" s="1655">
        <f ca="1">D240</f>
        <v>0</v>
      </c>
      <c r="L240" s="480">
        <v>0</v>
      </c>
    </row>
    <row r="241" spans="1:12" x14ac:dyDescent="0.2">
      <c r="A241" s="1487" t="s">
        <v>815</v>
      </c>
      <c r="B241" s="600">
        <v>2220</v>
      </c>
      <c r="C241" s="602"/>
      <c r="D241" s="466">
        <f ca="1">ROUND(SUMIF(INDIRECT(Formulas!$B$1),"50-"&amp;LEFT($B241,3)&amp;"*-"&amp;MID(D$1,2,1)&amp;"*",INDIRECT(Formulas!$B$3)),0)</f>
        <v>9</v>
      </c>
      <c r="E241" s="602"/>
      <c r="F241" s="602"/>
      <c r="G241" s="602"/>
      <c r="H241" s="602"/>
      <c r="I241" s="602"/>
      <c r="J241" s="602"/>
      <c r="K241" s="1655">
        <f ca="1">D241</f>
        <v>9</v>
      </c>
      <c r="L241" s="466">
        <v>432</v>
      </c>
    </row>
    <row r="242" spans="1:12" x14ac:dyDescent="0.2">
      <c r="A242" s="1487" t="s">
        <v>816</v>
      </c>
      <c r="B242" s="600">
        <v>2230</v>
      </c>
      <c r="C242" s="602"/>
      <c r="D242" s="466">
        <f ca="1">ROUND(SUMIF(INDIRECT(Formulas!$B$1),"50-"&amp;LEFT($B242,3)&amp;"*-"&amp;MID(D$1,2,1)&amp;"*",INDIRECT(Formulas!$B$3)),0)</f>
        <v>0</v>
      </c>
      <c r="E242" s="602"/>
      <c r="F242" s="602"/>
      <c r="G242" s="602"/>
      <c r="H242" s="602"/>
      <c r="I242" s="602"/>
      <c r="J242" s="602"/>
      <c r="K242" s="1655">
        <f ca="1">D242</f>
        <v>0</v>
      </c>
      <c r="L242" s="466">
        <v>0</v>
      </c>
    </row>
    <row r="243" spans="1:12" ht="12.75" customHeight="1" thickBot="1" x14ac:dyDescent="0.25">
      <c r="A243" s="1677" t="s">
        <v>561</v>
      </c>
      <c r="B243" s="1678">
        <v>2200</v>
      </c>
      <c r="C243" s="602"/>
      <c r="D243" s="1653">
        <f ca="1">SUM(D240:D242)</f>
        <v>9</v>
      </c>
      <c r="E243" s="602"/>
      <c r="F243" s="602"/>
      <c r="G243" s="602"/>
      <c r="H243" s="602"/>
      <c r="I243" s="602"/>
      <c r="J243" s="602"/>
      <c r="K243" s="1653">
        <f ca="1">SUM(K240:K242)</f>
        <v>9</v>
      </c>
      <c r="L243" s="1653">
        <f>SUM(L240:L242)</f>
        <v>432</v>
      </c>
    </row>
    <row r="244" spans="1:12" ht="15.75" customHeight="1" thickTop="1" x14ac:dyDescent="0.2">
      <c r="A244" s="610" t="s">
        <v>610</v>
      </c>
      <c r="B244" s="667"/>
      <c r="C244" s="602"/>
      <c r="D244" s="612"/>
      <c r="E244" s="602"/>
      <c r="F244" s="602"/>
      <c r="G244" s="602"/>
      <c r="H244" s="602"/>
      <c r="I244" s="602"/>
      <c r="J244" s="602"/>
      <c r="K244" s="612"/>
      <c r="L244" s="612"/>
    </row>
    <row r="245" spans="1:12" x14ac:dyDescent="0.2">
      <c r="A245" s="1487" t="s">
        <v>817</v>
      </c>
      <c r="B245" s="600">
        <v>2310</v>
      </c>
      <c r="C245" s="602"/>
      <c r="D245" s="466">
        <f ca="1">ROUND(SUMIF(INDIRECT(Formulas!$B$1),"50-"&amp;LEFT($B245,3)&amp;"*-"&amp;MID(D$1,2,1)&amp;"*",INDIRECT(Formulas!$B$3)),0)</f>
        <v>317</v>
      </c>
      <c r="E245" s="602"/>
      <c r="F245" s="602"/>
      <c r="G245" s="602"/>
      <c r="H245" s="602"/>
      <c r="I245" s="602"/>
      <c r="J245" s="602"/>
      <c r="K245" s="1655">
        <f ca="1">D245</f>
        <v>317</v>
      </c>
      <c r="L245" s="480">
        <v>285</v>
      </c>
    </row>
    <row r="246" spans="1:12" x14ac:dyDescent="0.2">
      <c r="A246" s="1487" t="s">
        <v>818</v>
      </c>
      <c r="B246" s="600">
        <v>2320</v>
      </c>
      <c r="C246" s="602"/>
      <c r="D246" s="466">
        <f ca="1">ROUND(SUMIF(INDIRECT(Formulas!$B$1),"50-"&amp;LEFT($B246,3)&amp;"*-"&amp;MID(D$1,2,1)&amp;"*",INDIRECT(Formulas!$B$3)),0)</f>
        <v>4791</v>
      </c>
      <c r="E246" s="602"/>
      <c r="F246" s="602"/>
      <c r="G246" s="602"/>
      <c r="H246" s="602"/>
      <c r="I246" s="602"/>
      <c r="J246" s="602"/>
      <c r="K246" s="1655">
        <f t="shared" ref="K246:K256" ca="1" si="21">D246</f>
        <v>4791</v>
      </c>
      <c r="L246" s="466">
        <v>2450</v>
      </c>
    </row>
    <row r="247" spans="1:12" x14ac:dyDescent="0.2">
      <c r="A247" s="1487" t="s">
        <v>819</v>
      </c>
      <c r="B247" s="600">
        <v>2330</v>
      </c>
      <c r="C247" s="602"/>
      <c r="D247" s="466">
        <f ca="1">ROUND(SUMIF(INDIRECT(Formulas!$B$1),"50-"&amp;LEFT($B247,3)&amp;"*-"&amp;MID(D$1,2,1)&amp;"*",INDIRECT(Formulas!$B$3)),0)</f>
        <v>0</v>
      </c>
      <c r="E247" s="602"/>
      <c r="F247" s="602"/>
      <c r="G247" s="602"/>
      <c r="H247" s="602"/>
      <c r="I247" s="602"/>
      <c r="J247" s="602"/>
      <c r="K247" s="1655">
        <f t="shared" ca="1" si="21"/>
        <v>0</v>
      </c>
      <c r="L247" s="466"/>
    </row>
    <row r="248" spans="1:12" x14ac:dyDescent="0.2">
      <c r="A248" s="1488" t="s">
        <v>299</v>
      </c>
      <c r="B248" s="588" t="s">
        <v>281</v>
      </c>
      <c r="C248" s="602"/>
      <c r="D248" s="466">
        <f ca="1">ROUND(SUMIF(INDIRECT(Formulas!$B$1),"50-"&amp;LEFT($B248,4)&amp;"*-"&amp;MID(D$1,2,1)&amp;"*",INDIRECT(Formulas!$B$3)),0)</f>
        <v>0</v>
      </c>
      <c r="E248" s="602"/>
      <c r="F248" s="602"/>
      <c r="G248" s="602"/>
      <c r="H248" s="602"/>
      <c r="I248" s="602"/>
      <c r="J248" s="602"/>
      <c r="K248" s="1655">
        <f t="shared" ca="1" si="21"/>
        <v>0</v>
      </c>
      <c r="L248" s="466"/>
    </row>
    <row r="249" spans="1:12" x14ac:dyDescent="0.2">
      <c r="A249" s="1489" t="s">
        <v>1804</v>
      </c>
      <c r="B249" s="668" t="s">
        <v>282</v>
      </c>
      <c r="C249" s="602"/>
      <c r="D249" s="466">
        <f ca="1">ROUND(SUMIF(INDIRECT(Formulas!$B$1),"50-"&amp;LEFT($B249,4)&amp;"*-"&amp;MID(D$1,2,1)&amp;"*",INDIRECT(Formulas!$B$3)),0)</f>
        <v>0</v>
      </c>
      <c r="E249" s="602"/>
      <c r="F249" s="602"/>
      <c r="G249" s="602"/>
      <c r="H249" s="602"/>
      <c r="I249" s="602"/>
      <c r="J249" s="602"/>
      <c r="K249" s="1655">
        <f t="shared" ca="1" si="21"/>
        <v>0</v>
      </c>
      <c r="L249" s="466"/>
    </row>
    <row r="250" spans="1:12" x14ac:dyDescent="0.2">
      <c r="A250" s="1488" t="s">
        <v>1805</v>
      </c>
      <c r="B250" s="588" t="s">
        <v>283</v>
      </c>
      <c r="C250" s="602"/>
      <c r="D250" s="466">
        <f ca="1">ROUND(SUMIF(INDIRECT(Formulas!$B$1),"50-"&amp;LEFT($B250,4)&amp;"*-"&amp;MID(D$1,2,1)&amp;"*",INDIRECT(Formulas!$B$3)),0)</f>
        <v>0</v>
      </c>
      <c r="E250" s="602"/>
      <c r="F250" s="602"/>
      <c r="G250" s="602"/>
      <c r="H250" s="602"/>
      <c r="I250" s="602"/>
      <c r="J250" s="602"/>
      <c r="K250" s="1655">
        <f t="shared" ca="1" si="21"/>
        <v>0</v>
      </c>
      <c r="L250" s="466"/>
    </row>
    <row r="251" spans="1:12" x14ac:dyDescent="0.2">
      <c r="A251" s="1488" t="s">
        <v>238</v>
      </c>
      <c r="B251" s="588" t="s">
        <v>284</v>
      </c>
      <c r="C251" s="602"/>
      <c r="D251" s="466">
        <f ca="1">ROUND(SUMIF(INDIRECT(Formulas!$B$1),"50-"&amp;LEFT($B251,4)&amp;"*-"&amp;MID(D$1,2,1)&amp;"*",INDIRECT(Formulas!$B$3)),0)</f>
        <v>0</v>
      </c>
      <c r="E251" s="602"/>
      <c r="F251" s="602"/>
      <c r="G251" s="602"/>
      <c r="H251" s="602"/>
      <c r="I251" s="602"/>
      <c r="J251" s="602"/>
      <c r="K251" s="1655">
        <f t="shared" ca="1" si="21"/>
        <v>0</v>
      </c>
      <c r="L251" s="466"/>
    </row>
    <row r="252" spans="1:12" x14ac:dyDescent="0.2">
      <c r="A252" s="1488" t="s">
        <v>702</v>
      </c>
      <c r="B252" s="588" t="s">
        <v>285</v>
      </c>
      <c r="C252" s="602"/>
      <c r="D252" s="466">
        <f ca="1">ROUND(SUMIF(INDIRECT(Formulas!$B$1),"50-"&amp;LEFT($B252,4)&amp;"*-"&amp;MID(D$1,2,1)&amp;"*",INDIRECT(Formulas!$B$3)),0)</f>
        <v>118</v>
      </c>
      <c r="E252" s="602"/>
      <c r="F252" s="602"/>
      <c r="G252" s="602"/>
      <c r="H252" s="602"/>
      <c r="I252" s="602"/>
      <c r="J252" s="602"/>
      <c r="K252" s="1655">
        <f t="shared" ca="1" si="21"/>
        <v>118</v>
      </c>
      <c r="L252" s="466"/>
    </row>
    <row r="253" spans="1:12" x14ac:dyDescent="0.2">
      <c r="A253" s="1488" t="s">
        <v>239</v>
      </c>
      <c r="B253" s="588" t="s">
        <v>286</v>
      </c>
      <c r="C253" s="602"/>
      <c r="D253" s="466">
        <f ca="1">ROUND(SUMIF(INDIRECT(Formulas!$B$1),"50-"&amp;LEFT($B253,4)&amp;"*-"&amp;MID(D$1,2,1)&amp;"*",INDIRECT(Formulas!$B$3)),0)</f>
        <v>0</v>
      </c>
      <c r="E253" s="602"/>
      <c r="F253" s="602"/>
      <c r="G253" s="602"/>
      <c r="H253" s="602"/>
      <c r="I253" s="602"/>
      <c r="J253" s="602"/>
      <c r="K253" s="1655">
        <f t="shared" ca="1" si="21"/>
        <v>0</v>
      </c>
      <c r="L253" s="466"/>
    </row>
    <row r="254" spans="1:12" ht="22.5" x14ac:dyDescent="0.2">
      <c r="A254" s="1488" t="s">
        <v>1029</v>
      </c>
      <c r="B254" s="668" t="s">
        <v>287</v>
      </c>
      <c r="C254" s="602"/>
      <c r="D254" s="466">
        <f ca="1">ROUND(SUMIF(INDIRECT(Formulas!$B$1),"50-"&amp;LEFT($B254,4)&amp;"*-"&amp;MID(D$1,2,1)&amp;"*",INDIRECT(Formulas!$B$3)),0)</f>
        <v>0</v>
      </c>
      <c r="E254" s="602"/>
      <c r="F254" s="602"/>
      <c r="G254" s="602"/>
      <c r="H254" s="602"/>
      <c r="I254" s="602"/>
      <c r="J254" s="602"/>
      <c r="K254" s="1655">
        <f t="shared" ca="1" si="21"/>
        <v>0</v>
      </c>
      <c r="L254" s="466"/>
    </row>
    <row r="255" spans="1:12" x14ac:dyDescent="0.2">
      <c r="A255" s="1488" t="s">
        <v>1030</v>
      </c>
      <c r="B255" s="588" t="s">
        <v>288</v>
      </c>
      <c r="C255" s="602"/>
      <c r="D255" s="466">
        <f ca="1">ROUND(SUMIF(INDIRECT(Formulas!$B$1),"50-"&amp;LEFT($B255,4)&amp;"*-"&amp;MID(D$1,2,1)&amp;"*",INDIRECT(Formulas!$B$3)),0)</f>
        <v>0</v>
      </c>
      <c r="E255" s="602"/>
      <c r="F255" s="602"/>
      <c r="G255" s="602"/>
      <c r="H255" s="602"/>
      <c r="I255" s="602"/>
      <c r="J255" s="602"/>
      <c r="K255" s="1655">
        <f t="shared" ca="1" si="21"/>
        <v>0</v>
      </c>
      <c r="L255" s="466"/>
    </row>
    <row r="256" spans="1:12" x14ac:dyDescent="0.2">
      <c r="A256" s="1488" t="s">
        <v>971</v>
      </c>
      <c r="B256" s="600" t="s">
        <v>289</v>
      </c>
      <c r="C256" s="602"/>
      <c r="D256" s="466">
        <f ca="1">ROUND(SUMIF(INDIRECT(Formulas!$B$1),"50-"&amp;LEFT($B256,4)&amp;"*-"&amp;MID(D$1,2,1)&amp;"*",INDIRECT(Formulas!$B$3)),0)</f>
        <v>0</v>
      </c>
      <c r="E256" s="602"/>
      <c r="F256" s="602"/>
      <c r="G256" s="602"/>
      <c r="H256" s="602"/>
      <c r="I256" s="602"/>
      <c r="J256" s="602"/>
      <c r="K256" s="1655">
        <f t="shared" ca="1" si="21"/>
        <v>0</v>
      </c>
      <c r="L256" s="466"/>
    </row>
    <row r="257" spans="1:14" ht="12.75" customHeight="1" thickBot="1" x14ac:dyDescent="0.25">
      <c r="A257" s="1651" t="s">
        <v>717</v>
      </c>
      <c r="B257" s="1679">
        <v>2300</v>
      </c>
      <c r="C257" s="602"/>
      <c r="D257" s="1653">
        <f ca="1">SUM(D245:D256)</f>
        <v>5226</v>
      </c>
      <c r="E257" s="602"/>
      <c r="F257" s="602"/>
      <c r="G257" s="602"/>
      <c r="H257" s="602"/>
      <c r="I257" s="602"/>
      <c r="J257" s="602"/>
      <c r="K257" s="1653">
        <f ca="1">SUM(K245:K256)</f>
        <v>5226</v>
      </c>
      <c r="L257" s="1653">
        <f>SUM(L245:L256)</f>
        <v>2735</v>
      </c>
    </row>
    <row r="258" spans="1:14" ht="15.75" customHeight="1" thickTop="1" x14ac:dyDescent="0.2">
      <c r="A258" s="610" t="s">
        <v>611</v>
      </c>
      <c r="B258" s="669"/>
      <c r="C258" s="602"/>
      <c r="D258" s="612"/>
      <c r="E258" s="602"/>
      <c r="F258" s="602"/>
      <c r="G258" s="602"/>
      <c r="H258" s="602"/>
      <c r="I258" s="602"/>
      <c r="J258" s="602"/>
      <c r="K258" s="612"/>
      <c r="L258" s="612"/>
    </row>
    <row r="259" spans="1:14" x14ac:dyDescent="0.2">
      <c r="A259" s="1487" t="s">
        <v>1067</v>
      </c>
      <c r="B259" s="670">
        <v>2410</v>
      </c>
      <c r="C259" s="602"/>
      <c r="D259" s="466">
        <f ca="1">ROUND(SUMIF(INDIRECT(Formulas!$B$1),"50-"&amp;LEFT($B259,3)&amp;"*-"&amp;MID(D$1,2,1)&amp;"*",INDIRECT(Formulas!$B$3)),0)</f>
        <v>798</v>
      </c>
      <c r="E259" s="602"/>
      <c r="F259" s="602"/>
      <c r="G259" s="602"/>
      <c r="H259" s="602"/>
      <c r="I259" s="602"/>
      <c r="J259" s="602"/>
      <c r="K259" s="1655">
        <f ca="1">D259</f>
        <v>798</v>
      </c>
      <c r="L259" s="480"/>
    </row>
    <row r="260" spans="1:14" s="583" customFormat="1" x14ac:dyDescent="0.2">
      <c r="A260" s="1505" t="s">
        <v>1803</v>
      </c>
      <c r="B260" s="614">
        <v>2490</v>
      </c>
      <c r="C260" s="602"/>
      <c r="D260" s="466">
        <f ca="1">ROUND(SUMIF(INDIRECT(Formulas!$B$1),"50-"&amp;LEFT($B260,3)&amp;"*-"&amp;MID(D$1,2,1)&amp;"*",INDIRECT(Formulas!$B$3)),0)</f>
        <v>508</v>
      </c>
      <c r="E260" s="602"/>
      <c r="F260" s="602"/>
      <c r="G260" s="602"/>
      <c r="H260" s="602"/>
      <c r="I260" s="602"/>
      <c r="J260" s="602"/>
      <c r="K260" s="1655">
        <f ca="1">D260</f>
        <v>508</v>
      </c>
      <c r="L260" s="466"/>
      <c r="M260" s="210"/>
      <c r="N260" s="210"/>
    </row>
    <row r="261" spans="1:14" ht="12.75" customHeight="1" thickBot="1" x14ac:dyDescent="0.25">
      <c r="A261" s="1675" t="s">
        <v>263</v>
      </c>
      <c r="B261" s="1680" t="s">
        <v>34</v>
      </c>
      <c r="C261" s="602"/>
      <c r="D261" s="1653">
        <f ca="1">SUM(D259:D260)</f>
        <v>1306</v>
      </c>
      <c r="E261" s="602"/>
      <c r="F261" s="602"/>
      <c r="G261" s="602"/>
      <c r="H261" s="602"/>
      <c r="I261" s="602"/>
      <c r="J261" s="602"/>
      <c r="K261" s="1653">
        <f ca="1">SUM(K259:K260)</f>
        <v>1306</v>
      </c>
      <c r="L261" s="1653">
        <f>SUM(L259:L260)</f>
        <v>0</v>
      </c>
    </row>
    <row r="262" spans="1:14" ht="15.75" customHeight="1" thickTop="1" x14ac:dyDescent="0.2">
      <c r="A262" s="610" t="s">
        <v>612</v>
      </c>
      <c r="B262" s="669"/>
      <c r="C262" s="602"/>
      <c r="D262" s="602"/>
      <c r="E262" s="602"/>
      <c r="F262" s="602"/>
      <c r="G262" s="602"/>
      <c r="H262" s="602"/>
      <c r="I262" s="602"/>
      <c r="J262" s="602"/>
      <c r="K262" s="612"/>
      <c r="L262" s="612"/>
    </row>
    <row r="263" spans="1:14" x14ac:dyDescent="0.2">
      <c r="A263" s="1487" t="s">
        <v>1068</v>
      </c>
      <c r="B263" s="670">
        <v>2510</v>
      </c>
      <c r="C263" s="602"/>
      <c r="D263" s="466">
        <f ca="1">ROUND(SUMIF(INDIRECT(Formulas!$B$1),"50-"&amp;LEFT($B263,3)&amp;"*-"&amp;MID(D$1,2,1)&amp;"*",INDIRECT(Formulas!$B$3)),0)</f>
        <v>0</v>
      </c>
      <c r="E263" s="602"/>
      <c r="F263" s="602"/>
      <c r="G263" s="602"/>
      <c r="H263" s="602"/>
      <c r="I263" s="602"/>
      <c r="J263" s="602"/>
      <c r="K263" s="1655">
        <f ca="1">D263</f>
        <v>0</v>
      </c>
      <c r="L263" s="480">
        <v>0</v>
      </c>
    </row>
    <row r="264" spans="1:14" x14ac:dyDescent="0.2">
      <c r="A264" s="1487" t="s">
        <v>463</v>
      </c>
      <c r="B264" s="670">
        <v>2520</v>
      </c>
      <c r="C264" s="602"/>
      <c r="D264" s="466">
        <f ca="1">ROUND(SUMIF(INDIRECT(Formulas!$B$1),"50-"&amp;LEFT($B264,3)&amp;"*-"&amp;MID(D$1,2,1)&amp;"*",INDIRECT(Formulas!$B$3)),0)</f>
        <v>5221</v>
      </c>
      <c r="E264" s="602"/>
      <c r="F264" s="602"/>
      <c r="G264" s="602"/>
      <c r="H264" s="602"/>
      <c r="I264" s="602"/>
      <c r="J264" s="602"/>
      <c r="K264" s="1655">
        <f t="shared" ref="K264:K269" ca="1" si="22">D264</f>
        <v>5221</v>
      </c>
      <c r="L264" s="466">
        <v>3100</v>
      </c>
    </row>
    <row r="265" spans="1:14" x14ac:dyDescent="0.2">
      <c r="A265" s="1487" t="s">
        <v>4</v>
      </c>
      <c r="B265" s="600">
        <v>2530</v>
      </c>
      <c r="C265" s="602"/>
      <c r="D265" s="466">
        <f ca="1">ROUND(SUMIF(INDIRECT(Formulas!$B$1),"50-"&amp;LEFT($B265,3)&amp;"*-"&amp;MID(D$1,2,1)&amp;"*",INDIRECT(Formulas!$B$3)),0)</f>
        <v>0</v>
      </c>
      <c r="E265" s="602"/>
      <c r="F265" s="602"/>
      <c r="G265" s="602"/>
      <c r="H265" s="602"/>
      <c r="I265" s="602"/>
      <c r="J265" s="602"/>
      <c r="K265" s="1655">
        <f t="shared" ca="1" si="22"/>
        <v>0</v>
      </c>
      <c r="L265" s="466">
        <v>0</v>
      </c>
    </row>
    <row r="266" spans="1:14" x14ac:dyDescent="0.2">
      <c r="A266" s="1487" t="s">
        <v>197</v>
      </c>
      <c r="B266" s="600">
        <v>2540</v>
      </c>
      <c r="C266" s="602"/>
      <c r="D266" s="466">
        <f ca="1">ROUND(SUMIF(INDIRECT(Formulas!$B$1),"50-"&amp;LEFT($B266,3)&amp;"*-"&amp;MID(D$1,2,1)&amp;"*",INDIRECT(Formulas!$B$3)),0)</f>
        <v>11191</v>
      </c>
      <c r="E266" s="602"/>
      <c r="F266" s="602"/>
      <c r="G266" s="602"/>
      <c r="H266" s="602"/>
      <c r="I266" s="602"/>
      <c r="J266" s="602"/>
      <c r="K266" s="1655">
        <f t="shared" ca="1" si="22"/>
        <v>11191</v>
      </c>
      <c r="L266" s="466">
        <v>8795</v>
      </c>
    </row>
    <row r="267" spans="1:14" x14ac:dyDescent="0.2">
      <c r="A267" s="1487" t="s">
        <v>953</v>
      </c>
      <c r="B267" s="600">
        <v>2550</v>
      </c>
      <c r="C267" s="602"/>
      <c r="D267" s="466">
        <f ca="1">ROUND(SUMIF(INDIRECT(Formulas!$B$1),"50-"&amp;LEFT($B267,3)&amp;"*-"&amp;MID(D$1,2,1)&amp;"*",INDIRECT(Formulas!$B$3)),0)</f>
        <v>662</v>
      </c>
      <c r="E267" s="602"/>
      <c r="F267" s="602"/>
      <c r="G267" s="602"/>
      <c r="H267" s="602"/>
      <c r="I267" s="602"/>
      <c r="J267" s="602"/>
      <c r="K267" s="1655">
        <f t="shared" ca="1" si="22"/>
        <v>662</v>
      </c>
      <c r="L267" s="466">
        <v>2601</v>
      </c>
    </row>
    <row r="268" spans="1:14" x14ac:dyDescent="0.2">
      <c r="A268" s="1487" t="s">
        <v>100</v>
      </c>
      <c r="B268" s="600">
        <v>2560</v>
      </c>
      <c r="C268" s="602"/>
      <c r="D268" s="466">
        <f ca="1">ROUND(SUMIF(INDIRECT(Formulas!$B$1),"50-"&amp;LEFT($B268,3)&amp;"*-"&amp;MID(D$1,2,1)&amp;"*",INDIRECT(Formulas!$B$3)),0)</f>
        <v>4486</v>
      </c>
      <c r="E268" s="602"/>
      <c r="F268" s="602"/>
      <c r="G268" s="602"/>
      <c r="H268" s="602"/>
      <c r="I268" s="602"/>
      <c r="J268" s="602"/>
      <c r="K268" s="1655">
        <f t="shared" ca="1" si="22"/>
        <v>4486</v>
      </c>
      <c r="L268" s="466">
        <v>4015</v>
      </c>
    </row>
    <row r="269" spans="1:14" x14ac:dyDescent="0.2">
      <c r="A269" s="1487" t="s">
        <v>101</v>
      </c>
      <c r="B269" s="600">
        <v>2570</v>
      </c>
      <c r="C269" s="602"/>
      <c r="D269" s="466">
        <f ca="1">ROUND(SUMIF(INDIRECT(Formulas!$B$1),"50-"&amp;LEFT($B269,3)&amp;"*-"&amp;MID(D$1,2,1)&amp;"*",INDIRECT(Formulas!$B$3)),0)</f>
        <v>0</v>
      </c>
      <c r="E269" s="602"/>
      <c r="F269" s="602"/>
      <c r="G269" s="602"/>
      <c r="H269" s="602"/>
      <c r="I269" s="602"/>
      <c r="J269" s="602"/>
      <c r="K269" s="1655">
        <f t="shared" ca="1" si="22"/>
        <v>0</v>
      </c>
      <c r="L269" s="466">
        <v>0</v>
      </c>
    </row>
    <row r="270" spans="1:14" ht="12.75" customHeight="1" thickBot="1" x14ac:dyDescent="0.25">
      <c r="A270" s="1651" t="s">
        <v>719</v>
      </c>
      <c r="B270" s="1658" t="s">
        <v>35</v>
      </c>
      <c r="C270" s="602"/>
      <c r="D270" s="1653">
        <f ca="1">SUM(D263:D269)</f>
        <v>21560</v>
      </c>
      <c r="E270" s="602"/>
      <c r="F270" s="602"/>
      <c r="G270" s="602"/>
      <c r="H270" s="602"/>
      <c r="I270" s="602"/>
      <c r="J270" s="602"/>
      <c r="K270" s="1653">
        <f ca="1">SUM(K263:K269)</f>
        <v>21560</v>
      </c>
      <c r="L270" s="1653">
        <f>SUM(L263:L269)</f>
        <v>18511</v>
      </c>
    </row>
    <row r="271" spans="1:14" ht="15.75" customHeight="1" thickTop="1" x14ac:dyDescent="0.2">
      <c r="A271" s="654" t="s">
        <v>613</v>
      </c>
      <c r="B271" s="611"/>
      <c r="C271" s="602"/>
      <c r="D271" s="612"/>
      <c r="E271" s="602"/>
      <c r="F271" s="602"/>
      <c r="G271" s="602"/>
      <c r="H271" s="602"/>
      <c r="I271" s="602"/>
      <c r="J271" s="602"/>
      <c r="K271" s="612"/>
      <c r="L271" s="612"/>
    </row>
    <row r="272" spans="1:14" x14ac:dyDescent="0.2">
      <c r="A272" s="1487" t="s">
        <v>1060</v>
      </c>
      <c r="B272" s="600">
        <v>2610</v>
      </c>
      <c r="C272" s="602"/>
      <c r="D272" s="466">
        <f ca="1">ROUND(SUMIF(INDIRECT(Formulas!$B$1),"50-"&amp;LEFT($B272,3)&amp;"*-"&amp;MID(D$1,2,1)&amp;"*",INDIRECT(Formulas!$B$3)),0)</f>
        <v>0</v>
      </c>
      <c r="E272" s="602"/>
      <c r="F272" s="602"/>
      <c r="G272" s="602"/>
      <c r="H272" s="602"/>
      <c r="I272" s="602"/>
      <c r="J272" s="602"/>
      <c r="K272" s="1655">
        <f ca="1">D272</f>
        <v>0</v>
      </c>
      <c r="L272" s="480"/>
    </row>
    <row r="273" spans="1:12" x14ac:dyDescent="0.2">
      <c r="A273" s="1487" t="s">
        <v>607</v>
      </c>
      <c r="B273" s="614">
        <v>2620</v>
      </c>
      <c r="C273" s="602"/>
      <c r="D273" s="466">
        <f ca="1">ROUND(SUMIF(INDIRECT(Formulas!$B$1),"50-"&amp;LEFT($B273,3)&amp;"*-"&amp;MID(D$1,2,1)&amp;"*",INDIRECT(Formulas!$B$3)),0)</f>
        <v>0</v>
      </c>
      <c r="E273" s="602"/>
      <c r="F273" s="602"/>
      <c r="G273" s="602"/>
      <c r="H273" s="602"/>
      <c r="I273" s="602"/>
      <c r="J273" s="602"/>
      <c r="K273" s="1655">
        <f ca="1">D273</f>
        <v>0</v>
      </c>
      <c r="L273" s="466"/>
    </row>
    <row r="274" spans="1:12" ht="12" customHeight="1" x14ac:dyDescent="0.2">
      <c r="A274" s="1487" t="s">
        <v>1061</v>
      </c>
      <c r="B274" s="600">
        <v>2630</v>
      </c>
      <c r="C274" s="602"/>
      <c r="D274" s="466">
        <f ca="1">ROUND(SUMIF(INDIRECT(Formulas!$B$1),"50-"&amp;LEFT($B274,3)&amp;"*-"&amp;MID(D$1,2,1)&amp;"*",INDIRECT(Formulas!$B$3)),0)</f>
        <v>0</v>
      </c>
      <c r="E274" s="602"/>
      <c r="F274" s="602"/>
      <c r="G274" s="602"/>
      <c r="H274" s="602"/>
      <c r="I274" s="602"/>
      <c r="J274" s="602"/>
      <c r="K274" s="1655">
        <f ca="1">D274</f>
        <v>0</v>
      </c>
      <c r="L274" s="466"/>
    </row>
    <row r="275" spans="1:12" x14ac:dyDescent="0.2">
      <c r="A275" s="1487" t="s">
        <v>403</v>
      </c>
      <c r="B275" s="600">
        <v>2640</v>
      </c>
      <c r="C275" s="602"/>
      <c r="D275" s="466">
        <f ca="1">ROUND(SUMIF(INDIRECT(Formulas!$B$1),"50-"&amp;LEFT($B275,3)&amp;"*-"&amp;MID(D$1,2,1)&amp;"*",INDIRECT(Formulas!$B$3)),0)</f>
        <v>0</v>
      </c>
      <c r="E275" s="602"/>
      <c r="F275" s="602"/>
      <c r="G275" s="602"/>
      <c r="H275" s="602"/>
      <c r="I275" s="602"/>
      <c r="J275" s="602"/>
      <c r="K275" s="1655">
        <f ca="1">D275</f>
        <v>0</v>
      </c>
      <c r="L275" s="466"/>
    </row>
    <row r="276" spans="1:12" x14ac:dyDescent="0.2">
      <c r="A276" s="1487" t="s">
        <v>404</v>
      </c>
      <c r="B276" s="600">
        <v>2660</v>
      </c>
      <c r="C276" s="602"/>
      <c r="D276" s="466">
        <f ca="1">ROUND(SUMIF(INDIRECT(Formulas!$B$1),"50-"&amp;LEFT($B276,3)&amp;"*-"&amp;MID(D$1,2,1)&amp;"*",INDIRECT(Formulas!$B$3)),0)</f>
        <v>0</v>
      </c>
      <c r="E276" s="602"/>
      <c r="F276" s="602"/>
      <c r="G276" s="602"/>
      <c r="H276" s="602"/>
      <c r="I276" s="602"/>
      <c r="J276" s="602"/>
      <c r="K276" s="1655">
        <f ca="1">D276</f>
        <v>0</v>
      </c>
      <c r="L276" s="466"/>
    </row>
    <row r="277" spans="1:12" ht="12.75" customHeight="1" thickBot="1" x14ac:dyDescent="0.25">
      <c r="A277" s="1674" t="s">
        <v>37</v>
      </c>
      <c r="B277" s="1652" t="s">
        <v>36</v>
      </c>
      <c r="C277" s="602"/>
      <c r="D277" s="1653">
        <f ca="1">SUM(D272:D276)</f>
        <v>0</v>
      </c>
      <c r="E277" s="602"/>
      <c r="F277" s="602"/>
      <c r="G277" s="602"/>
      <c r="H277" s="602"/>
      <c r="I277" s="602"/>
      <c r="J277" s="602"/>
      <c r="K277" s="1653">
        <f ca="1">SUM(K272:K276)</f>
        <v>0</v>
      </c>
      <c r="L277" s="1653">
        <f>SUM(L272:L276)</f>
        <v>0</v>
      </c>
    </row>
    <row r="278" spans="1:12" ht="13.5" customHeight="1" thickTop="1" x14ac:dyDescent="0.2">
      <c r="A278" s="1493" t="s">
        <v>980</v>
      </c>
      <c r="B278" s="640" t="s">
        <v>574</v>
      </c>
      <c r="C278" s="602"/>
      <c r="D278" s="466">
        <f ca="1">ROUND(SUMIF(INDIRECT(Formulas!$B$1),"50-"&amp;LEFT($B278,3)&amp;"*-"&amp;MID(D$1,2,1)&amp;"*",INDIRECT(Formulas!$B$3)),0)</f>
        <v>0</v>
      </c>
      <c r="E278" s="602"/>
      <c r="F278" s="602"/>
      <c r="G278" s="602"/>
      <c r="H278" s="602"/>
      <c r="I278" s="602"/>
      <c r="J278" s="602"/>
      <c r="K278" s="1668">
        <f ca="1">D278</f>
        <v>0</v>
      </c>
      <c r="L278" s="641"/>
    </row>
    <row r="279" spans="1:12" ht="12.75" customHeight="1" thickBot="1" x14ac:dyDescent="0.25">
      <c r="A279" s="1681" t="s">
        <v>811</v>
      </c>
      <c r="B279" s="1664">
        <v>2000</v>
      </c>
      <c r="C279" s="602"/>
      <c r="D279" s="1660">
        <f ca="1">SUM(D238,D243,D257,D261,D270,D277,D278)</f>
        <v>28101</v>
      </c>
      <c r="E279" s="602"/>
      <c r="F279" s="602"/>
      <c r="G279" s="602"/>
      <c r="H279" s="602"/>
      <c r="I279" s="602"/>
      <c r="J279" s="602"/>
      <c r="K279" s="1660">
        <f ca="1">SUM(K238,K243,K257,K261,K270,K277,K278)</f>
        <v>28101</v>
      </c>
      <c r="L279" s="1660">
        <f>SUM(L238,L243,L257,L261,L270,L277,L278)</f>
        <v>21678</v>
      </c>
    </row>
    <row r="280" spans="1:12" ht="15.75" customHeight="1" thickTop="1" thickBot="1" x14ac:dyDescent="0.25">
      <c r="A280" s="1607" t="s">
        <v>875</v>
      </c>
      <c r="B280" s="1596">
        <v>3000</v>
      </c>
      <c r="C280" s="602"/>
      <c r="D280" s="466">
        <f ca="1">ROUND(SUMIF(INDIRECT(Formulas!$B$1),"50-"&amp;LEFT($B280,3)&amp;"*-"&amp;MID(D$1,2,1)&amp;"*",INDIRECT(Formulas!$B$3)),0)</f>
        <v>1599</v>
      </c>
      <c r="E280" s="602"/>
      <c r="F280" s="602"/>
      <c r="G280" s="602"/>
      <c r="H280" s="602"/>
      <c r="I280" s="602"/>
      <c r="J280" s="602"/>
      <c r="K280" s="1662">
        <f ca="1">D280</f>
        <v>1599</v>
      </c>
      <c r="L280" s="569"/>
    </row>
    <row r="281" spans="1:12" ht="15.75" customHeight="1" thickTop="1" x14ac:dyDescent="0.2">
      <c r="A281" s="1597" t="s">
        <v>142</v>
      </c>
      <c r="B281" s="1598" t="s">
        <v>860</v>
      </c>
      <c r="C281" s="602"/>
      <c r="D281" s="560"/>
      <c r="E281" s="602"/>
      <c r="F281" s="602"/>
      <c r="G281" s="602"/>
      <c r="H281" s="602"/>
      <c r="I281" s="602"/>
      <c r="J281" s="602"/>
      <c r="K281" s="602"/>
      <c r="L281" s="602"/>
    </row>
    <row r="282" spans="1:12" ht="15.75" customHeight="1" x14ac:dyDescent="0.2">
      <c r="A282" s="1813" t="s">
        <v>496</v>
      </c>
      <c r="B282" s="675" t="s">
        <v>1844</v>
      </c>
      <c r="C282" s="602"/>
      <c r="D282" s="466">
        <f ca="1">ROUND(SUMIF(INDIRECT(Formulas!$B$1),"50-"&amp;LEFT($B282,3)&amp;"*-"&amp;MID(D$1,2,1)&amp;"*",INDIRECT(Formulas!$B$3)),0)</f>
        <v>0</v>
      </c>
      <c r="E282" s="602"/>
      <c r="F282" s="602"/>
      <c r="G282" s="602"/>
      <c r="H282" s="602"/>
      <c r="I282" s="602"/>
      <c r="J282" s="602"/>
      <c r="K282" s="1654">
        <f ca="1">D282</f>
        <v>0</v>
      </c>
      <c r="L282" s="467"/>
    </row>
    <row r="283" spans="1:12" x14ac:dyDescent="0.2">
      <c r="A283" s="1487" t="s">
        <v>304</v>
      </c>
      <c r="B283" s="600">
        <v>4120</v>
      </c>
      <c r="C283" s="602"/>
      <c r="D283" s="466">
        <f ca="1">ROUND(SUMIF(INDIRECT(Formulas!$B$1),"50-"&amp;LEFT($B283,3)&amp;"*-"&amp;MID(D$1,2,1)&amp;"*",INDIRECT(Formulas!$B$3)),0)</f>
        <v>0</v>
      </c>
      <c r="E283" s="602"/>
      <c r="F283" s="602"/>
      <c r="G283" s="602"/>
      <c r="H283" s="602"/>
      <c r="I283" s="602"/>
      <c r="J283" s="602"/>
      <c r="K283" s="1654">
        <f ca="1">D283</f>
        <v>0</v>
      </c>
      <c r="L283" s="466"/>
    </row>
    <row r="284" spans="1:12" x14ac:dyDescent="0.2">
      <c r="A284" s="1487" t="s">
        <v>697</v>
      </c>
      <c r="B284" s="600">
        <v>4140</v>
      </c>
      <c r="C284" s="602"/>
      <c r="D284" s="466">
        <f ca="1">ROUND(SUMIF(INDIRECT(Formulas!$B$1),"50-"&amp;LEFT($B284,3)&amp;"*-"&amp;MID(D$1,2,1)&amp;"*",INDIRECT(Formulas!$B$3)),0)</f>
        <v>0</v>
      </c>
      <c r="E284" s="602"/>
      <c r="F284" s="602"/>
      <c r="G284" s="602"/>
      <c r="H284" s="602"/>
      <c r="I284" s="602"/>
      <c r="J284" s="602"/>
      <c r="K284" s="1654">
        <f ca="1">D284</f>
        <v>0</v>
      </c>
      <c r="L284" s="466"/>
    </row>
    <row r="285" spans="1:12" ht="12.75" customHeight="1" thickBot="1" x14ac:dyDescent="0.25">
      <c r="A285" s="1651" t="s">
        <v>1487</v>
      </c>
      <c r="B285" s="1652" t="s">
        <v>860</v>
      </c>
      <c r="C285" s="602"/>
      <c r="D285" s="1653">
        <f ca="1">SUM(D282:D284)</f>
        <v>0</v>
      </c>
      <c r="E285" s="602"/>
      <c r="F285" s="602"/>
      <c r="G285" s="602"/>
      <c r="H285" s="602"/>
      <c r="I285" s="602"/>
      <c r="J285" s="602"/>
      <c r="K285" s="1653">
        <f ca="1">SUM(K282:K284)</f>
        <v>0</v>
      </c>
      <c r="L285" s="1653">
        <f>SUM(L282:L284)</f>
        <v>0</v>
      </c>
    </row>
    <row r="286" spans="1:12" ht="15.75" customHeight="1" thickTop="1" x14ac:dyDescent="0.2">
      <c r="A286" s="1595" t="s">
        <v>876</v>
      </c>
      <c r="B286" s="1592" t="s">
        <v>492</v>
      </c>
      <c r="C286" s="602"/>
      <c r="D286" s="602"/>
      <c r="E286" s="602"/>
      <c r="F286" s="602"/>
      <c r="G286" s="602"/>
      <c r="H286" s="602"/>
      <c r="I286" s="602"/>
      <c r="J286" s="602"/>
      <c r="K286" s="602"/>
      <c r="L286" s="602"/>
    </row>
    <row r="287" spans="1:12" ht="15.75" customHeight="1" x14ac:dyDescent="0.2">
      <c r="A287" s="638" t="s">
        <v>93</v>
      </c>
      <c r="B287" s="608"/>
      <c r="C287" s="602"/>
      <c r="D287" s="602"/>
      <c r="E287" s="602"/>
      <c r="F287" s="602"/>
      <c r="G287" s="602"/>
      <c r="H287" s="609"/>
      <c r="I287" s="602"/>
      <c r="J287" s="602"/>
      <c r="K287" s="602"/>
      <c r="L287" s="602"/>
    </row>
    <row r="288" spans="1:12" x14ac:dyDescent="0.2">
      <c r="A288" s="1487" t="s">
        <v>87</v>
      </c>
      <c r="B288" s="600">
        <v>5110</v>
      </c>
      <c r="C288" s="602"/>
      <c r="D288" s="602"/>
      <c r="E288" s="602"/>
      <c r="F288" s="602"/>
      <c r="G288" s="602"/>
      <c r="H288" s="466">
        <f ca="1">ROUND(SUMIF(INDIRECT(Formulas!$B$1),"50-"&amp;LEFT($B288,3)&amp;"*-"&amp;MID(H$1,2,1)&amp;"*",INDIRECT(Formulas!$B$3)),0)</f>
        <v>0</v>
      </c>
      <c r="I288" s="602"/>
      <c r="J288" s="602"/>
      <c r="K288" s="1654">
        <f ca="1">H288</f>
        <v>0</v>
      </c>
      <c r="L288" s="466"/>
    </row>
    <row r="289" spans="1:14" x14ac:dyDescent="0.2">
      <c r="A289" s="1487" t="s">
        <v>88</v>
      </c>
      <c r="B289" s="600">
        <v>5120</v>
      </c>
      <c r="C289" s="602"/>
      <c r="D289" s="602"/>
      <c r="E289" s="602"/>
      <c r="F289" s="602"/>
      <c r="G289" s="602"/>
      <c r="H289" s="466">
        <f ca="1">ROUND(SUMIF(INDIRECT(Formulas!$B$1),"50-"&amp;LEFT($B289,3)&amp;"*-"&amp;MID(H$1,2,1)&amp;"*",INDIRECT(Formulas!$B$3)),0)</f>
        <v>0</v>
      </c>
      <c r="I289" s="602"/>
      <c r="J289" s="602"/>
      <c r="K289" s="1654">
        <f ca="1">H289</f>
        <v>0</v>
      </c>
      <c r="L289" s="466"/>
    </row>
    <row r="290" spans="1:14" ht="12.75" customHeight="1" x14ac:dyDescent="0.2">
      <c r="A290" s="1487" t="s">
        <v>1170</v>
      </c>
      <c r="B290" s="614" t="s">
        <v>617</v>
      </c>
      <c r="C290" s="602"/>
      <c r="D290" s="602"/>
      <c r="E290" s="602"/>
      <c r="F290" s="602"/>
      <c r="G290" s="602"/>
      <c r="H290" s="466">
        <f ca="1">ROUND(SUMIF(INDIRECT(Formulas!$B$1),"50-"&amp;LEFT($B290,3)&amp;"*-"&amp;MID(H$1,2,1)&amp;"*",INDIRECT(Formulas!$B$3)),0)</f>
        <v>0</v>
      </c>
      <c r="I290" s="602"/>
      <c r="J290" s="602"/>
      <c r="K290" s="1654">
        <f ca="1">H290</f>
        <v>0</v>
      </c>
      <c r="L290" s="466"/>
    </row>
    <row r="291" spans="1:14" x14ac:dyDescent="0.2">
      <c r="A291" s="1487" t="s">
        <v>89</v>
      </c>
      <c r="B291" s="600" t="s">
        <v>589</v>
      </c>
      <c r="C291" s="602"/>
      <c r="D291" s="602"/>
      <c r="E291" s="602"/>
      <c r="F291" s="602"/>
      <c r="G291" s="602"/>
      <c r="H291" s="466">
        <f ca="1">ROUND(SUMIF(INDIRECT(Formulas!$B$1),"50-"&amp;LEFT($B291,3)&amp;"*-"&amp;MID(H$1,2,1)&amp;"*",INDIRECT(Formulas!$B$3)),0)</f>
        <v>0</v>
      </c>
      <c r="I291" s="602"/>
      <c r="J291" s="602"/>
      <c r="K291" s="1654">
        <f ca="1">H291</f>
        <v>0</v>
      </c>
      <c r="L291" s="466"/>
    </row>
    <row r="292" spans="1:14" x14ac:dyDescent="0.2">
      <c r="A292" s="1487" t="s">
        <v>762</v>
      </c>
      <c r="B292" s="600" t="s">
        <v>618</v>
      </c>
      <c r="C292" s="602"/>
      <c r="D292" s="602"/>
      <c r="E292" s="602"/>
      <c r="F292" s="602"/>
      <c r="G292" s="602"/>
      <c r="H292" s="466">
        <f ca="1">ROUND(SUMIF(INDIRECT(Formulas!$B$1),"50-"&amp;LEFT($B292,3)&amp;"*-"&amp;MID(H$1,2,1)&amp;"*",INDIRECT(Formulas!$B$3)),0)</f>
        <v>0</v>
      </c>
      <c r="I292" s="602"/>
      <c r="J292" s="602"/>
      <c r="K292" s="1654">
        <f ca="1">H292</f>
        <v>0</v>
      </c>
      <c r="L292" s="466"/>
    </row>
    <row r="293" spans="1:14" ht="12.75" customHeight="1" thickBot="1" x14ac:dyDescent="0.25">
      <c r="A293" s="1651" t="s">
        <v>484</v>
      </c>
      <c r="B293" s="1652" t="s">
        <v>492</v>
      </c>
      <c r="C293" s="602"/>
      <c r="D293" s="602"/>
      <c r="E293" s="602"/>
      <c r="F293" s="602"/>
      <c r="G293" s="602"/>
      <c r="H293" s="1653">
        <f ca="1">SUM(H288:H292)</f>
        <v>0</v>
      </c>
      <c r="I293" s="602"/>
      <c r="J293" s="602"/>
      <c r="K293" s="1653">
        <f ca="1">SUM(K288:K292)</f>
        <v>0</v>
      </c>
      <c r="L293" s="1653">
        <f>SUM(L288:L292)</f>
        <v>0</v>
      </c>
    </row>
    <row r="294" spans="1:14" ht="15.75" customHeight="1" thickTop="1" thickBot="1" x14ac:dyDescent="0.25">
      <c r="A294" s="1608" t="s">
        <v>877</v>
      </c>
      <c r="B294" s="1596" t="s">
        <v>861</v>
      </c>
      <c r="C294" s="602"/>
      <c r="D294" s="609"/>
      <c r="E294" s="602"/>
      <c r="F294" s="602"/>
      <c r="G294" s="602"/>
      <c r="H294" s="671"/>
      <c r="I294" s="602"/>
      <c r="J294" s="602"/>
      <c r="K294" s="671"/>
      <c r="L294" s="570"/>
    </row>
    <row r="295" spans="1:14" ht="12.75" customHeight="1" thickTop="1" thickBot="1" x14ac:dyDescent="0.25">
      <c r="A295" s="2235" t="s">
        <v>505</v>
      </c>
      <c r="B295" s="2236"/>
      <c r="C295" s="602"/>
      <c r="D295" s="1653">
        <f ca="1">SUM(D229,D279,D280,D285)</f>
        <v>55355</v>
      </c>
      <c r="E295" s="602"/>
      <c r="F295" s="602"/>
      <c r="G295" s="602"/>
      <c r="H295" s="1653">
        <f ca="1">H293</f>
        <v>0</v>
      </c>
      <c r="I295" s="602"/>
      <c r="J295" s="602"/>
      <c r="K295" s="1653">
        <f ca="1">SUM(K229,K279,K280,K285,K293,K294)</f>
        <v>55355</v>
      </c>
      <c r="L295" s="1653">
        <f>SUM(L229,L279,L280,L285,L293,L294)</f>
        <v>38893</v>
      </c>
    </row>
    <row r="296" spans="1:14" ht="13.5" thickTop="1" x14ac:dyDescent="0.2">
      <c r="A296" s="2217" t="s">
        <v>996</v>
      </c>
      <c r="B296" s="2218"/>
      <c r="C296" s="602"/>
      <c r="D296" s="604"/>
      <c r="E296" s="602"/>
      <c r="F296" s="602"/>
      <c r="G296" s="602"/>
      <c r="H296" s="672"/>
      <c r="I296" s="602"/>
      <c r="J296" s="602"/>
      <c r="K296" s="1667">
        <f ca="1">'Revenues 9-14'!G268-'Expenditures 15-22'!K295</f>
        <v>-37571</v>
      </c>
      <c r="L296" s="672"/>
    </row>
    <row r="297" spans="1:14" s="651" customFormat="1" ht="9" customHeight="1" x14ac:dyDescent="0.2">
      <c r="A297" s="648"/>
      <c r="B297" s="658"/>
      <c r="C297" s="635"/>
      <c r="D297" s="635"/>
      <c r="E297" s="635"/>
      <c r="F297" s="635"/>
      <c r="G297" s="635"/>
      <c r="H297" s="635"/>
      <c r="I297" s="635"/>
      <c r="J297" s="635"/>
      <c r="K297" s="635"/>
      <c r="L297" s="635"/>
      <c r="M297" s="650"/>
      <c r="N297" s="650"/>
    </row>
    <row r="298" spans="1:14" ht="16.7" customHeight="1" x14ac:dyDescent="0.2">
      <c r="A298" s="2227" t="s">
        <v>143</v>
      </c>
      <c r="B298" s="2221"/>
      <c r="C298" s="1534"/>
      <c r="D298" s="1535"/>
      <c r="E298" s="1535"/>
      <c r="F298" s="1535"/>
      <c r="G298" s="1535"/>
      <c r="H298" s="1535"/>
      <c r="I298" s="1535"/>
      <c r="J298" s="1535"/>
      <c r="K298" s="1535"/>
      <c r="L298" s="1536"/>
    </row>
    <row r="299" spans="1:14" ht="15.75" customHeight="1" x14ac:dyDescent="0.2">
      <c r="A299" s="1595" t="s">
        <v>144</v>
      </c>
      <c r="B299" s="1598" t="s">
        <v>569</v>
      </c>
      <c r="C299" s="602"/>
      <c r="D299" s="602"/>
      <c r="E299" s="602"/>
      <c r="F299" s="602"/>
      <c r="G299" s="602"/>
      <c r="H299" s="602"/>
      <c r="I299" s="602"/>
      <c r="J299" s="602"/>
      <c r="K299" s="602"/>
      <c r="L299" s="602"/>
    </row>
    <row r="300" spans="1:14" ht="15.75" customHeight="1" x14ac:dyDescent="0.2">
      <c r="A300" s="673" t="s">
        <v>612</v>
      </c>
      <c r="B300" s="617"/>
      <c r="C300" s="609"/>
      <c r="D300" s="609"/>
      <c r="E300" s="609"/>
      <c r="F300" s="609"/>
      <c r="G300" s="609"/>
      <c r="H300" s="609"/>
      <c r="I300" s="602"/>
      <c r="J300" s="602"/>
      <c r="K300" s="609"/>
      <c r="L300" s="609"/>
    </row>
    <row r="301" spans="1:14" x14ac:dyDescent="0.2">
      <c r="A301" s="1500" t="s">
        <v>608</v>
      </c>
      <c r="B301" s="674">
        <v>2530</v>
      </c>
      <c r="C301" s="466">
        <f ca="1">ROUND(SUMIF(INDIRECT(Formulas!$B$1),"60-"&amp;LEFT($B301,3)&amp;"*-"&amp;MID(C$1,2,1)&amp;"*",INDIRECT(Formulas!$B$3)),0)</f>
        <v>0</v>
      </c>
      <c r="D301" s="466">
        <f ca="1">ROUND(SUMIF(INDIRECT(Formulas!$B$1),"60-"&amp;LEFT($B301,3)&amp;"*-"&amp;MID(D$1,2,1)&amp;"*",INDIRECT(Formulas!$B$3)),0)</f>
        <v>0</v>
      </c>
      <c r="E301" s="466">
        <f ca="1">ROUND(SUMIF(INDIRECT(Formulas!$B$1),"60-"&amp;LEFT($B301,3)&amp;"*-"&amp;MID(E$1,2,1)&amp;"*",INDIRECT(Formulas!$B$3)),0)</f>
        <v>3753</v>
      </c>
      <c r="F301" s="466">
        <f ca="1">ROUND(SUMIF(INDIRECT(Formulas!$B$1),"60-"&amp;LEFT($B301,3)&amp;"*-"&amp;MID(F$1,2,1)&amp;"*",INDIRECT(Formulas!$B$3)),0)</f>
        <v>0</v>
      </c>
      <c r="G301" s="466">
        <f ca="1">ROUND(SUMIF(INDIRECT(Formulas!$B$1),"60-"&amp;LEFT($B301,3)&amp;"*-"&amp;MID(G$1,2,1)&amp;"*",INDIRECT(Formulas!$B$3)),0)</f>
        <v>42396</v>
      </c>
      <c r="H301" s="466">
        <f ca="1">ROUND(SUMIF(INDIRECT(Formulas!$B$1),"60-"&amp;LEFT($B301,3)&amp;"*-"&amp;MID(H$1,2,1)&amp;"*",INDIRECT(Formulas!$B$3)),0)</f>
        <v>0</v>
      </c>
      <c r="I301" s="466">
        <f ca="1">ROUND(SUMIF(INDIRECT(Formulas!$B$1),"60-"&amp;LEFT($B301,3)&amp;"*-"&amp;MID(I$1,2,1)&amp;"*",INDIRECT(Formulas!$B$3)),0)</f>
        <v>0</v>
      </c>
      <c r="J301" s="466">
        <f ca="1">ROUND(SUMIF(INDIRECT(Formulas!$B$1),"60-"&amp;LEFT($B301,3)&amp;"*-"&amp;MID(J$1,2,1)&amp;"*",INDIRECT(Formulas!$B$3)),0)</f>
        <v>0</v>
      </c>
      <c r="K301" s="1654">
        <f ca="1">SUM(C301:J301)</f>
        <v>46149</v>
      </c>
      <c r="L301" s="467">
        <v>15000</v>
      </c>
    </row>
    <row r="302" spans="1:14" ht="13.5" customHeight="1" x14ac:dyDescent="0.2">
      <c r="A302" s="1500" t="s">
        <v>980</v>
      </c>
      <c r="B302" s="600" t="s">
        <v>574</v>
      </c>
      <c r="C302" s="466">
        <f ca="1">ROUND(SUMIF(INDIRECT(Formulas!$B$1),"60-"&amp;LEFT($B302,3)&amp;"*-"&amp;MID(C$1,2,1)&amp;"*",INDIRECT(Formulas!$B$3)),0)</f>
        <v>0</v>
      </c>
      <c r="D302" s="466">
        <f ca="1">ROUND(SUMIF(INDIRECT(Formulas!$B$1),"60-"&amp;LEFT($B302,3)&amp;"*-"&amp;MID(D$1,2,1)&amp;"*",INDIRECT(Formulas!$B$3)),0)</f>
        <v>0</v>
      </c>
      <c r="E302" s="466">
        <f ca="1">ROUND(SUMIF(INDIRECT(Formulas!$B$1),"60-"&amp;LEFT($B302,3)&amp;"*-"&amp;MID(E$1,2,1)&amp;"*",INDIRECT(Formulas!$B$3)),0)</f>
        <v>0</v>
      </c>
      <c r="F302" s="466">
        <f ca="1">ROUND(SUMIF(INDIRECT(Formulas!$B$1),"60-"&amp;LEFT($B302,3)&amp;"*-"&amp;MID(F$1,2,1)&amp;"*",INDIRECT(Formulas!$B$3)),0)</f>
        <v>0</v>
      </c>
      <c r="G302" s="466">
        <f ca="1">ROUND(SUMIF(INDIRECT(Formulas!$B$1),"60-"&amp;LEFT($B302,3)&amp;"*-"&amp;MID(G$1,2,1)&amp;"*",INDIRECT(Formulas!$B$3)),0)</f>
        <v>0</v>
      </c>
      <c r="H302" s="466">
        <f ca="1">ROUND(SUMIF(INDIRECT(Formulas!$B$1),"60-"&amp;LEFT($B302,3)&amp;"*-"&amp;MID(H$1,2,1)&amp;"*",INDIRECT(Formulas!$B$3)),0)</f>
        <v>0</v>
      </c>
      <c r="I302" s="466">
        <f ca="1">ROUND(SUMIF(INDIRECT(Formulas!$B$1),"60-"&amp;LEFT($B302,3)&amp;"*-"&amp;MID(I$1,2,1)&amp;"*",INDIRECT(Formulas!$B$3)),0)</f>
        <v>0</v>
      </c>
      <c r="J302" s="466">
        <f ca="1">ROUND(SUMIF(INDIRECT(Formulas!$B$1),"60-"&amp;LEFT($B302,3)&amp;"*-"&amp;MID(J$1,2,1)&amp;"*",INDIRECT(Formulas!$B$3)),0)</f>
        <v>0</v>
      </c>
      <c r="K302" s="1654">
        <f ca="1">SUM(C302:J302)</f>
        <v>0</v>
      </c>
      <c r="L302" s="466">
        <v>0</v>
      </c>
    </row>
    <row r="303" spans="1:14" ht="12.75" customHeight="1" thickBot="1" x14ac:dyDescent="0.25">
      <c r="A303" s="1651" t="s">
        <v>811</v>
      </c>
      <c r="B303" s="1652" t="s">
        <v>569</v>
      </c>
      <c r="C303" s="1660">
        <f ca="1">SUM(C301:C302)</f>
        <v>0</v>
      </c>
      <c r="D303" s="1660">
        <f t="shared" ref="D303:L303" ca="1" si="23">SUM(D301:D302)</f>
        <v>0</v>
      </c>
      <c r="E303" s="1660">
        <f t="shared" ca="1" si="23"/>
        <v>3753</v>
      </c>
      <c r="F303" s="1660">
        <f t="shared" ca="1" si="23"/>
        <v>0</v>
      </c>
      <c r="G303" s="1660">
        <f t="shared" ca="1" si="23"/>
        <v>42396</v>
      </c>
      <c r="H303" s="1660">
        <f t="shared" ca="1" si="23"/>
        <v>0</v>
      </c>
      <c r="I303" s="1660">
        <f t="shared" ca="1" si="23"/>
        <v>0</v>
      </c>
      <c r="J303" s="1660">
        <f t="shared" ca="1" si="23"/>
        <v>0</v>
      </c>
      <c r="K303" s="1660">
        <f t="shared" ca="1" si="23"/>
        <v>46149</v>
      </c>
      <c r="L303" s="1660">
        <f t="shared" si="23"/>
        <v>15000</v>
      </c>
    </row>
    <row r="304" spans="1:14" ht="15.75" customHeight="1" thickTop="1" x14ac:dyDescent="0.2">
      <c r="A304" s="1595" t="s">
        <v>145</v>
      </c>
      <c r="B304" s="1596" t="s">
        <v>860</v>
      </c>
      <c r="C304" s="602"/>
      <c r="D304" s="602"/>
      <c r="E304" s="602"/>
      <c r="F304" s="602"/>
      <c r="G304" s="602"/>
      <c r="H304" s="602"/>
      <c r="I304" s="602"/>
      <c r="J304" s="602"/>
      <c r="K304" s="602"/>
      <c r="L304" s="602"/>
    </row>
    <row r="305" spans="1:14" ht="15.75" customHeight="1" x14ac:dyDescent="0.2">
      <c r="A305" s="638" t="s">
        <v>897</v>
      </c>
      <c r="B305" s="608"/>
      <c r="C305" s="602"/>
      <c r="D305" s="602"/>
      <c r="E305" s="602"/>
      <c r="F305" s="602"/>
      <c r="G305" s="602"/>
      <c r="H305" s="602"/>
      <c r="I305" s="602"/>
      <c r="J305" s="602"/>
      <c r="K305" s="602"/>
      <c r="L305" s="602"/>
    </row>
    <row r="306" spans="1:14" x14ac:dyDescent="0.2">
      <c r="A306" s="1501" t="s">
        <v>1849</v>
      </c>
      <c r="B306" s="675" t="s">
        <v>1844</v>
      </c>
      <c r="C306" s="602"/>
      <c r="D306" s="602"/>
      <c r="E306" s="466">
        <f ca="1">ROUND(SUMIF(INDIRECT(Formulas!$B$1),"60-"&amp;LEFT($B306,3)&amp;"*-"&amp;MID(E$1,2,1)&amp;"*",INDIRECT(Formulas!$B$3)),0)</f>
        <v>0</v>
      </c>
      <c r="F306" s="602"/>
      <c r="G306" s="602"/>
      <c r="H306" s="466">
        <f ca="1">ROUND(SUMIF(INDIRECT(Formulas!$B$1),"60-"&amp;LEFT($B306,3)&amp;"*-"&amp;MID(H$1,2,1)&amp;"*",INDIRECT(Formulas!$B$3)),0)</f>
        <v>0</v>
      </c>
      <c r="I306" s="602"/>
      <c r="J306" s="602"/>
      <c r="K306" s="1654">
        <f ca="1">SUM(E306,H306)</f>
        <v>0</v>
      </c>
      <c r="L306" s="467"/>
    </row>
    <row r="307" spans="1:14" x14ac:dyDescent="0.2">
      <c r="A307" s="1487" t="s">
        <v>304</v>
      </c>
      <c r="B307" s="600">
        <v>4120</v>
      </c>
      <c r="C307" s="602"/>
      <c r="D307" s="602"/>
      <c r="E307" s="466">
        <f ca="1">ROUND(SUMIF(INDIRECT(Formulas!$B$1),"60-"&amp;LEFT($B307,3)&amp;"*-"&amp;MID(E$1,2,1)&amp;"*",INDIRECT(Formulas!$B$3)),0)</f>
        <v>0</v>
      </c>
      <c r="F307" s="602"/>
      <c r="G307" s="602"/>
      <c r="H307" s="466">
        <f ca="1">ROUND(SUMIF(INDIRECT(Formulas!$B$1),"60-"&amp;LEFT($B307,3)&amp;"*-"&amp;MID(H$1,2,1)&amp;"*",INDIRECT(Formulas!$B$3)),0)</f>
        <v>0</v>
      </c>
      <c r="I307" s="476"/>
      <c r="J307" s="602"/>
      <c r="K307" s="1654">
        <f ca="1">SUM(E307,H307)</f>
        <v>0</v>
      </c>
      <c r="L307" s="466"/>
    </row>
    <row r="308" spans="1:14" x14ac:dyDescent="0.2">
      <c r="A308" s="1487" t="s">
        <v>697</v>
      </c>
      <c r="B308" s="600">
        <v>4140</v>
      </c>
      <c r="C308" s="602"/>
      <c r="D308" s="602"/>
      <c r="E308" s="466">
        <f ca="1">ROUND(SUMIF(INDIRECT(Formulas!$B$1),"60-"&amp;LEFT($B308,3)&amp;"*-"&amp;MID(E$1,2,1)&amp;"*",INDIRECT(Formulas!$B$3)),0)</f>
        <v>0</v>
      </c>
      <c r="F308" s="602"/>
      <c r="G308" s="602"/>
      <c r="H308" s="466">
        <f ca="1">ROUND(SUMIF(INDIRECT(Formulas!$B$1),"60-"&amp;LEFT($B308,3)&amp;"*-"&amp;MID(H$1,2,1)&amp;"*",INDIRECT(Formulas!$B$3)),0)</f>
        <v>0</v>
      </c>
      <c r="I308" s="476"/>
      <c r="J308" s="602"/>
      <c r="K308" s="1654">
        <f ca="1">SUM(E308,H308)</f>
        <v>0</v>
      </c>
      <c r="L308" s="466"/>
    </row>
    <row r="309" spans="1:14" ht="12.75" customHeight="1" x14ac:dyDescent="0.2">
      <c r="A309" s="1491" t="s">
        <v>698</v>
      </c>
      <c r="B309" s="614">
        <v>4190</v>
      </c>
      <c r="C309" s="602"/>
      <c r="D309" s="602"/>
      <c r="E309" s="466">
        <f ca="1">ROUND(SUMIF(INDIRECT(Formulas!$B$1),"60-"&amp;LEFT($B309,3)&amp;"*-"&amp;MID(E$1,2,1)&amp;"*",INDIRECT(Formulas!$B$3)),0)</f>
        <v>0</v>
      </c>
      <c r="F309" s="602"/>
      <c r="G309" s="602"/>
      <c r="H309" s="466">
        <f ca="1">ROUND(SUMIF(INDIRECT(Formulas!$B$1),"60-"&amp;LEFT($B309,3)&amp;"*-"&amp;MID(H$1,2,1)&amp;"*",INDIRECT(Formulas!$B$3)),0)</f>
        <v>0</v>
      </c>
      <c r="I309" s="476"/>
      <c r="J309" s="602"/>
      <c r="K309" s="1654">
        <f ca="1">SUM(E309,H309)</f>
        <v>0</v>
      </c>
      <c r="L309" s="466"/>
    </row>
    <row r="310" spans="1:14" ht="12.75" customHeight="1" thickBot="1" x14ac:dyDescent="0.25">
      <c r="A310" s="1651" t="s">
        <v>1487</v>
      </c>
      <c r="B310" s="1658" t="s">
        <v>860</v>
      </c>
      <c r="C310" s="602"/>
      <c r="D310" s="602"/>
      <c r="E310" s="1653">
        <f ca="1">SUM(E306:E309)</f>
        <v>0</v>
      </c>
      <c r="F310" s="602"/>
      <c r="G310" s="602"/>
      <c r="H310" s="1653">
        <f ca="1">SUM(H306:H309)</f>
        <v>0</v>
      </c>
      <c r="I310" s="476"/>
      <c r="J310" s="602"/>
      <c r="K310" s="1653">
        <f ca="1">SUM(K306:K309)</f>
        <v>0</v>
      </c>
      <c r="L310" s="1660">
        <f>SUM(L306:L309)</f>
        <v>0</v>
      </c>
    </row>
    <row r="311" spans="1:14" ht="15.75" customHeight="1" thickTop="1" thickBot="1" x14ac:dyDescent="0.25">
      <c r="A311" s="1602" t="s">
        <v>895</v>
      </c>
      <c r="B311" s="1594" t="s">
        <v>861</v>
      </c>
      <c r="C311" s="609"/>
      <c r="D311" s="609"/>
      <c r="E311" s="609"/>
      <c r="F311" s="609"/>
      <c r="G311" s="609"/>
      <c r="H311" s="609"/>
      <c r="I311" s="609"/>
      <c r="J311" s="602"/>
      <c r="K311" s="609"/>
      <c r="L311" s="569"/>
    </row>
    <row r="312" spans="1:14" s="659" customFormat="1" ht="12.75" customHeight="1" thickTop="1" thickBot="1" x14ac:dyDescent="0.25">
      <c r="A312" s="2232" t="s">
        <v>277</v>
      </c>
      <c r="B312" s="2233"/>
      <c r="C312" s="1653">
        <f ca="1">SUM(C303)</f>
        <v>0</v>
      </c>
      <c r="D312" s="1653">
        <f ca="1">SUM(D303)</f>
        <v>0</v>
      </c>
      <c r="E312" s="1653">
        <f ca="1">SUM(E303,E310)</f>
        <v>3753</v>
      </c>
      <c r="F312" s="1653">
        <f ca="1">SUM(F303)</f>
        <v>0</v>
      </c>
      <c r="G312" s="1653">
        <f ca="1">SUM(G303)</f>
        <v>42396</v>
      </c>
      <c r="H312" s="1653">
        <f ca="1">SUM(H303,H310)</f>
        <v>0</v>
      </c>
      <c r="I312" s="1653">
        <f ca="1">SUM(I303)</f>
        <v>0</v>
      </c>
      <c r="J312" s="1653">
        <f ca="1">SUM(J303)</f>
        <v>0</v>
      </c>
      <c r="K312" s="1653">
        <f ca="1">SUM(K303,K310,K311)</f>
        <v>46149</v>
      </c>
      <c r="L312" s="1653">
        <f>SUM(L303,L310,L311)</f>
        <v>15000</v>
      </c>
      <c r="M312" s="650"/>
      <c r="N312" s="650"/>
    </row>
    <row r="313" spans="1:14" ht="13.5" thickTop="1" x14ac:dyDescent="0.2">
      <c r="A313" s="2228" t="s">
        <v>996</v>
      </c>
      <c r="B313" s="2229"/>
      <c r="C313" s="612"/>
      <c r="D313" s="612"/>
      <c r="E313" s="612"/>
      <c r="F313" s="612"/>
      <c r="G313" s="612"/>
      <c r="H313" s="612"/>
      <c r="I313" s="612"/>
      <c r="J313" s="612"/>
      <c r="K313" s="1668">
        <f ca="1">'Revenues 9-14'!H268-'Expenditures 15-22'!K312</f>
        <v>7815</v>
      </c>
      <c r="L313" s="612"/>
    </row>
    <row r="314" spans="1:14" s="651" customFormat="1" ht="9" customHeight="1" x14ac:dyDescent="0.2">
      <c r="A314" s="676"/>
      <c r="B314" s="677"/>
      <c r="C314" s="678"/>
      <c r="D314" s="678"/>
      <c r="E314" s="678"/>
      <c r="F314" s="678"/>
      <c r="G314" s="678"/>
      <c r="H314" s="678"/>
      <c r="I314" s="678"/>
      <c r="J314" s="678"/>
      <c r="K314" s="678"/>
      <c r="L314" s="678"/>
      <c r="M314" s="650"/>
      <c r="N314" s="650"/>
    </row>
    <row r="315" spans="1:14" ht="16.7" customHeight="1" x14ac:dyDescent="0.2">
      <c r="A315" s="2241" t="s">
        <v>149</v>
      </c>
      <c r="B315" s="2242"/>
      <c r="C315" s="1539"/>
      <c r="D315" s="1540"/>
      <c r="E315" s="1540"/>
      <c r="F315" s="1540"/>
      <c r="G315" s="1540"/>
      <c r="H315" s="1540"/>
      <c r="I315" s="1540"/>
      <c r="J315" s="1540"/>
      <c r="K315" s="1540"/>
      <c r="L315" s="1541"/>
    </row>
    <row r="316" spans="1:14" s="659" customFormat="1" ht="9" customHeight="1" x14ac:dyDescent="0.2">
      <c r="A316" s="676"/>
      <c r="B316" s="677"/>
      <c r="C316" s="679"/>
      <c r="D316" s="679"/>
      <c r="E316" s="679"/>
      <c r="F316" s="679"/>
      <c r="G316" s="679"/>
      <c r="H316" s="679"/>
      <c r="I316" s="679"/>
      <c r="J316" s="679"/>
      <c r="K316" s="679"/>
      <c r="L316" s="679"/>
      <c r="M316" s="650"/>
      <c r="N316" s="650"/>
    </row>
    <row r="317" spans="1:14" ht="16.7" customHeight="1" x14ac:dyDescent="0.2">
      <c r="A317" s="2243" t="s">
        <v>898</v>
      </c>
      <c r="B317" s="2242"/>
      <c r="C317" s="1539"/>
      <c r="D317" s="1540"/>
      <c r="E317" s="1540"/>
      <c r="F317" s="1540"/>
      <c r="G317" s="1540"/>
      <c r="H317" s="1540"/>
      <c r="I317" s="1540"/>
      <c r="J317" s="1540"/>
      <c r="K317" s="1540"/>
      <c r="L317" s="1541"/>
    </row>
    <row r="318" spans="1:14" s="659" customFormat="1" ht="15.75" customHeight="1" x14ac:dyDescent="0.2">
      <c r="A318" s="680" t="s">
        <v>610</v>
      </c>
      <c r="B318" s="681"/>
      <c r="C318" s="623"/>
      <c r="D318" s="623"/>
      <c r="E318" s="623"/>
      <c r="F318" s="623"/>
      <c r="G318" s="623"/>
      <c r="H318" s="623"/>
      <c r="I318" s="623"/>
      <c r="J318" s="623"/>
      <c r="K318" s="623"/>
      <c r="L318" s="623"/>
      <c r="M318" s="650"/>
      <c r="N318" s="650"/>
    </row>
    <row r="319" spans="1:14" s="659" customFormat="1" x14ac:dyDescent="0.2">
      <c r="A319" s="1502" t="s">
        <v>299</v>
      </c>
      <c r="B319" s="682" t="s">
        <v>281</v>
      </c>
      <c r="C319" s="466">
        <f ca="1">ROUND(SUMIF(INDIRECT(Formulas!$B$1),"80-"&amp;LEFT($B319,4)&amp;"*-"&amp;MID(C$1,2,1)&amp;"*",INDIRECT(Formulas!$B$3)),0)</f>
        <v>0</v>
      </c>
      <c r="D319" s="466">
        <f ca="1">ROUND(SUMIF(INDIRECT(Formulas!$B$1),"80-"&amp;LEFT($B319,4)&amp;"*-"&amp;MID(D$1,2,1)&amp;"*",INDIRECT(Formulas!$B$3)),0)</f>
        <v>0</v>
      </c>
      <c r="E319" s="466">
        <f ca="1">ROUND(SUMIF(INDIRECT(Formulas!$B$1),"80-"&amp;LEFT($B319,4)&amp;"*-"&amp;MID(E$1,2,1)&amp;"*",INDIRECT(Formulas!$B$3)),0)</f>
        <v>0</v>
      </c>
      <c r="F319" s="466">
        <f ca="1">ROUND(SUMIF(INDIRECT(Formulas!$B$1),"80-"&amp;LEFT($B319,4)&amp;"*-"&amp;MID(F$1,2,1)&amp;"*",INDIRECT(Formulas!$B$3)),0)</f>
        <v>0</v>
      </c>
      <c r="G319" s="466">
        <f ca="1">ROUND(SUMIF(INDIRECT(Formulas!$B$1),"80-"&amp;LEFT($B319,4)&amp;"*-"&amp;MID(G$1,2,1)&amp;"*",INDIRECT(Formulas!$B$3)),0)</f>
        <v>0</v>
      </c>
      <c r="H319" s="466">
        <f ca="1">ROUND(SUMIF(INDIRECT(Formulas!$B$1),"80-"&amp;LEFT($B319,4)&amp;"*-"&amp;MID(H$1,2,1)&amp;"*",INDIRECT(Formulas!$B$3)),0)</f>
        <v>0</v>
      </c>
      <c r="I319" s="466">
        <f ca="1">ROUND(SUMIF(INDIRECT(Formulas!$B$1),"80-"&amp;LEFT($B319,4)&amp;"*-"&amp;MID(I$1,2,1)&amp;"*",INDIRECT(Formulas!$B$3)),0)</f>
        <v>0</v>
      </c>
      <c r="J319" s="466">
        <f ca="1">ROUND(SUMIF(INDIRECT(Formulas!$B$1),"80-"&amp;LEFT($B319,4)&amp;"*-"&amp;MID(J$1,2,1)&amp;"*",INDIRECT(Formulas!$B$3)),0)</f>
        <v>0</v>
      </c>
      <c r="K319" s="1654">
        <f ca="1">SUM(C319:J319)</f>
        <v>0</v>
      </c>
      <c r="L319" s="467">
        <v>0</v>
      </c>
      <c r="M319" s="650"/>
      <c r="N319" s="650"/>
    </row>
    <row r="320" spans="1:14" s="659" customFormat="1" x14ac:dyDescent="0.2">
      <c r="A320" s="1506" t="s">
        <v>1804</v>
      </c>
      <c r="B320" s="683" t="s">
        <v>282</v>
      </c>
      <c r="C320" s="466">
        <f ca="1">ROUND(SUMIF(INDIRECT(Formulas!$B$1),"80-"&amp;LEFT($B320,4)&amp;"*-"&amp;MID(C$1,2,1)&amp;"*",INDIRECT(Formulas!$B$3)),0)</f>
        <v>0</v>
      </c>
      <c r="D320" s="466">
        <f ca="1">ROUND(SUMIF(INDIRECT(Formulas!$B$1),"80-"&amp;LEFT($B320,4)&amp;"*-"&amp;MID(D$1,2,1)&amp;"*",INDIRECT(Formulas!$B$3)),0)</f>
        <v>0</v>
      </c>
      <c r="E320" s="466">
        <f ca="1">ROUND(SUMIF(INDIRECT(Formulas!$B$1),"80-"&amp;LEFT($B320,4)&amp;"*-"&amp;MID(E$1,2,1)&amp;"*",INDIRECT(Formulas!$B$3)),0)</f>
        <v>0</v>
      </c>
      <c r="F320" s="466">
        <f ca="1">ROUND(SUMIF(INDIRECT(Formulas!$B$1),"80-"&amp;LEFT($B320,4)&amp;"*-"&amp;MID(F$1,2,1)&amp;"*",INDIRECT(Formulas!$B$3)),0)</f>
        <v>0</v>
      </c>
      <c r="G320" s="466">
        <f ca="1">ROUND(SUMIF(INDIRECT(Formulas!$B$1),"80-"&amp;LEFT($B320,4)&amp;"*-"&amp;MID(G$1,2,1)&amp;"*",INDIRECT(Formulas!$B$3)),0)</f>
        <v>0</v>
      </c>
      <c r="H320" s="466">
        <f ca="1">ROUND(SUMIF(INDIRECT(Formulas!$B$1),"80-"&amp;LEFT($B320,4)&amp;"*-"&amp;MID(H$1,2,1)&amp;"*",INDIRECT(Formulas!$B$3)),0)</f>
        <v>0</v>
      </c>
      <c r="I320" s="466">
        <f ca="1">ROUND(SUMIF(INDIRECT(Formulas!$B$1),"80-"&amp;LEFT($B320,4)&amp;"*-"&amp;MID(I$1,2,1)&amp;"*",INDIRECT(Formulas!$B$3)),0)</f>
        <v>0</v>
      </c>
      <c r="J320" s="466">
        <f ca="1">ROUND(SUMIF(INDIRECT(Formulas!$B$1),"80-"&amp;LEFT($B320,4)&amp;"*-"&amp;MID(J$1,2,1)&amp;"*",INDIRECT(Formulas!$B$3)),0)</f>
        <v>0</v>
      </c>
      <c r="K320" s="1654">
        <f t="shared" ref="K320:K327" ca="1" si="24">SUM(C320:J320)</f>
        <v>0</v>
      </c>
      <c r="L320" s="467">
        <v>7000</v>
      </c>
      <c r="M320" s="650"/>
      <c r="N320" s="650"/>
    </row>
    <row r="321" spans="1:14" s="659" customFormat="1" x14ac:dyDescent="0.2">
      <c r="A321" s="1502" t="s">
        <v>300</v>
      </c>
      <c r="B321" s="682" t="s">
        <v>283</v>
      </c>
      <c r="C321" s="466">
        <f ca="1">ROUND(SUMIF(INDIRECT(Formulas!$B$1),"80-"&amp;LEFT($B321,4)&amp;"*-"&amp;MID(C$1,2,1)&amp;"*",INDIRECT(Formulas!$B$3)),0)</f>
        <v>0</v>
      </c>
      <c r="D321" s="466">
        <f ca="1">ROUND(SUMIF(INDIRECT(Formulas!$B$1),"80-"&amp;LEFT($B321,4)&amp;"*-"&amp;MID(D$1,2,1)&amp;"*",INDIRECT(Formulas!$B$3)),0)</f>
        <v>0</v>
      </c>
      <c r="E321" s="466">
        <f ca="1">ROUND(SUMIF(INDIRECT(Formulas!$B$1),"80-"&amp;LEFT($B321,4)&amp;"*-"&amp;MID(E$1,2,1)&amp;"*",INDIRECT(Formulas!$B$3)),0)</f>
        <v>0</v>
      </c>
      <c r="F321" s="466">
        <f ca="1">ROUND(SUMIF(INDIRECT(Formulas!$B$1),"80-"&amp;LEFT($B321,4)&amp;"*-"&amp;MID(F$1,2,1)&amp;"*",INDIRECT(Formulas!$B$3)),0)</f>
        <v>0</v>
      </c>
      <c r="G321" s="466">
        <f ca="1">ROUND(SUMIF(INDIRECT(Formulas!$B$1),"80-"&amp;LEFT($B321,4)&amp;"*-"&amp;MID(G$1,2,1)&amp;"*",INDIRECT(Formulas!$B$3)),0)</f>
        <v>0</v>
      </c>
      <c r="H321" s="466">
        <f ca="1">ROUND(SUMIF(INDIRECT(Formulas!$B$1),"80-"&amp;LEFT($B321,4)&amp;"*-"&amp;MID(H$1,2,1)&amp;"*",INDIRECT(Formulas!$B$3)),0)</f>
        <v>0</v>
      </c>
      <c r="I321" s="466">
        <f ca="1">ROUND(SUMIF(INDIRECT(Formulas!$B$1),"80-"&amp;LEFT($B321,4)&amp;"*-"&amp;MID(I$1,2,1)&amp;"*",INDIRECT(Formulas!$B$3)),0)</f>
        <v>0</v>
      </c>
      <c r="J321" s="466">
        <f ca="1">ROUND(SUMIF(INDIRECT(Formulas!$B$1),"80-"&amp;LEFT($B321,4)&amp;"*-"&amp;MID(J$1,2,1)&amp;"*",INDIRECT(Formulas!$B$3)),0)</f>
        <v>0</v>
      </c>
      <c r="K321" s="1654">
        <f t="shared" ca="1" si="24"/>
        <v>0</v>
      </c>
      <c r="L321" s="467">
        <v>0</v>
      </c>
      <c r="M321" s="650"/>
      <c r="N321" s="650"/>
    </row>
    <row r="322" spans="1:14" s="659" customFormat="1" x14ac:dyDescent="0.2">
      <c r="A322" s="1502" t="s">
        <v>238</v>
      </c>
      <c r="B322" s="682" t="s">
        <v>284</v>
      </c>
      <c r="C322" s="466">
        <f ca="1">ROUND(SUMIF(INDIRECT(Formulas!$B$1),"80-"&amp;LEFT($B322,4)&amp;"*-"&amp;MID(C$1,2,1)&amp;"*",INDIRECT(Formulas!$B$3)),0)</f>
        <v>0</v>
      </c>
      <c r="D322" s="466">
        <f ca="1">ROUND(SUMIF(INDIRECT(Formulas!$B$1),"80-"&amp;LEFT($B322,4)&amp;"*-"&amp;MID(D$1,2,1)&amp;"*",INDIRECT(Formulas!$B$3)),0)</f>
        <v>0</v>
      </c>
      <c r="E322" s="466">
        <f ca="1">ROUND(SUMIF(INDIRECT(Formulas!$B$1),"80-"&amp;LEFT($B322,4)&amp;"*-"&amp;MID(E$1,2,1)&amp;"*",INDIRECT(Formulas!$B$3)),0)</f>
        <v>25112</v>
      </c>
      <c r="F322" s="466">
        <f ca="1">ROUND(SUMIF(INDIRECT(Formulas!$B$1),"80-"&amp;LEFT($B322,4)&amp;"*-"&amp;MID(F$1,2,1)&amp;"*",INDIRECT(Formulas!$B$3)),0)</f>
        <v>0</v>
      </c>
      <c r="G322" s="466">
        <f ca="1">ROUND(SUMIF(INDIRECT(Formulas!$B$1),"80-"&amp;LEFT($B322,4)&amp;"*-"&amp;MID(G$1,2,1)&amp;"*",INDIRECT(Formulas!$B$3)),0)</f>
        <v>0</v>
      </c>
      <c r="H322" s="466">
        <f ca="1">ROUND(SUMIF(INDIRECT(Formulas!$B$1),"80-"&amp;LEFT($B322,4)&amp;"*-"&amp;MID(H$1,2,1)&amp;"*",INDIRECT(Formulas!$B$3)),0)</f>
        <v>0</v>
      </c>
      <c r="I322" s="466">
        <f ca="1">ROUND(SUMIF(INDIRECT(Formulas!$B$1),"80-"&amp;LEFT($B322,4)&amp;"*-"&amp;MID(I$1,2,1)&amp;"*",INDIRECT(Formulas!$B$3)),0)</f>
        <v>0</v>
      </c>
      <c r="J322" s="466">
        <f ca="1">ROUND(SUMIF(INDIRECT(Formulas!$B$1),"80-"&amp;LEFT($B322,4)&amp;"*-"&amp;MID(J$1,2,1)&amp;"*",INDIRECT(Formulas!$B$3)),0)</f>
        <v>0</v>
      </c>
      <c r="K322" s="1654">
        <f t="shared" ca="1" si="24"/>
        <v>25112</v>
      </c>
      <c r="L322" s="467">
        <v>20000</v>
      </c>
      <c r="M322" s="650"/>
      <c r="N322" s="650"/>
    </row>
    <row r="323" spans="1:14" s="659" customFormat="1" x14ac:dyDescent="0.2">
      <c r="A323" s="1502" t="s">
        <v>702</v>
      </c>
      <c r="B323" s="682" t="s">
        <v>285</v>
      </c>
      <c r="C323" s="466">
        <f ca="1">ROUND(SUMIF(INDIRECT(Formulas!$B$1),"80-"&amp;LEFT($B323,4)&amp;"*-"&amp;MID(C$1,2,1)&amp;"*",INDIRECT(Formulas!$B$3)),0)</f>
        <v>2896</v>
      </c>
      <c r="D323" s="466">
        <f ca="1">ROUND(SUMIF(INDIRECT(Formulas!$B$1),"80-"&amp;LEFT($B323,4)&amp;"*-"&amp;MID(D$1,2,1)&amp;"*",INDIRECT(Formulas!$B$3)),0)</f>
        <v>33</v>
      </c>
      <c r="E323" s="466">
        <f ca="1">ROUND(SUMIF(INDIRECT(Formulas!$B$1),"80-"&amp;LEFT($B323,4)&amp;"*-"&amp;MID(E$1,2,1)&amp;"*",INDIRECT(Formulas!$B$3)),0)</f>
        <v>9250</v>
      </c>
      <c r="F323" s="466">
        <f ca="1">ROUND(SUMIF(INDIRECT(Formulas!$B$1),"80-"&amp;LEFT($B323,4)&amp;"*-"&amp;MID(F$1,2,1)&amp;"*",INDIRECT(Formulas!$B$3)),0)</f>
        <v>824</v>
      </c>
      <c r="G323" s="466">
        <f ca="1">ROUND(SUMIF(INDIRECT(Formulas!$B$1),"80-"&amp;LEFT($B323,4)&amp;"*-"&amp;MID(G$1,2,1)&amp;"*",INDIRECT(Formulas!$B$3)),0)</f>
        <v>0</v>
      </c>
      <c r="H323" s="466">
        <f ca="1">ROUND(SUMIF(INDIRECT(Formulas!$B$1),"80-"&amp;LEFT($B323,4)&amp;"*-"&amp;MID(H$1,2,1)&amp;"*",INDIRECT(Formulas!$B$3)),0)</f>
        <v>0</v>
      </c>
      <c r="I323" s="466">
        <f ca="1">ROUND(SUMIF(INDIRECT(Formulas!$B$1),"80-"&amp;LEFT($B323,4)&amp;"*-"&amp;MID(I$1,2,1)&amp;"*",INDIRECT(Formulas!$B$3)),0)</f>
        <v>0</v>
      </c>
      <c r="J323" s="466">
        <f ca="1">ROUND(SUMIF(INDIRECT(Formulas!$B$1),"80-"&amp;LEFT($B323,4)&amp;"*-"&amp;MID(J$1,2,1)&amp;"*",INDIRECT(Formulas!$B$3)),0)</f>
        <v>0</v>
      </c>
      <c r="K323" s="1654">
        <f t="shared" ca="1" si="24"/>
        <v>13003</v>
      </c>
      <c r="L323" s="467">
        <v>13000</v>
      </c>
      <c r="M323" s="650"/>
      <c r="N323" s="650"/>
    </row>
    <row r="324" spans="1:14" s="659" customFormat="1" x14ac:dyDescent="0.2">
      <c r="A324" s="1502" t="s">
        <v>239</v>
      </c>
      <c r="B324" s="682" t="s">
        <v>286</v>
      </c>
      <c r="C324" s="466">
        <f ca="1">ROUND(SUMIF(INDIRECT(Formulas!$B$1),"80-"&amp;LEFT($B324,4)&amp;"*-"&amp;MID(C$1,2,1)&amp;"*",INDIRECT(Formulas!$B$3)),0)</f>
        <v>0</v>
      </c>
      <c r="D324" s="466">
        <f ca="1">ROUND(SUMIF(INDIRECT(Formulas!$B$1),"80-"&amp;LEFT($B324,4)&amp;"*-"&amp;MID(D$1,2,1)&amp;"*",INDIRECT(Formulas!$B$3)),0)</f>
        <v>0</v>
      </c>
      <c r="E324" s="466">
        <f ca="1">ROUND(SUMIF(INDIRECT(Formulas!$B$1),"80-"&amp;LEFT($B324,4)&amp;"*-"&amp;MID(E$1,2,1)&amp;"*",INDIRECT(Formulas!$B$3)),0)</f>
        <v>0</v>
      </c>
      <c r="F324" s="466">
        <f ca="1">ROUND(SUMIF(INDIRECT(Formulas!$B$1),"80-"&amp;LEFT($B324,4)&amp;"*-"&amp;MID(F$1,2,1)&amp;"*",INDIRECT(Formulas!$B$3)),0)</f>
        <v>0</v>
      </c>
      <c r="G324" s="466">
        <f ca="1">ROUND(SUMIF(INDIRECT(Formulas!$B$1),"80-"&amp;LEFT($B324,4)&amp;"*-"&amp;MID(G$1,2,1)&amp;"*",INDIRECT(Formulas!$B$3)),0)</f>
        <v>0</v>
      </c>
      <c r="H324" s="466">
        <f ca="1">ROUND(SUMIF(INDIRECT(Formulas!$B$1),"80-"&amp;LEFT($B324,4)&amp;"*-"&amp;MID(H$1,2,1)&amp;"*",INDIRECT(Formulas!$B$3)),0)</f>
        <v>0</v>
      </c>
      <c r="I324" s="466">
        <f ca="1">ROUND(SUMIF(INDIRECT(Formulas!$B$1),"80-"&amp;LEFT($B324,4)&amp;"*-"&amp;MID(I$1,2,1)&amp;"*",INDIRECT(Formulas!$B$3)),0)</f>
        <v>0</v>
      </c>
      <c r="J324" s="466">
        <f ca="1">ROUND(SUMIF(INDIRECT(Formulas!$B$1),"80-"&amp;LEFT($B324,4)&amp;"*-"&amp;MID(J$1,2,1)&amp;"*",INDIRECT(Formulas!$B$3)),0)</f>
        <v>0</v>
      </c>
      <c r="K324" s="1654">
        <f t="shared" ca="1" si="24"/>
        <v>0</v>
      </c>
      <c r="L324" s="467">
        <v>0</v>
      </c>
      <c r="M324" s="650"/>
      <c r="N324" s="650"/>
    </row>
    <row r="325" spans="1:14" s="659" customFormat="1" ht="22.5" x14ac:dyDescent="0.2">
      <c r="A325" s="1502" t="s">
        <v>1029</v>
      </c>
      <c r="B325" s="683" t="s">
        <v>287</v>
      </c>
      <c r="C325" s="466">
        <f ca="1">ROUND(SUMIF(INDIRECT(Formulas!$B$1),"80-"&amp;LEFT($B325,4)&amp;"*-"&amp;MID(C$1,2,1)&amp;"*",INDIRECT(Formulas!$B$3)),0)</f>
        <v>0</v>
      </c>
      <c r="D325" s="466">
        <f ca="1">ROUND(SUMIF(INDIRECT(Formulas!$B$1),"80-"&amp;LEFT($B325,4)&amp;"*-"&amp;MID(D$1,2,1)&amp;"*",INDIRECT(Formulas!$B$3)),0)</f>
        <v>0</v>
      </c>
      <c r="E325" s="466">
        <f ca="1">ROUND(SUMIF(INDIRECT(Formulas!$B$1),"80-"&amp;LEFT($B325,4)&amp;"*-"&amp;MID(E$1,2,1)&amp;"*",INDIRECT(Formulas!$B$3)),0)</f>
        <v>0</v>
      </c>
      <c r="F325" s="466">
        <f ca="1">ROUND(SUMIF(INDIRECT(Formulas!$B$1),"80-"&amp;LEFT($B325,4)&amp;"*-"&amp;MID(F$1,2,1)&amp;"*",INDIRECT(Formulas!$B$3)),0)</f>
        <v>0</v>
      </c>
      <c r="G325" s="466">
        <f ca="1">ROUND(SUMIF(INDIRECT(Formulas!$B$1),"80-"&amp;LEFT($B325,4)&amp;"*-"&amp;MID(G$1,2,1)&amp;"*",INDIRECT(Formulas!$B$3)),0)</f>
        <v>0</v>
      </c>
      <c r="H325" s="466">
        <f ca="1">ROUND(SUMIF(INDIRECT(Formulas!$B$1),"80-"&amp;LEFT($B325,4)&amp;"*-"&amp;MID(H$1,2,1)&amp;"*",INDIRECT(Formulas!$B$3)),0)</f>
        <v>0</v>
      </c>
      <c r="I325" s="466">
        <f ca="1">ROUND(SUMIF(INDIRECT(Formulas!$B$1),"80-"&amp;LEFT($B325,4)&amp;"*-"&amp;MID(I$1,2,1)&amp;"*",INDIRECT(Formulas!$B$3)),0)</f>
        <v>0</v>
      </c>
      <c r="J325" s="466">
        <f ca="1">ROUND(SUMIF(INDIRECT(Formulas!$B$1),"80-"&amp;LEFT($B325,4)&amp;"*-"&amp;MID(J$1,2,1)&amp;"*",INDIRECT(Formulas!$B$3)),0)</f>
        <v>0</v>
      </c>
      <c r="K325" s="1654">
        <f t="shared" ca="1" si="24"/>
        <v>0</v>
      </c>
      <c r="L325" s="467">
        <v>0</v>
      </c>
      <c r="M325" s="650"/>
      <c r="N325" s="650"/>
    </row>
    <row r="326" spans="1:14" s="659" customFormat="1" x14ac:dyDescent="0.2">
      <c r="A326" s="1502" t="s">
        <v>1030</v>
      </c>
      <c r="B326" s="682" t="s">
        <v>288</v>
      </c>
      <c r="C326" s="466">
        <f ca="1">ROUND(SUMIF(INDIRECT(Formulas!$B$1),"80-"&amp;LEFT($B326,4)&amp;"*-"&amp;MID(C$1,2,1)&amp;"*",INDIRECT(Formulas!$B$3)),0)</f>
        <v>0</v>
      </c>
      <c r="D326" s="466">
        <f ca="1">ROUND(SUMIF(INDIRECT(Formulas!$B$1),"80-"&amp;LEFT($B326,4)&amp;"*-"&amp;MID(D$1,2,1)&amp;"*",INDIRECT(Formulas!$B$3)),0)</f>
        <v>0</v>
      </c>
      <c r="E326" s="466">
        <f ca="1">ROUND(SUMIF(INDIRECT(Formulas!$B$1),"80-"&amp;LEFT($B326,4)&amp;"*-"&amp;MID(E$1,2,1)&amp;"*",INDIRECT(Formulas!$B$3)),0)</f>
        <v>0</v>
      </c>
      <c r="F326" s="466">
        <f ca="1">ROUND(SUMIF(INDIRECT(Formulas!$B$1),"80-"&amp;LEFT($B326,4)&amp;"*-"&amp;MID(F$1,2,1)&amp;"*",INDIRECT(Formulas!$B$3)),0)</f>
        <v>0</v>
      </c>
      <c r="G326" s="466">
        <f ca="1">ROUND(SUMIF(INDIRECT(Formulas!$B$1),"80-"&amp;LEFT($B326,4)&amp;"*-"&amp;MID(G$1,2,1)&amp;"*",INDIRECT(Formulas!$B$3)),0)</f>
        <v>0</v>
      </c>
      <c r="H326" s="466">
        <f ca="1">ROUND(SUMIF(INDIRECT(Formulas!$B$1),"80-"&amp;LEFT($B326,4)&amp;"*-"&amp;MID(H$1,2,1)&amp;"*",INDIRECT(Formulas!$B$3)),0)</f>
        <v>0</v>
      </c>
      <c r="I326" s="466">
        <f ca="1">ROUND(SUMIF(INDIRECT(Formulas!$B$1),"80-"&amp;LEFT($B326,4)&amp;"*-"&amp;MID(I$1,2,1)&amp;"*",INDIRECT(Formulas!$B$3)),0)</f>
        <v>0</v>
      </c>
      <c r="J326" s="466">
        <f ca="1">ROUND(SUMIF(INDIRECT(Formulas!$B$1),"80-"&amp;LEFT($B326,4)&amp;"*-"&amp;MID(J$1,2,1)&amp;"*",INDIRECT(Formulas!$B$3)),0)</f>
        <v>0</v>
      </c>
      <c r="K326" s="1654">
        <f t="shared" ca="1" si="24"/>
        <v>0</v>
      </c>
      <c r="L326" s="467">
        <v>0</v>
      </c>
      <c r="M326" s="650"/>
      <c r="N326" s="650"/>
    </row>
    <row r="327" spans="1:14" s="659" customFormat="1" x14ac:dyDescent="0.2">
      <c r="A327" s="1502" t="s">
        <v>971</v>
      </c>
      <c r="B327" s="682" t="s">
        <v>289</v>
      </c>
      <c r="C327" s="466">
        <f ca="1">ROUND(SUMIF(INDIRECT(Formulas!$B$1),"80-"&amp;LEFT($B327,4)&amp;"*-"&amp;MID(C$1,2,1)&amp;"*",INDIRECT(Formulas!$B$3)),0)</f>
        <v>0</v>
      </c>
      <c r="D327" s="466">
        <f ca="1">ROUND(SUMIF(INDIRECT(Formulas!$B$1),"80-"&amp;LEFT($B327,4)&amp;"*-"&amp;MID(D$1,2,1)&amp;"*",INDIRECT(Formulas!$B$3)),0)</f>
        <v>0</v>
      </c>
      <c r="E327" s="466">
        <f ca="1">ROUND(SUMIF(INDIRECT(Formulas!$B$1),"80-"&amp;LEFT($B327,4)&amp;"*-"&amp;MID(E$1,2,1)&amp;"*",INDIRECT(Formulas!$B$3)),0)</f>
        <v>0</v>
      </c>
      <c r="F327" s="466">
        <f ca="1">ROUND(SUMIF(INDIRECT(Formulas!$B$1),"80-"&amp;LEFT($B327,4)&amp;"*-"&amp;MID(F$1,2,1)&amp;"*",INDIRECT(Formulas!$B$3)),0)</f>
        <v>0</v>
      </c>
      <c r="G327" s="466">
        <f ca="1">ROUND(SUMIF(INDIRECT(Formulas!$B$1),"80-"&amp;LEFT($B327,4)&amp;"*-"&amp;MID(G$1,2,1)&amp;"*",INDIRECT(Formulas!$B$3)),0)</f>
        <v>0</v>
      </c>
      <c r="H327" s="466">
        <f ca="1">ROUND(SUMIF(INDIRECT(Formulas!$B$1),"80-"&amp;LEFT($B327,4)&amp;"*-"&amp;MID(H$1,2,1)&amp;"*",INDIRECT(Formulas!$B$3)),0)</f>
        <v>0</v>
      </c>
      <c r="I327" s="466">
        <f ca="1">ROUND(SUMIF(INDIRECT(Formulas!$B$1),"80-"&amp;LEFT($B327,4)&amp;"*-"&amp;MID(I$1,2,1)&amp;"*",INDIRECT(Formulas!$B$3)),0)</f>
        <v>0</v>
      </c>
      <c r="J327" s="466">
        <f ca="1">ROUND(SUMIF(INDIRECT(Formulas!$B$1),"80-"&amp;LEFT($B327,4)&amp;"*-"&amp;MID(J$1,2,1)&amp;"*",INDIRECT(Formulas!$B$3)),0)</f>
        <v>0</v>
      </c>
      <c r="K327" s="1654">
        <f t="shared" ca="1" si="24"/>
        <v>0</v>
      </c>
      <c r="L327" s="467">
        <v>50000</v>
      </c>
      <c r="M327" s="650"/>
      <c r="N327" s="650"/>
    </row>
    <row r="328" spans="1:14" s="659" customFormat="1" x14ac:dyDescent="0.2">
      <c r="A328" s="1503" t="s">
        <v>472</v>
      </c>
      <c r="B328" s="675" t="s">
        <v>1132</v>
      </c>
      <c r="C328" s="466">
        <f ca="1">ROUND(SUMIF(INDIRECT(Formulas!$B$1),"80-"&amp;LEFT($B328,4)&amp;"*-"&amp;MID(C$1,2,1)&amp;"*",INDIRECT(Formulas!$B$3)),0)</f>
        <v>0</v>
      </c>
      <c r="D328" s="466">
        <f ca="1">ROUND(SUMIF(INDIRECT(Formulas!$B$1),"80-"&amp;LEFT($B328,4)&amp;"*-"&amp;MID(D$1,2,1)&amp;"*",INDIRECT(Formulas!$B$3)),0)</f>
        <v>0</v>
      </c>
      <c r="E328" s="466">
        <f ca="1">ROUND(SUMIF(INDIRECT(Formulas!$B$1),"80-"&amp;LEFT($B328,4)&amp;"*-"&amp;MID(E$1,2,1)&amp;"*",INDIRECT(Formulas!$B$3)),0)</f>
        <v>0</v>
      </c>
      <c r="F328" s="466">
        <f ca="1">ROUND(SUMIF(INDIRECT(Formulas!$B$1),"80-"&amp;LEFT($B328,4)&amp;"*-"&amp;MID(F$1,2,1)&amp;"*",INDIRECT(Formulas!$B$3)),0)</f>
        <v>0</v>
      </c>
      <c r="G328" s="466">
        <f ca="1">ROUND(SUMIF(INDIRECT(Formulas!$B$1),"80-"&amp;LEFT($B328,4)&amp;"*-"&amp;MID(G$1,2,1)&amp;"*",INDIRECT(Formulas!$B$3)),0)</f>
        <v>0</v>
      </c>
      <c r="H328" s="466">
        <f ca="1">ROUND(SUMIF(INDIRECT(Formulas!$B$1),"80-"&amp;LEFT($B328,4)&amp;"*-"&amp;MID(H$1,2,1)&amp;"*",INDIRECT(Formulas!$B$3)),0)</f>
        <v>0</v>
      </c>
      <c r="I328" s="466">
        <f ca="1">ROUND(SUMIF(INDIRECT(Formulas!$B$1),"80-"&amp;LEFT($B328,4)&amp;"*-"&amp;MID(I$1,2,1)&amp;"*",INDIRECT(Formulas!$B$3)),0)</f>
        <v>0</v>
      </c>
      <c r="J328" s="466">
        <f ca="1">ROUND(SUMIF(INDIRECT(Formulas!$B$1),"80-"&amp;LEFT($B328,4)&amp;"*-"&amp;MID(J$1,2,1)&amp;"*",INDIRECT(Formulas!$B$3)),0)</f>
        <v>0</v>
      </c>
      <c r="K328" s="1682">
        <f ca="1">SUM(C328:J328)</f>
        <v>0</v>
      </c>
      <c r="L328" s="474">
        <v>0</v>
      </c>
      <c r="M328" s="650"/>
      <c r="N328" s="650"/>
    </row>
    <row r="329" spans="1:14" s="659" customFormat="1" x14ac:dyDescent="0.2">
      <c r="A329" s="1503" t="s">
        <v>1133</v>
      </c>
      <c r="B329" s="675" t="s">
        <v>1134</v>
      </c>
      <c r="C329" s="466">
        <f ca="1">ROUND(SUMIF(INDIRECT(Formulas!$B$1),"80-"&amp;LEFT($B329,4)&amp;"*-"&amp;MID(C$1,2,1)&amp;"*",INDIRECT(Formulas!$B$3)),0)</f>
        <v>0</v>
      </c>
      <c r="D329" s="466">
        <f ca="1">ROUND(SUMIF(INDIRECT(Formulas!$B$1),"80-"&amp;LEFT($B329,4)&amp;"*-"&amp;MID(D$1,2,1)&amp;"*",INDIRECT(Formulas!$B$3)),0)</f>
        <v>0</v>
      </c>
      <c r="E329" s="466">
        <f ca="1">ROUND(SUMIF(INDIRECT(Formulas!$B$1),"80-"&amp;LEFT($B329,4)&amp;"*-"&amp;MID(E$1,2,1)&amp;"*",INDIRECT(Formulas!$B$3)),0)</f>
        <v>0</v>
      </c>
      <c r="F329" s="466">
        <f ca="1">ROUND(SUMIF(INDIRECT(Formulas!$B$1),"80-"&amp;LEFT($B329,4)&amp;"*-"&amp;MID(F$1,2,1)&amp;"*",INDIRECT(Formulas!$B$3)),0)</f>
        <v>0</v>
      </c>
      <c r="G329" s="466">
        <f ca="1">ROUND(SUMIF(INDIRECT(Formulas!$B$1),"80-"&amp;LEFT($B329,4)&amp;"*-"&amp;MID(G$1,2,1)&amp;"*",INDIRECT(Formulas!$B$3)),0)</f>
        <v>0</v>
      </c>
      <c r="H329" s="466">
        <f ca="1">ROUND(SUMIF(INDIRECT(Formulas!$B$1),"80-"&amp;LEFT($B329,4)&amp;"*-"&amp;MID(H$1,2,1)&amp;"*",INDIRECT(Formulas!$B$3)),0)</f>
        <v>0</v>
      </c>
      <c r="I329" s="466">
        <f ca="1">ROUND(SUMIF(INDIRECT(Formulas!$B$1),"80-"&amp;LEFT($B329,4)&amp;"*-"&amp;MID(I$1,2,1)&amp;"*",INDIRECT(Formulas!$B$3)),0)</f>
        <v>0</v>
      </c>
      <c r="J329" s="466">
        <f ca="1">ROUND(SUMIF(INDIRECT(Formulas!$B$1),"80-"&amp;LEFT($B329,4)&amp;"*-"&amp;MID(J$1,2,1)&amp;"*",INDIRECT(Formulas!$B$3)),0)</f>
        <v>0</v>
      </c>
      <c r="K329" s="1682">
        <f ca="1">SUM(C329:J329)</f>
        <v>0</v>
      </c>
      <c r="L329" s="474">
        <v>0</v>
      </c>
      <c r="M329" s="650"/>
      <c r="N329" s="650"/>
    </row>
    <row r="330" spans="1:14" s="659" customFormat="1" ht="12.75" customHeight="1" thickBot="1" x14ac:dyDescent="0.25">
      <c r="A330" s="1683" t="s">
        <v>717</v>
      </c>
      <c r="B330" s="1652" t="s">
        <v>569</v>
      </c>
      <c r="C330" s="1653">
        <f ca="1">SUM(C319:C329)</f>
        <v>2896</v>
      </c>
      <c r="D330" s="1653">
        <f t="shared" ref="D330:J330" ca="1" si="25">SUM(D319:D329)</f>
        <v>33</v>
      </c>
      <c r="E330" s="1653">
        <f t="shared" ca="1" si="25"/>
        <v>34362</v>
      </c>
      <c r="F330" s="1653">
        <f t="shared" ca="1" si="25"/>
        <v>824</v>
      </c>
      <c r="G330" s="1653">
        <f t="shared" ca="1" si="25"/>
        <v>0</v>
      </c>
      <c r="H330" s="1653">
        <f t="shared" ca="1" si="25"/>
        <v>0</v>
      </c>
      <c r="I330" s="1653">
        <f t="shared" ca="1" si="25"/>
        <v>0</v>
      </c>
      <c r="J330" s="1653">
        <f t="shared" ca="1" si="25"/>
        <v>0</v>
      </c>
      <c r="K330" s="1653">
        <f ca="1">SUM(K319:K329)</f>
        <v>38115</v>
      </c>
      <c r="L330" s="1653">
        <f>SUM(L319:L329)</f>
        <v>90000</v>
      </c>
      <c r="M330" s="650"/>
      <c r="N330" s="650"/>
    </row>
    <row r="331" spans="1:14" s="659" customFormat="1" ht="12.75" customHeight="1" thickTop="1" x14ac:dyDescent="0.2">
      <c r="A331" s="1814" t="s">
        <v>1850</v>
      </c>
      <c r="B331" s="632" t="s">
        <v>860</v>
      </c>
      <c r="C331" s="1816"/>
      <c r="D331" s="1816"/>
      <c r="E331" s="1816"/>
      <c r="F331" s="1816"/>
      <c r="G331" s="1816"/>
      <c r="H331" s="1816"/>
      <c r="I331" s="1816"/>
      <c r="J331" s="1816"/>
      <c r="K331" s="1816"/>
      <c r="L331" s="1816"/>
      <c r="M331" s="650"/>
      <c r="N331" s="650"/>
    </row>
    <row r="332" spans="1:14" s="659" customFormat="1" ht="12.75" customHeight="1" x14ac:dyDescent="0.2">
      <c r="A332" s="1815" t="s">
        <v>496</v>
      </c>
      <c r="B332" s="1810" t="s">
        <v>1844</v>
      </c>
      <c r="C332" s="1816"/>
      <c r="D332" s="1816"/>
      <c r="E332" s="1816"/>
      <c r="F332" s="1816"/>
      <c r="G332" s="1816"/>
      <c r="H332" s="466">
        <f ca="1">ROUND(SUMIF(INDIRECT(Formulas!$B$1),"80-"&amp;LEFT($B332,4)&amp;"*-"&amp;MID(H$1,2,1)&amp;"*",INDIRECT(Formulas!$B$3)),0)</f>
        <v>0</v>
      </c>
      <c r="I332" s="1816"/>
      <c r="J332" s="1816"/>
      <c r="K332" s="1654">
        <f ca="1">H332</f>
        <v>0</v>
      </c>
      <c r="L332" s="467">
        <v>0</v>
      </c>
      <c r="M332" s="650"/>
      <c r="N332" s="650"/>
    </row>
    <row r="333" spans="1:14" s="659" customFormat="1" ht="12.75" customHeight="1" x14ac:dyDescent="0.2">
      <c r="A333" s="1815" t="s">
        <v>304</v>
      </c>
      <c r="B333" s="1810" t="s">
        <v>1846</v>
      </c>
      <c r="C333" s="1816"/>
      <c r="D333" s="1816"/>
      <c r="E333" s="1816"/>
      <c r="F333" s="1816"/>
      <c r="G333" s="1816"/>
      <c r="H333" s="466">
        <f ca="1">ROUND(SUMIF(INDIRECT(Formulas!$B$1),"80-"&amp;LEFT($B333,4)&amp;"*-"&amp;MID(H$1,2,1)&amp;"*",INDIRECT(Formulas!$B$3)),0)</f>
        <v>0</v>
      </c>
      <c r="I333" s="1816"/>
      <c r="J333" s="1816"/>
      <c r="K333" s="1654">
        <f ca="1">H333</f>
        <v>0</v>
      </c>
      <c r="L333" s="467">
        <v>0</v>
      </c>
      <c r="M333" s="650"/>
      <c r="N333" s="650"/>
    </row>
    <row r="334" spans="1:14" s="659" customFormat="1" ht="12.75" customHeight="1" thickBot="1" x14ac:dyDescent="0.25">
      <c r="A334" s="1815" t="s">
        <v>1851</v>
      </c>
      <c r="B334" s="1810" t="s">
        <v>860</v>
      </c>
      <c r="C334" s="1816"/>
      <c r="D334" s="1816"/>
      <c r="E334" s="1816"/>
      <c r="F334" s="1816"/>
      <c r="G334" s="1816"/>
      <c r="H334" s="1653">
        <f ca="1">SUM(H332:H333)</f>
        <v>0</v>
      </c>
      <c r="I334" s="1816"/>
      <c r="J334" s="1816"/>
      <c r="K334" s="1653">
        <f ca="1">SUM(K332:K333)</f>
        <v>0</v>
      </c>
      <c r="L334" s="1653">
        <f>SUM(L332:L333)</f>
        <v>0</v>
      </c>
      <c r="M334" s="650"/>
      <c r="N334" s="650"/>
    </row>
    <row r="335" spans="1:14" ht="15.75" customHeight="1" thickTop="1" x14ac:dyDescent="0.2">
      <c r="A335" s="1599" t="s">
        <v>899</v>
      </c>
      <c r="B335" s="1590" t="s">
        <v>492</v>
      </c>
      <c r="C335" s="602"/>
      <c r="D335" s="602"/>
      <c r="E335" s="602"/>
      <c r="F335" s="602"/>
      <c r="G335" s="602"/>
      <c r="H335" s="602"/>
      <c r="I335" s="602"/>
      <c r="J335" s="602"/>
      <c r="K335" s="602"/>
      <c r="L335" s="602"/>
    </row>
    <row r="336" spans="1:14" ht="15.75" customHeight="1" x14ac:dyDescent="0.2">
      <c r="A336" s="638" t="s">
        <v>615</v>
      </c>
      <c r="B336" s="608"/>
      <c r="C336" s="602"/>
      <c r="D336" s="602"/>
      <c r="E336" s="602"/>
      <c r="F336" s="602"/>
      <c r="G336" s="602"/>
      <c r="H336" s="609"/>
      <c r="I336" s="602"/>
      <c r="J336" s="602"/>
      <c r="K336" s="609"/>
      <c r="L336" s="609"/>
    </row>
    <row r="337" spans="1:14" x14ac:dyDescent="0.2">
      <c r="A337" s="1501" t="s">
        <v>87</v>
      </c>
      <c r="B337" s="675" t="s">
        <v>900</v>
      </c>
      <c r="C337" s="623"/>
      <c r="D337" s="623"/>
      <c r="E337" s="623"/>
      <c r="F337" s="623"/>
      <c r="G337" s="623"/>
      <c r="H337" s="466">
        <f ca="1">ROUND(SUMIF(INDIRECT(Formulas!$B$1),"80-"&amp;LEFT($B337,4)&amp;"*-"&amp;MID(H$1,2,1)&amp;"*",INDIRECT(Formulas!$B$3)),0)</f>
        <v>0</v>
      </c>
      <c r="I337" s="623"/>
      <c r="J337" s="623"/>
      <c r="K337" s="1654">
        <f ca="1">H337</f>
        <v>0</v>
      </c>
      <c r="L337" s="477">
        <v>0</v>
      </c>
    </row>
    <row r="338" spans="1:14" ht="12.75" customHeight="1" x14ac:dyDescent="0.2">
      <c r="A338" s="1501" t="s">
        <v>1170</v>
      </c>
      <c r="B338" s="675" t="s">
        <v>617</v>
      </c>
      <c r="C338" s="623"/>
      <c r="D338" s="623"/>
      <c r="E338" s="623"/>
      <c r="F338" s="623"/>
      <c r="G338" s="623"/>
      <c r="H338" s="466">
        <f ca="1">ROUND(SUMIF(INDIRECT(Formulas!$B$1),"80-"&amp;LEFT($B338,4)&amp;"*-"&amp;MID(H$1,2,1)&amp;"*",INDIRECT(Formulas!$B$3)),0)</f>
        <v>0</v>
      </c>
      <c r="I338" s="623"/>
      <c r="J338" s="623"/>
      <c r="K338" s="1654">
        <f ca="1">H338</f>
        <v>0</v>
      </c>
      <c r="L338" s="477">
        <v>0</v>
      </c>
    </row>
    <row r="339" spans="1:14" x14ac:dyDescent="0.2">
      <c r="A339" s="1487" t="s">
        <v>901</v>
      </c>
      <c r="B339" s="614">
        <v>5150</v>
      </c>
      <c r="C339" s="623"/>
      <c r="D339" s="623"/>
      <c r="E339" s="623"/>
      <c r="F339" s="623"/>
      <c r="G339" s="623"/>
      <c r="H339" s="466">
        <f ca="1">ROUND(SUMIF(INDIRECT(Formulas!$B$1),"80-"&amp;LEFT($B339,4)&amp;"*-"&amp;MID(H$1,2,1)&amp;"*",INDIRECT(Formulas!$B$3)),0)</f>
        <v>0</v>
      </c>
      <c r="I339" s="623"/>
      <c r="J339" s="623"/>
      <c r="K339" s="1654">
        <f ca="1">H339</f>
        <v>0</v>
      </c>
      <c r="L339" s="467">
        <v>0</v>
      </c>
    </row>
    <row r="340" spans="1:14" ht="13.5" thickBot="1" x14ac:dyDescent="0.25">
      <c r="A340" s="1677" t="s">
        <v>902</v>
      </c>
      <c r="B340" s="1652" t="s">
        <v>492</v>
      </c>
      <c r="C340" s="602"/>
      <c r="D340" s="602"/>
      <c r="E340" s="602"/>
      <c r="F340" s="602"/>
      <c r="G340" s="602"/>
      <c r="H340" s="1671">
        <f ca="1">SUM(H337:H339)</f>
        <v>0</v>
      </c>
      <c r="I340" s="602"/>
      <c r="J340" s="602"/>
      <c r="K340" s="1671">
        <f ca="1">SUM(K337:K339)</f>
        <v>0</v>
      </c>
      <c r="L340" s="1671">
        <f>SUM(L337:L339)</f>
        <v>0</v>
      </c>
    </row>
    <row r="341" spans="1:14" ht="15.75" customHeight="1" thickTop="1" thickBot="1" x14ac:dyDescent="0.25">
      <c r="A341" s="1602" t="s">
        <v>903</v>
      </c>
      <c r="B341" s="1594" t="s">
        <v>861</v>
      </c>
      <c r="C341" s="602"/>
      <c r="D341" s="602"/>
      <c r="E341" s="476"/>
      <c r="F341" s="468"/>
      <c r="G341" s="468"/>
      <c r="H341" s="476"/>
      <c r="I341" s="476"/>
      <c r="J341" s="468"/>
      <c r="K341" s="476"/>
      <c r="L341" s="569"/>
    </row>
    <row r="342" spans="1:14" ht="12.75" customHeight="1" thickTop="1" thickBot="1" x14ac:dyDescent="0.25">
      <c r="A342" s="1669" t="s">
        <v>505</v>
      </c>
      <c r="B342" s="1684"/>
      <c r="C342" s="1653">
        <f ca="1">SUM(C330)</f>
        <v>2896</v>
      </c>
      <c r="D342" s="1653">
        <f ca="1">SUM(D330)</f>
        <v>33</v>
      </c>
      <c r="E342" s="1653">
        <f ca="1">SUM(E330)</f>
        <v>34362</v>
      </c>
      <c r="F342" s="1653">
        <f ca="1">SUM(F330)</f>
        <v>824</v>
      </c>
      <c r="G342" s="1653">
        <f ca="1">SUM(G330)</f>
        <v>0</v>
      </c>
      <c r="H342" s="1653">
        <f ca="1">SUM(H330,H334,H340)</f>
        <v>0</v>
      </c>
      <c r="I342" s="1653">
        <f ca="1">SUM(I330)</f>
        <v>0</v>
      </c>
      <c r="J342" s="1653">
        <f ca="1">SUM(J330)</f>
        <v>0</v>
      </c>
      <c r="K342" s="1653">
        <f ca="1">SUM(K330,K334,K340)</f>
        <v>38115</v>
      </c>
      <c r="L342" s="1660">
        <f>SUM(L330,L340,L341)</f>
        <v>90000</v>
      </c>
    </row>
    <row r="343" spans="1:14" ht="12.75" customHeight="1" thickTop="1" x14ac:dyDescent="0.2">
      <c r="A343" s="2230" t="s">
        <v>996</v>
      </c>
      <c r="B343" s="2231"/>
      <c r="C343" s="602"/>
      <c r="D343" s="602"/>
      <c r="E343" s="602"/>
      <c r="F343" s="602"/>
      <c r="G343" s="602"/>
      <c r="H343" s="602"/>
      <c r="I343" s="602"/>
      <c r="J343" s="602"/>
      <c r="K343" s="1667">
        <f ca="1">'Revenues 9-14'!J268-'Expenditures 15-22'!K342</f>
        <v>51891</v>
      </c>
      <c r="L343" s="602"/>
    </row>
    <row r="344" spans="1:14" s="651" customFormat="1" ht="6" customHeight="1" x14ac:dyDescent="0.2">
      <c r="A344" s="648"/>
      <c r="B344" s="649"/>
      <c r="C344" s="635"/>
      <c r="D344" s="635"/>
      <c r="E344" s="635"/>
      <c r="F344" s="635"/>
      <c r="G344" s="635"/>
      <c r="H344" s="635"/>
      <c r="I344" s="635"/>
      <c r="J344" s="635"/>
      <c r="K344" s="635"/>
      <c r="L344" s="635"/>
      <c r="M344" s="650"/>
      <c r="N344" s="650"/>
    </row>
    <row r="345" spans="1:14" s="653" customFormat="1" ht="16.7" customHeight="1" x14ac:dyDescent="0.2">
      <c r="A345" s="2220" t="s">
        <v>966</v>
      </c>
      <c r="B345" s="2221"/>
      <c r="C345" s="1534"/>
      <c r="D345" s="1535"/>
      <c r="E345" s="1535"/>
      <c r="F345" s="1535"/>
      <c r="G345" s="1535"/>
      <c r="H345" s="1535"/>
      <c r="I345" s="1535"/>
      <c r="J345" s="1535"/>
      <c r="K345" s="1535"/>
      <c r="L345" s="1536"/>
      <c r="M345" s="652"/>
      <c r="N345" s="652"/>
    </row>
    <row r="346" spans="1:14" s="343" customFormat="1" ht="15.75" customHeight="1" x14ac:dyDescent="0.2">
      <c r="A346" s="1606" t="s">
        <v>844</v>
      </c>
      <c r="B346" s="1598" t="s">
        <v>569</v>
      </c>
      <c r="C346" s="602"/>
      <c r="D346" s="602"/>
      <c r="E346" s="602"/>
      <c r="F346" s="602"/>
      <c r="G346" s="602"/>
      <c r="H346" s="602"/>
      <c r="I346" s="602"/>
      <c r="J346" s="602"/>
      <c r="K346" s="602"/>
      <c r="L346" s="602"/>
      <c r="M346" s="595"/>
      <c r="N346" s="595"/>
    </row>
    <row r="347" spans="1:14" ht="15.75" customHeight="1" x14ac:dyDescent="0.2">
      <c r="A347" s="684" t="s">
        <v>612</v>
      </c>
      <c r="B347" s="685"/>
      <c r="C347" s="609"/>
      <c r="D347" s="609"/>
      <c r="E347" s="609"/>
      <c r="F347" s="609"/>
      <c r="G347" s="609"/>
      <c r="H347" s="609"/>
      <c r="I347" s="602"/>
      <c r="J347" s="602"/>
      <c r="K347" s="609"/>
      <c r="L347" s="609"/>
    </row>
    <row r="348" spans="1:14" x14ac:dyDescent="0.2">
      <c r="A348" s="1487" t="s">
        <v>4</v>
      </c>
      <c r="B348" s="600">
        <v>2530</v>
      </c>
      <c r="C348" s="466">
        <f ca="1">ROUND(SUMIF(INDIRECT(Formulas!$B$1),"90-"&amp;LEFT($B348,4)&amp;"*-"&amp;MID(C$1,2,1)&amp;"*",INDIRECT(Formulas!$B$3)),0)</f>
        <v>0</v>
      </c>
      <c r="D348" s="466">
        <f ca="1">ROUND(SUMIF(INDIRECT(Formulas!$B$1),"90-"&amp;LEFT($B348,4)&amp;"*-"&amp;MID(D$1,2,1)&amp;"*",INDIRECT(Formulas!$B$3)),0)</f>
        <v>0</v>
      </c>
      <c r="E348" s="466">
        <f ca="1">ROUND(SUMIF(INDIRECT(Formulas!$B$1),"90-"&amp;LEFT($B348,4)&amp;"*-"&amp;MID(E$1,2,1)&amp;"*",INDIRECT(Formulas!$B$3)),0)</f>
        <v>0</v>
      </c>
      <c r="F348" s="466">
        <f ca="1">ROUND(SUMIF(INDIRECT(Formulas!$B$1),"90-"&amp;LEFT($B348,4)&amp;"*-"&amp;MID(F$1,2,1)&amp;"*",INDIRECT(Formulas!$B$3)),0)</f>
        <v>0</v>
      </c>
      <c r="G348" s="466">
        <f ca="1">ROUND(SUMIF(INDIRECT(Formulas!$B$1),"90-"&amp;LEFT($B348,4)&amp;"*-"&amp;MID(G$1,2,1)&amp;"*",INDIRECT(Formulas!$B$3)),0)</f>
        <v>0</v>
      </c>
      <c r="H348" s="466">
        <f ca="1">ROUND(SUMIF(INDIRECT(Formulas!$B$1),"90-"&amp;LEFT($B348,4)&amp;"*-"&amp;MID(H$1,2,1)&amp;"*",INDIRECT(Formulas!$B$3)),0)</f>
        <v>0</v>
      </c>
      <c r="I348" s="466">
        <f ca="1">ROUND(SUMIF(INDIRECT(Formulas!$B$1),"90-"&amp;LEFT($B348,4)&amp;"*-"&amp;MID(I$1,2,1)&amp;"*",INDIRECT(Formulas!$B$3)),0)</f>
        <v>0</v>
      </c>
      <c r="J348" s="466">
        <f ca="1">ROUND(SUMIF(INDIRECT(Formulas!$B$1),"90-"&amp;LEFT($B348,4)&amp;"*-"&amp;MID(J$1,2,1)&amp;"*",INDIRECT(Formulas!$B$3)),0)</f>
        <v>0</v>
      </c>
      <c r="K348" s="1654">
        <f ca="1">SUM(C348:J348)</f>
        <v>0</v>
      </c>
      <c r="L348" s="466"/>
    </row>
    <row r="349" spans="1:14" x14ac:dyDescent="0.2">
      <c r="A349" s="1487" t="s">
        <v>197</v>
      </c>
      <c r="B349" s="600">
        <v>2540</v>
      </c>
      <c r="C349" s="466">
        <f ca="1">ROUND(SUMIF(INDIRECT(Formulas!$B$1),"90-"&amp;LEFT($B349,4)&amp;"*-"&amp;MID(C$1,2,1)&amp;"*",INDIRECT(Formulas!$B$3)),0)</f>
        <v>0</v>
      </c>
      <c r="D349" s="466">
        <f ca="1">ROUND(SUMIF(INDIRECT(Formulas!$B$1),"90-"&amp;LEFT($B349,4)&amp;"*-"&amp;MID(D$1,2,1)&amp;"*",INDIRECT(Formulas!$B$3)),0)</f>
        <v>0</v>
      </c>
      <c r="E349" s="466">
        <f ca="1">ROUND(SUMIF(INDIRECT(Formulas!$B$1),"90-"&amp;LEFT($B349,4)&amp;"*-"&amp;MID(E$1,2,1)&amp;"*",INDIRECT(Formulas!$B$3)),0)</f>
        <v>0</v>
      </c>
      <c r="F349" s="466">
        <f ca="1">ROUND(SUMIF(INDIRECT(Formulas!$B$1),"90-"&amp;LEFT($B349,4)&amp;"*-"&amp;MID(F$1,2,1)&amp;"*",INDIRECT(Formulas!$B$3)),0)</f>
        <v>0</v>
      </c>
      <c r="G349" s="466">
        <f ca="1">ROUND(SUMIF(INDIRECT(Formulas!$B$1),"90-"&amp;LEFT($B349,4)&amp;"*-"&amp;MID(G$1,2,1)&amp;"*",INDIRECT(Formulas!$B$3)),0)</f>
        <v>0</v>
      </c>
      <c r="H349" s="466">
        <f ca="1">ROUND(SUMIF(INDIRECT(Formulas!$B$1),"90-"&amp;LEFT($B349,4)&amp;"*-"&amp;MID(H$1,2,1)&amp;"*",INDIRECT(Formulas!$B$3)),0)</f>
        <v>0</v>
      </c>
      <c r="I349" s="466">
        <f ca="1">ROUND(SUMIF(INDIRECT(Formulas!$B$1),"90-"&amp;LEFT($B349,4)&amp;"*-"&amp;MID(I$1,2,1)&amp;"*",INDIRECT(Formulas!$B$3)),0)</f>
        <v>0</v>
      </c>
      <c r="J349" s="466">
        <f ca="1">ROUND(SUMIF(INDIRECT(Formulas!$B$1),"90-"&amp;LEFT($B349,4)&amp;"*-"&amp;MID(J$1,2,1)&amp;"*",INDIRECT(Formulas!$B$3)),0)</f>
        <v>0</v>
      </c>
      <c r="K349" s="1654">
        <f ca="1">SUM(C349:J349)</f>
        <v>0</v>
      </c>
      <c r="L349" s="466"/>
    </row>
    <row r="350" spans="1:14" ht="12.75" customHeight="1" thickBot="1" x14ac:dyDescent="0.25">
      <c r="A350" s="1651" t="s">
        <v>719</v>
      </c>
      <c r="B350" s="1652" t="s">
        <v>35</v>
      </c>
      <c r="C350" s="1653">
        <f ca="1">SUM(C348:C349)</f>
        <v>0</v>
      </c>
      <c r="D350" s="1653">
        <f t="shared" ref="D350:L350" ca="1" si="26">SUM(D348:D349)</f>
        <v>0</v>
      </c>
      <c r="E350" s="1653">
        <f t="shared" ca="1" si="26"/>
        <v>0</v>
      </c>
      <c r="F350" s="1653">
        <f t="shared" ca="1" si="26"/>
        <v>0</v>
      </c>
      <c r="G350" s="1653">
        <f t="shared" ca="1" si="26"/>
        <v>0</v>
      </c>
      <c r="H350" s="1653">
        <f t="shared" ca="1" si="26"/>
        <v>0</v>
      </c>
      <c r="I350" s="1653">
        <f t="shared" ca="1" si="26"/>
        <v>0</v>
      </c>
      <c r="J350" s="1653">
        <f t="shared" ca="1" si="26"/>
        <v>0</v>
      </c>
      <c r="K350" s="1653">
        <f t="shared" ca="1" si="26"/>
        <v>0</v>
      </c>
      <c r="L350" s="1653">
        <f t="shared" si="26"/>
        <v>0</v>
      </c>
    </row>
    <row r="351" spans="1:14" ht="12.75" customHeight="1" thickTop="1" x14ac:dyDescent="0.2">
      <c r="A351" s="1493" t="s">
        <v>980</v>
      </c>
      <c r="B351" s="628" t="s">
        <v>574</v>
      </c>
      <c r="C351" s="466">
        <f ca="1">ROUND(SUMIF(INDIRECT(Formulas!$B$1),"90-"&amp;LEFT($B351,4)&amp;"*-"&amp;MID(C$1,2,1)&amp;"*",INDIRECT(Formulas!$B$3)),0)</f>
        <v>0</v>
      </c>
      <c r="D351" s="466">
        <f ca="1">ROUND(SUMIF(INDIRECT(Formulas!$B$1),"90-"&amp;LEFT($B351,4)&amp;"*-"&amp;MID(D$1,2,1)&amp;"*",INDIRECT(Formulas!$B$3)),0)</f>
        <v>0</v>
      </c>
      <c r="E351" s="466">
        <f ca="1">ROUND(SUMIF(INDIRECT(Formulas!$B$1),"90-"&amp;LEFT($B351,4)&amp;"*-"&amp;MID(E$1,2,1)&amp;"*",INDIRECT(Formulas!$B$3)),0)</f>
        <v>0</v>
      </c>
      <c r="F351" s="466">
        <f ca="1">ROUND(SUMIF(INDIRECT(Formulas!$B$1),"90-"&amp;LEFT($B351,4)&amp;"*-"&amp;MID(F$1,2,1)&amp;"*",INDIRECT(Formulas!$B$3)),0)</f>
        <v>0</v>
      </c>
      <c r="G351" s="466">
        <f ca="1">ROUND(SUMIF(INDIRECT(Formulas!$B$1),"90-"&amp;LEFT($B351,4)&amp;"*-"&amp;MID(G$1,2,1)&amp;"*",INDIRECT(Formulas!$B$3)),0)</f>
        <v>0</v>
      </c>
      <c r="H351" s="466">
        <f ca="1">ROUND(SUMIF(INDIRECT(Formulas!$B$1),"90-"&amp;LEFT($B351,4)&amp;"*-"&amp;MID(H$1,2,1)&amp;"*",INDIRECT(Formulas!$B$3)),0)</f>
        <v>0</v>
      </c>
      <c r="I351" s="466">
        <f ca="1">ROUND(SUMIF(INDIRECT(Formulas!$B$1),"90-"&amp;LEFT($B351,4)&amp;"*-"&amp;MID(I$1,2,1)&amp;"*",INDIRECT(Formulas!$B$3)),0)</f>
        <v>0</v>
      </c>
      <c r="J351" s="466">
        <f ca="1">ROUND(SUMIF(INDIRECT(Formulas!$B$1),"90-"&amp;LEFT($B351,4)&amp;"*-"&amp;MID(J$1,2,1)&amp;"*",INDIRECT(Formulas!$B$3)),0)</f>
        <v>0</v>
      </c>
      <c r="K351" s="601">
        <f ca="1">SUM(C351:J351)</f>
        <v>0</v>
      </c>
      <c r="L351" s="480"/>
    </row>
    <row r="352" spans="1:14" ht="12.75" customHeight="1" thickBot="1" x14ac:dyDescent="0.25">
      <c r="A352" s="1651" t="s">
        <v>624</v>
      </c>
      <c r="B352" s="1658" t="s">
        <v>569</v>
      </c>
      <c r="C352" s="1653">
        <f ca="1">SUM(C350:C351)</f>
        <v>0</v>
      </c>
      <c r="D352" s="1653">
        <f t="shared" ref="D352:L352" ca="1" si="27">SUM(D350:D351)</f>
        <v>0</v>
      </c>
      <c r="E352" s="1653">
        <f t="shared" ca="1" si="27"/>
        <v>0</v>
      </c>
      <c r="F352" s="1653">
        <f t="shared" ca="1" si="27"/>
        <v>0</v>
      </c>
      <c r="G352" s="1653">
        <f t="shared" ca="1" si="27"/>
        <v>0</v>
      </c>
      <c r="H352" s="1653">
        <f t="shared" ca="1" si="27"/>
        <v>0</v>
      </c>
      <c r="I352" s="1653">
        <f t="shared" ca="1" si="27"/>
        <v>0</v>
      </c>
      <c r="J352" s="1653">
        <f t="shared" ca="1" si="27"/>
        <v>0</v>
      </c>
      <c r="K352" s="1653">
        <f t="shared" ca="1" si="27"/>
        <v>0</v>
      </c>
      <c r="L352" s="1653">
        <f t="shared" si="27"/>
        <v>0</v>
      </c>
    </row>
    <row r="353" spans="1:14" s="343" customFormat="1" ht="15.75" customHeight="1" thickTop="1" x14ac:dyDescent="0.2">
      <c r="A353" s="1595" t="s">
        <v>625</v>
      </c>
      <c r="B353" s="1592" t="s">
        <v>860</v>
      </c>
      <c r="C353" s="602"/>
      <c r="D353" s="602"/>
      <c r="E353" s="602"/>
      <c r="F353" s="602"/>
      <c r="G353" s="602"/>
      <c r="H353" s="602"/>
      <c r="I353" s="602"/>
      <c r="J353" s="602"/>
      <c r="K353" s="602"/>
      <c r="L353" s="602"/>
      <c r="M353" s="595"/>
      <c r="N353" s="595"/>
    </row>
    <row r="354" spans="1:14" x14ac:dyDescent="0.2">
      <c r="A354" s="1817" t="s">
        <v>1852</v>
      </c>
      <c r="B354" s="668" t="s">
        <v>1844</v>
      </c>
      <c r="C354" s="602"/>
      <c r="D354" s="602"/>
      <c r="E354" s="602"/>
      <c r="F354" s="602"/>
      <c r="G354" s="602"/>
      <c r="H354" s="466">
        <f ca="1">ROUND(SUMIF(INDIRECT(Formulas!$B$1),"90-"&amp;LEFT($B354,4)&amp;"*-"&amp;MID(H$1,2,1)&amp;"*",INDIRECT(Formulas!$B$3)),0)</f>
        <v>0</v>
      </c>
      <c r="I354" s="686"/>
      <c r="J354" s="602"/>
      <c r="K354" s="1682">
        <f ca="1">H354</f>
        <v>0</v>
      </c>
      <c r="L354" s="471"/>
    </row>
    <row r="355" spans="1:14" ht="12.75" customHeight="1" x14ac:dyDescent="0.2">
      <c r="A355" s="1496" t="s">
        <v>1853</v>
      </c>
      <c r="B355" s="675" t="s">
        <v>1846</v>
      </c>
      <c r="C355" s="602"/>
      <c r="D355" s="602"/>
      <c r="E355" s="602"/>
      <c r="F355" s="602"/>
      <c r="G355" s="602"/>
      <c r="H355" s="466">
        <f ca="1">ROUND(SUMIF(INDIRECT(Formulas!$B$1),"90-"&amp;LEFT($B355,4)&amp;"*-"&amp;MID(H$1,2,1)&amp;"*",INDIRECT(Formulas!$B$3)),0)</f>
        <v>0</v>
      </c>
      <c r="I355" s="686"/>
      <c r="J355" s="602"/>
      <c r="K355" s="1726">
        <f ca="1">H355</f>
        <v>0</v>
      </c>
      <c r="L355" s="467"/>
    </row>
    <row r="356" spans="1:14" ht="12.75" customHeight="1" x14ac:dyDescent="0.2">
      <c r="A356" s="1817" t="s">
        <v>698</v>
      </c>
      <c r="B356" s="668" t="s">
        <v>558</v>
      </c>
      <c r="C356" s="602"/>
      <c r="D356" s="602"/>
      <c r="E356" s="602"/>
      <c r="F356" s="602"/>
      <c r="G356" s="602"/>
      <c r="H356" s="466">
        <f ca="1">ROUND(SUMIF(INDIRECT(Formulas!$B$1),"90-"&amp;LEFT($B356,4)&amp;"*-"&amp;MID(H$1,2,1)&amp;"*",INDIRECT(Formulas!$B$3)),0)</f>
        <v>0</v>
      </c>
      <c r="I356" s="686"/>
      <c r="J356" s="602"/>
      <c r="K356" s="1723">
        <f ca="1">H356</f>
        <v>0</v>
      </c>
      <c r="L356" s="478"/>
    </row>
    <row r="357" spans="1:14" ht="12.75" customHeight="1" thickBot="1" x14ac:dyDescent="0.25">
      <c r="A357" s="1651" t="s">
        <v>1487</v>
      </c>
      <c r="B357" s="1652" t="s">
        <v>860</v>
      </c>
      <c r="C357" s="602"/>
      <c r="D357" s="602"/>
      <c r="E357" s="602"/>
      <c r="F357" s="602"/>
      <c r="G357" s="602"/>
      <c r="H357" s="1671">
        <f ca="1">SUM(H354:H356)</f>
        <v>0</v>
      </c>
      <c r="I357" s="686"/>
      <c r="J357" s="602"/>
      <c r="K357" s="1671">
        <f ca="1">SUM(K354:K356)</f>
        <v>0</v>
      </c>
      <c r="L357" s="1671">
        <f>SUM(L354:L356)</f>
        <v>0</v>
      </c>
    </row>
    <row r="358" spans="1:14" s="343" customFormat="1" ht="15.75" customHeight="1" thickTop="1" x14ac:dyDescent="0.2">
      <c r="A358" s="1595" t="s">
        <v>948</v>
      </c>
      <c r="B358" s="1592" t="s">
        <v>492</v>
      </c>
      <c r="C358" s="602"/>
      <c r="D358" s="602"/>
      <c r="E358" s="602"/>
      <c r="F358" s="602"/>
      <c r="G358" s="602"/>
      <c r="H358" s="602"/>
      <c r="I358" s="602"/>
      <c r="J358" s="602"/>
      <c r="K358" s="602"/>
      <c r="L358" s="602"/>
      <c r="M358" s="595"/>
      <c r="N358" s="595"/>
    </row>
    <row r="359" spans="1:14" s="343" customFormat="1" ht="15.75" customHeight="1" x14ac:dyDescent="0.2">
      <c r="A359" s="638" t="s">
        <v>627</v>
      </c>
      <c r="B359" s="608"/>
      <c r="C359" s="602"/>
      <c r="D359" s="602"/>
      <c r="E359" s="602"/>
      <c r="F359" s="602"/>
      <c r="G359" s="602"/>
      <c r="H359" s="602"/>
      <c r="I359" s="602"/>
      <c r="J359" s="602"/>
      <c r="K359" s="609"/>
      <c r="L359" s="609"/>
      <c r="M359" s="595"/>
      <c r="N359" s="595"/>
    </row>
    <row r="360" spans="1:14" x14ac:dyDescent="0.2">
      <c r="A360" s="1487" t="s">
        <v>87</v>
      </c>
      <c r="B360" s="600">
        <v>5110</v>
      </c>
      <c r="C360" s="602"/>
      <c r="D360" s="602"/>
      <c r="E360" s="602"/>
      <c r="F360" s="602"/>
      <c r="G360" s="602"/>
      <c r="H360" s="466">
        <f ca="1">ROUND(SUMIF(INDIRECT(Formulas!$B$1),"90-"&amp;LEFT($B360,4)&amp;"*-"&amp;MID(H$1,2,1)&amp;"*",INDIRECT(Formulas!$B$3)),0)</f>
        <v>0</v>
      </c>
      <c r="I360" s="602"/>
      <c r="J360" s="602"/>
      <c r="K360" s="1654">
        <f ca="1">SUM(C360:J360)</f>
        <v>0</v>
      </c>
      <c r="L360" s="466"/>
    </row>
    <row r="361" spans="1:14" ht="12.75" customHeight="1" x14ac:dyDescent="0.2">
      <c r="A361" s="1488" t="s">
        <v>619</v>
      </c>
      <c r="B361" s="588" t="s">
        <v>618</v>
      </c>
      <c r="C361" s="602"/>
      <c r="D361" s="602"/>
      <c r="E361" s="602"/>
      <c r="F361" s="602"/>
      <c r="G361" s="602"/>
      <c r="H361" s="466">
        <f ca="1">ROUND(SUMIF(INDIRECT(Formulas!$B$1),"90-"&amp;LEFT($B361,4)&amp;"*-"&amp;MID(H$1,2,1)&amp;"*",INDIRECT(Formulas!$B$3)),0)</f>
        <v>0</v>
      </c>
      <c r="I361" s="602"/>
      <c r="J361" s="602"/>
      <c r="K361" s="1654">
        <f ca="1">SUM(C361:J361)</f>
        <v>0</v>
      </c>
      <c r="L361" s="466"/>
    </row>
    <row r="362" spans="1:14" ht="12.75" customHeight="1" thickBot="1" x14ac:dyDescent="0.25">
      <c r="A362" s="1651" t="s">
        <v>626</v>
      </c>
      <c r="B362" s="1652" t="s">
        <v>718</v>
      </c>
      <c r="C362" s="602"/>
      <c r="D362" s="602"/>
      <c r="E362" s="602"/>
      <c r="F362" s="602"/>
      <c r="G362" s="602"/>
      <c r="H362" s="1686">
        <f ca="1">SUM(H360:H361)</f>
        <v>0</v>
      </c>
      <c r="I362" s="602"/>
      <c r="J362" s="602"/>
      <c r="K362" s="1686">
        <f ca="1">SUM(K360:K361)</f>
        <v>0</v>
      </c>
      <c r="L362" s="1686">
        <f>SUM(L360:L361)</f>
        <v>0</v>
      </c>
    </row>
    <row r="363" spans="1:14" s="659" customFormat="1" ht="15.75" customHeight="1" thickTop="1" x14ac:dyDescent="0.2">
      <c r="A363" s="645" t="s">
        <v>83</v>
      </c>
      <c r="B363" s="646" t="s">
        <v>38</v>
      </c>
      <c r="C363" s="623"/>
      <c r="D363" s="623"/>
      <c r="E363" s="623"/>
      <c r="F363" s="623"/>
      <c r="G363" s="623"/>
      <c r="H363" s="466">
        <f ca="1">ROUND(SUMIF(INDIRECT(Formulas!$B$1),"90-"&amp;LEFT($B363,4)&amp;"*-"&amp;MID(H$1,2,1)&amp;"*",INDIRECT(Formulas!$B$3)),0)</f>
        <v>0</v>
      </c>
      <c r="I363" s="623"/>
      <c r="J363" s="623"/>
      <c r="K363" s="1682">
        <f ca="1">SUM(C363:J363)</f>
        <v>0</v>
      </c>
      <c r="L363" s="478"/>
      <c r="M363" s="650"/>
      <c r="N363" s="650"/>
    </row>
    <row r="364" spans="1:14" s="692" customFormat="1" ht="29.25" customHeight="1" x14ac:dyDescent="0.2">
      <c r="A364" s="687" t="s">
        <v>1672</v>
      </c>
      <c r="B364" s="688">
        <v>5300</v>
      </c>
      <c r="C364" s="689"/>
      <c r="D364" s="690"/>
      <c r="E364" s="690"/>
      <c r="F364" s="689"/>
      <c r="G364" s="690"/>
      <c r="H364" s="466">
        <f ca="1">ROUND(SUMIF(INDIRECT(Formulas!$B$1),"90-"&amp;LEFT($B364,4)&amp;"*-"&amp;MID(H$1,2,1)&amp;"*",INDIRECT(Formulas!$B$3)),0)</f>
        <v>0</v>
      </c>
      <c r="I364" s="690"/>
      <c r="J364" s="690"/>
      <c r="K364" s="1654">
        <f ca="1">SUM(C364:J364)</f>
        <v>0</v>
      </c>
      <c r="L364" s="691"/>
    </row>
    <row r="365" spans="1:14" s="659" customFormat="1" ht="12.75" customHeight="1" thickBot="1" x14ac:dyDescent="0.25">
      <c r="A365" s="1504" t="s">
        <v>590</v>
      </c>
      <c r="B365" s="644" t="s">
        <v>492</v>
      </c>
      <c r="C365" s="623"/>
      <c r="D365" s="623"/>
      <c r="E365" s="623"/>
      <c r="F365" s="623"/>
      <c r="G365" s="623"/>
      <c r="H365" s="1686">
        <f ca="1">SUM(H362,H363,H364)</f>
        <v>0</v>
      </c>
      <c r="I365" s="623"/>
      <c r="J365" s="623"/>
      <c r="K365" s="1686">
        <f ca="1">SUM(K362,K363,K364)</f>
        <v>0</v>
      </c>
      <c r="L365" s="1686">
        <f>SUM(L362,L363,L364)</f>
        <v>0</v>
      </c>
      <c r="M365" s="650"/>
      <c r="N365" s="650"/>
    </row>
    <row r="366" spans="1:14" s="343" customFormat="1" ht="15.75" customHeight="1" thickTop="1" thickBot="1" x14ac:dyDescent="0.25">
      <c r="A366" s="1589" t="s">
        <v>949</v>
      </c>
      <c r="B366" s="1596" t="s">
        <v>861</v>
      </c>
      <c r="C366" s="609"/>
      <c r="D366" s="609"/>
      <c r="E366" s="609"/>
      <c r="F366" s="609"/>
      <c r="G366" s="609"/>
      <c r="H366" s="609"/>
      <c r="I366" s="609"/>
      <c r="J366" s="602"/>
      <c r="K366" s="609"/>
      <c r="L366" s="567"/>
      <c r="M366" s="595"/>
      <c r="N366" s="595"/>
    </row>
    <row r="367" spans="1:14" ht="12.75" customHeight="1" thickTop="1" thickBot="1" x14ac:dyDescent="0.25">
      <c r="A367" s="1675" t="s">
        <v>505</v>
      </c>
      <c r="B367" s="1687"/>
      <c r="C367" s="1653">
        <f t="shared" ref="C367:L367" ca="1" si="28">SUM(C352,C357,C365,C366)</f>
        <v>0</v>
      </c>
      <c r="D367" s="1653">
        <f t="shared" ca="1" si="28"/>
        <v>0</v>
      </c>
      <c r="E367" s="1653">
        <f t="shared" ca="1" si="28"/>
        <v>0</v>
      </c>
      <c r="F367" s="1653">
        <f t="shared" ca="1" si="28"/>
        <v>0</v>
      </c>
      <c r="G367" s="1653">
        <f t="shared" ca="1" si="28"/>
        <v>0</v>
      </c>
      <c r="H367" s="1653">
        <f t="shared" ca="1" si="28"/>
        <v>0</v>
      </c>
      <c r="I367" s="1653">
        <f t="shared" ca="1" si="28"/>
        <v>0</v>
      </c>
      <c r="J367" s="1653">
        <f t="shared" ca="1" si="28"/>
        <v>0</v>
      </c>
      <c r="K367" s="1653">
        <f t="shared" ca="1" si="28"/>
        <v>0</v>
      </c>
      <c r="L367" s="1653">
        <f t="shared" si="28"/>
        <v>0</v>
      </c>
    </row>
    <row r="368" spans="1:14" ht="13.5" thickTop="1" x14ac:dyDescent="0.2">
      <c r="A368" s="2217" t="s">
        <v>996</v>
      </c>
      <c r="B368" s="2218"/>
      <c r="C368" s="639"/>
      <c r="D368" s="639"/>
      <c r="E368" s="612"/>
      <c r="F368" s="612"/>
      <c r="G368" s="612"/>
      <c r="H368" s="612"/>
      <c r="I368" s="612"/>
      <c r="J368" s="609"/>
      <c r="K368" s="1654">
        <f ca="1">'Revenues 9-14'!K268-'Expenditures 15-22'!K367</f>
        <v>0</v>
      </c>
      <c r="L368" s="639"/>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20"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&amp;CSee Notes to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6ce3111e-7420-4802-b50a-75d4e9a0b980"/>
    <ds:schemaRef ds:uri="http://schemas.openxmlformats.org/package/2006/metadata/core-properties"/>
    <ds:schemaRef ds:uri="4d435f69-8686-490b-bd6d-b153bf22ab50"/>
    <ds:schemaRef ds:uri="d21dc803-237d-4c68-8692-8d731fd29118"/>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16</vt:i4>
      </vt:variant>
    </vt:vector>
  </HeadingPairs>
  <TitlesOfParts>
    <vt:vector size="74"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AFR19</vt:lpstr>
      <vt:lpstr>CAP</vt:lpstr>
      <vt:lpstr>CAP (2)</vt:lpstr>
      <vt:lpstr>CAP (3)</vt:lpstr>
      <vt:lpstr>CAP (4)</vt:lpstr>
      <vt:lpstr>CAP (5)</vt:lpstr>
      <vt:lpstr>CAP (6)</vt:lpstr>
      <vt:lpstr>CAP (7)</vt:lpstr>
      <vt:lpstr>CAP (8)</vt:lpstr>
      <vt:lpstr>CAP (9)</vt:lpstr>
      <vt:lpstr>CAP (10)</vt:lpstr>
      <vt:lpstr>CAP (11)</vt:lpstr>
      <vt:lpstr>CAP (12)</vt:lpstr>
      <vt:lpstr>AUDITCHECK</vt:lpstr>
      <vt:lpstr>Single Audit Cover</vt:lpstr>
      <vt:lpstr>Single Audit Checklist</vt:lpstr>
      <vt:lpstr>SEFA Reconcile</vt:lpstr>
      <vt:lpstr> SEFA</vt:lpstr>
      <vt:lpstr>SEFA NOTES</vt:lpstr>
      <vt:lpstr>SF&amp;QC Sec-1</vt:lpstr>
      <vt:lpstr>SF&amp;QC Sec-2</vt:lpstr>
      <vt:lpstr>SF&amp;QC Sec-2 (2)</vt:lpstr>
      <vt:lpstr>SF&amp;QC Sec-2 (3)</vt:lpstr>
      <vt:lpstr>SF&amp;QC Sec-2 (4)</vt:lpstr>
      <vt:lpstr>SF&amp;QC Sec-2 (5)</vt:lpstr>
      <vt:lpstr>SF&amp;QC Sec-2 (6)</vt:lpstr>
      <vt:lpstr>SF&amp;QC Sec-2 (7)</vt:lpstr>
      <vt:lpstr>SF&amp;QC Sec-2 (8)</vt:lpstr>
      <vt:lpstr>SF&amp;QC Sec-2 (9)</vt:lpstr>
      <vt:lpstr>SF&amp;QC Sec-2 (10)</vt:lpstr>
      <vt:lpstr>SF&amp;QC Sec-2 (11)</vt:lpstr>
      <vt:lpstr>SF&amp;QC Sec-2 (12)</vt:lpstr>
      <vt:lpstr>SF&amp;QC Sec-3</vt:lpstr>
      <vt:lpstr>SSPAF</vt:lpstr>
      <vt:lpstr>Data</vt:lpstr>
      <vt:lpstr>Formulas</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2020-01-30T14:54:29Z</cp:lastPrinted>
  <dcterms:created xsi:type="dcterms:W3CDTF">2003-10-29T19:06:34Z</dcterms:created>
  <dcterms:modified xsi:type="dcterms:W3CDTF">2020-01-30T19:58:23Z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