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New Emails\09112019\"/>
    </mc:Choice>
  </mc:AlternateContent>
  <xr:revisionPtr revIDLastSave="0" documentId="8_{65C0DFFF-D0D2-4E64-B230-C7E9848DF01A}" xr6:coauthVersionLast="36" xr6:coauthVersionMax="36" xr10:uidLastSave="{00000000-0000-0000-0000-000000000000}"/>
  <bookViews>
    <workbookView xWindow="-120" yWindow="-120" windowWidth="19440" windowHeight="151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5" i="5" l="1"/>
  <c r="J85" i="28"/>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B7758" i="106"/>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E27" i="108"/>
  <c r="G27" i="108"/>
  <c r="F28" i="108"/>
  <c r="F31" i="108"/>
  <c r="F36" i="108"/>
  <c r="G28" i="108"/>
  <c r="G29" i="108"/>
  <c r="D31"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G14" i="4" l="1"/>
  <c r="B2609" i="106" s="1"/>
  <c r="D2609" i="106" s="1"/>
  <c r="F64" i="34"/>
  <c r="F52" i="34"/>
  <c r="E33" i="108"/>
  <c r="D54" i="36"/>
  <c r="B7047" i="106"/>
  <c r="D7047" i="106" s="1"/>
  <c r="B6995" i="106"/>
  <c r="D6995" i="106" s="1"/>
  <c r="B3647" i="106"/>
  <c r="D3647" i="106" s="1"/>
  <c r="H28" i="118"/>
  <c r="E35" i="108"/>
  <c r="B7076" i="106"/>
  <c r="D7076" i="106" s="1"/>
  <c r="B6289" i="106"/>
  <c r="D6289" i="106" s="1"/>
  <c r="G35" i="108"/>
  <c r="I129" i="29"/>
  <c r="B7037" i="106" s="1"/>
  <c r="D7037" i="106" s="1"/>
  <c r="F77" i="4"/>
  <c r="B3255" i="106" s="1"/>
  <c r="D3255" i="106" s="1"/>
  <c r="C342" i="29"/>
  <c r="B7216" i="106" s="1"/>
  <c r="D7216" i="106" s="1"/>
  <c r="C352" i="29"/>
  <c r="J210" i="29"/>
  <c r="B7072" i="106" s="1"/>
  <c r="D7072" i="106" s="1"/>
  <c r="F42" i="34"/>
  <c r="F19" i="7"/>
  <c r="B1807" i="106" s="1"/>
  <c r="D1807" i="106" s="1"/>
  <c r="E38" i="108"/>
  <c r="F34" i="34"/>
  <c r="J41" i="3"/>
  <c r="D51" i="36" s="1"/>
  <c r="H76" i="4"/>
  <c r="B3298" i="106" s="1"/>
  <c r="D3298" i="106" s="1"/>
  <c r="K76" i="4"/>
  <c r="B3586" i="106" s="1"/>
  <c r="D3586" i="106" s="1"/>
  <c r="E34" i="108"/>
  <c r="F38" i="34"/>
  <c r="H112" i="29"/>
  <c r="B7018" i="106" s="1"/>
  <c r="D7018" i="106" s="1"/>
  <c r="F36" i="34"/>
  <c r="H342" i="29"/>
  <c r="B7221" i="106" s="1"/>
  <c r="D7221" i="106" s="1"/>
  <c r="F37" i="34"/>
  <c r="D24" i="37"/>
  <c r="B4270" i="106" s="1"/>
  <c r="D4270" i="106" s="1"/>
  <c r="J22" i="37"/>
  <c r="L13" i="11"/>
  <c r="B2060" i="106" s="1"/>
  <c r="D2060" i="106" s="1"/>
  <c r="D68" i="36"/>
  <c r="F67" i="34"/>
  <c r="G30" i="108"/>
  <c r="F27" i="108"/>
  <c r="F50" i="34"/>
  <c r="I210" i="29"/>
  <c r="B7071" i="106" s="1"/>
  <c r="D7071" i="106" s="1"/>
  <c r="J77" i="4"/>
  <c r="B6262" i="106" s="1"/>
  <c r="D6262" i="106" s="1"/>
  <c r="K184" i="29"/>
  <c r="F13" i="4" s="1"/>
  <c r="B2596" i="106" s="1"/>
  <c r="D2596" i="106" s="1"/>
  <c r="G210" i="29"/>
  <c r="C129" i="29"/>
  <c r="B1225" i="106" s="1"/>
  <c r="D1225"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I151" i="29" l="1"/>
  <c r="F59" i="34" s="1"/>
  <c r="K77" i="4"/>
  <c r="B3587" i="106" s="1"/>
  <c r="D3587" i="106" s="1"/>
  <c r="B6216" i="106"/>
  <c r="D6216" i="106" s="1"/>
  <c r="D44" i="36"/>
  <c r="H77" i="4"/>
  <c r="B3299" i="106" s="1"/>
  <c r="D3299" i="106" s="1"/>
  <c r="F66" i="34"/>
  <c r="L114" i="29"/>
  <c r="N23" i="3"/>
  <c r="B284" i="106" s="1"/>
  <c r="D284" i="106" s="1"/>
  <c r="K365" i="29"/>
  <c r="B5527" i="106"/>
  <c r="D5527" i="106" s="1"/>
  <c r="B1328" i="106"/>
  <c r="D1328" i="106" s="1"/>
  <c r="D41" i="108"/>
  <c r="E43" i="108" s="1"/>
  <c r="B1381" i="106"/>
  <c r="D1381" i="106" s="1"/>
  <c r="D7251" i="106"/>
  <c r="B7235" i="106"/>
  <c r="D7235" i="106" s="1"/>
  <c r="J16" i="4"/>
  <c r="B6226" i="106" s="1"/>
  <c r="D6226" i="106" s="1"/>
  <c r="D7254" i="106"/>
  <c r="F41" i="108"/>
  <c r="G43" i="108" s="1"/>
  <c r="D7256" i="106"/>
  <c r="D7250" i="106"/>
  <c r="L16" i="11"/>
  <c r="B2061" i="106" s="1"/>
  <c r="D2061" i="106" s="1"/>
  <c r="B2031" i="106"/>
  <c r="D2031" i="106" s="1"/>
  <c r="C151" i="29"/>
  <c r="B1226" i="106" s="1"/>
  <c r="D1226" i="106" s="1"/>
  <c r="C114" i="29"/>
  <c r="B757" i="106" s="1"/>
  <c r="D75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8" i="4"/>
  <c r="F10" i="4" s="1"/>
  <c r="B4125" i="106" s="1"/>
  <c r="D4125" i="106" s="1"/>
  <c r="J20" i="4"/>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C11" i="14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B1644" i="106"/>
  <c r="D1644" i="106" s="1"/>
  <c r="D82" i="4"/>
  <c r="D83" i="4" s="1"/>
  <c r="B6277" i="106" s="1"/>
  <c r="D6277"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O11" i="118" l="1"/>
  <c r="O13" i="118" s="1"/>
  <c r="J20" i="118"/>
  <c r="B6268" i="106"/>
  <c r="D6268"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<sst xmlns="http://schemas.openxmlformats.org/spreadsheetml/2006/main" count="5084" uniqueCount="2103">
  <si>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</si>
  <si>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</si>
  <si>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</si>
  <si>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</si>
  <si>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</si>
  <si>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</si>
  <si>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</si>
  <si>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</si>
  <si>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</si>
  <si>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</si>
  <si>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</si>
  <si>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</si>
  <si>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</si>
  <si>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</si>
  <si>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</si>
  <si>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</si>
  <si>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</si>
  <si>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</si>
  <si>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</si>
  <si>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</si>
  <si>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</si>
  <si>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</si>
  <si>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</si>
  <si>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</si>
  <si>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</si>
  <si>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</si>
  <si>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</si>
  <si>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</si>
  <si>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</si>
  <si>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</si>
  <si>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</si>
  <si>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</si>
  <si>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</si>
  <si>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</si>
  <si>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</si>
  <si>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</si>
  <si>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</si>
  <si>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</si>
  <si>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</si>
  <si>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</si>
  <si>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</si>
  <si>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</si>
  <si>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</si>
  <si>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</si>
  <si>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</si>
  <si>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</si>
  <si>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</si>
  <si>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</si>
  <si>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</si>
  <si>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</si>
  <si>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</si>
  <si>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</si>
  <si>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</si>
  <si>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</si>
  <si>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</si>
  <si>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</si>
  <si>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</si>
  <si>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</si>
  <si>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</si>
  <si>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</si>
  <si>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</si>
  <si>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</si>
  <si>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</si>
  <si>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</si>
  <si>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</si>
  <si>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</si>
  <si>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</si>
  <si>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</si>
  <si>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</si>
  <si>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</si>
  <si>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</si>
  <si>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</si>
  <si>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</si>
  <si>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</si>
  <si>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</si>
  <si>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</si>
  <si>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</si>
  <si>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</si>
  <si>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</si>
  <si>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</si>
  <si>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</si>
  <si>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</si>
  <si>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</si>
  <si>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</si>
  <si>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</si>
  <si>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</si>
  <si>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</si>
  <si>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</si>
  <si>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</si>
  <si>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</si>
  <si>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</si>
  <si>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</si>
  <si>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</si>
  <si>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</si>
  <si>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</si>
  <si>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</si>
  <si>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</si>
  <si>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</si>
  <si>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</si>
  <si>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</si>
  <si>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</si>
  <si>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</si>
  <si>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</si>
  <si>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</si>
  <si>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</si>
  <si>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</si>
  <si>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</si>
  <si>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</si>
  <si>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</si>
  <si>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</si>
  <si>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</si>
  <si>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</si>
  <si>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</si>
  <si>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</si>
  <si>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</si>
  <si>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</si>
  <si>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</si>
  <si>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</si>
  <si>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</si>
  <si>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</si>
  <si>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</si>
  <si>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</si>
  <si>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</si>
  <si>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</si>
  <si>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</si>
  <si>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</si>
  <si>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</si>
  <si>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</si>
  <si>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</si>
  <si>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</si>
  <si>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</si>
  <si>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</si>
  <si>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</si>
  <si>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</si>
  <si>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</si>
  <si>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</si>
  <si>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</si>
  <si>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</si>
  <si>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</si>
  <si>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</si>
  <si>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</si>
  <si>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</si>
  <si>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</si>
  <si>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</si>
  <si>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</si>
  <si>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</si>
  <si>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</si>
  <si>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</si>
  <si>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</si>
  <si>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</si>
  <si>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</si>
  <si>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</si>
  <si>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</si>
  <si>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</si>
  <si>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</si>
  <si>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</si>
  <si>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</si>
  <si>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</si>
  <si>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</si>
  <si>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</si>
  <si>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</si>
  <si>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</si>
  <si>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</si>
  <si>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</si>
  <si>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</si>
  <si>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</si>
  <si>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</si>
  <si>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</si>
  <si>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</si>
  <si>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</si>
  <si>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</si>
  <si>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</si>
  <si>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</si>
  <si>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</si>
  <si>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</si>
  <si>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</si>
  <si>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</si>
  <si>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</si>
  <si>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</si>
  <si>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</si>
  <si>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</si>
  <si>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</si>
  <si>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</si>
  <si>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</si>
  <si>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</si>
  <si>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</si>
  <si>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</si>
  <si>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</si>
  <si>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</si>
  <si>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</si>
  <si>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</si>
  <si>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</si>
  <si>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</si>
  <si>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</si>
  <si>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</si>
  <si>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</si>
  <si>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</si>
  <si>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</si>
  <si>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</si>
  <si>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</si>
  <si>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</si>
  <si>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</si>
  <si>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</si>
  <si>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</si>
  <si>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</si>
  <si>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</si>
  <si>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</si>
  <si>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</si>
  <si>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</si>
  <si>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</si>
  <si>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</si>
  <si>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</si>
  <si>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</si>
  <si>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</si>
  <si>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</si>
  <si>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</si>
  <si>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</si>
  <si>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</si>
  <si>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</si>
  <si>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</si>
  <si>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</si>
  <si>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</si>
  <si>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</si>
  <si>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</si>
  <si>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</si>
  <si>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</si>
  <si>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</si>
  <si>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</si>
  <si>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</si>
  <si>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</si>
  <si>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</si>
  <si>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</si>
  <si>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</si>
  <si>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</si>
  <si>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</si>
  <si>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</si>
  <si>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</si>
  <si>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</si>
  <si>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</si>
  <si>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</si>
  <si>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</si>
  <si>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</si>
  <si>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</si>
  <si>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</si>
  <si>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</si>
  <si>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</si>
  <si>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</si>
  <si>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</si>
  <si>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</si>
  <si>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</si>
  <si>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</si>
  <si>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</si>
  <si>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</si>
  <si>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</si>
  <si>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</si>
  <si>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</si>
  <si>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</si>
  <si>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</si>
  <si>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</si>
  <si>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</si>
  <si>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</si>
  <si>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</si>
  <si>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</si>
  <si>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</si>
  <si>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</si>
  <si>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</si>
  <si>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</si>
  <si>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</si>
  <si>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</si>
  <si>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</si>
  <si>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</si>
  <si>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</si>
  <si>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</si>
  <si>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</si>
  <si>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</si>
  <si>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</si>
  <si>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</si>
  <si>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</si>
  <si>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</si>
  <si>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</si>
  <si>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</si>
  <si>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</si>
  <si>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</si>
  <si>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</si>
  <si>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</si>
  <si>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</si>
  <si>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</si>
  <si>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</si>
  <si>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</si>
  <si>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</si>
  <si>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</si>
  <si>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</si>
  <si>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</si>
  <si>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</si>
  <si>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</si>
  <si>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</si>
  <si>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</si>
  <si>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</si>
  <si>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</si>
  <si>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</si>
  <si>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</si>
  <si>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</si>
  <si>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</si>
  <si>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</si>
  <si>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</si>
  <si>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</si>
  <si>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</si>
  <si>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</si>
  <si>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</si>
  <si>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</si>
  <si>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</si>
  <si>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</si>
  <si>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</si>
  <si>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</si>
  <si>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</si>
  <si>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</si>
  <si>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</si>
  <si>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</si>
  <si>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</si>
  <si>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</si>
  <si>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</si>
  <si>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</si>
  <si>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</si>
  <si>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</si>
  <si>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</si>
  <si>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</si>
  <si>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</si>
  <si>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</si>
  <si>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</si>
  <si>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</si>
  <si>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</si>
  <si>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</si>
  <si>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</si>
  <si>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</si>
  <si>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</si>
  <si>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</si>
  <si>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</si>
  <si>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</si>
  <si>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</si>
  <si>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</si>
  <si>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</si>
  <si>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</si>
  <si>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</si>
  <si>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</si>
  <si>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</si>
  <si>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</si>
  <si>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</si>
  <si>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</si>
  <si>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</si>
  <si>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</si>
  <si>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</si>
  <si>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</si>
  <si>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</si>
  <si>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</si>
  <si>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</si>
  <si>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</si>
  <si>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</si>
  <si>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</si>
  <si>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</si>
  <si>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</si>
  <si>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</si>
  <si>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</si>
  <si>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</si>
  <si>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</si>
  <si>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</si>
  <si>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</si>
  <si>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</si>
  <si>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</si>
  <si>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</si>
  <si>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</si>
  <si>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</si>
  <si>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</si>
  <si>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</si>
  <si>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</si>
  <si>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</si>
  <si>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</si>
  <si>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</si>
  <si>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</si>
  <si>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</si>
  <si>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</si>
  <si>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</si>
  <si>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</si>
  <si>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</si>
  <si>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</si>
  <si>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</si>
  <si>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</si>
  <si>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</si>
  <si>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</si>
  <si>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</si>
  <si>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</si>
  <si>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</si>
  <si>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</si>
  <si>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</si>
  <si>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</si>
  <si>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</si>
  <si>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</si>
  <si>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</si>
  <si>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</si>
  <si>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</si>
  <si>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</si>
  <si>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</si>
  <si>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</si>
  <si>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</si>
  <si>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</si>
  <si>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</si>
  <si>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</si>
  <si>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</si>
  <si>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</si>
  <si>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</si>
  <si>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</si>
  <si>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</si>
  <si>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</si>
  <si>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</si>
  <si>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</si>
  <si>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</si>
  <si>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</si>
  <si>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</si>
  <si>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</si>
  <si>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</si>
  <si>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</si>
  <si>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</si>
  <si>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</si>
  <si>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</si>
  <si>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</si>
  <si>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</si>
  <si>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</si>
  <si>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</si>
  <si>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</si>
  <si>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</si>
  <si>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</si>
  <si>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</si>
  <si>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</si>
  <si>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</si>
  <si>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</si>
  <si>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</si>
  <si>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</si>
  <si>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</si>
  <si>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</si>
  <si>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</si>
  <si>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</si>
  <si>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</si>
  <si>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</si>
  <si>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</si>
  <si>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</si>
  <si>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</si>
  <si>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</si>
  <si>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</si>
  <si>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</si>
  <si>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</si>
  <si>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</si>
  <si>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</si>
  <si>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</si>
  <si>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</si>
  <si>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</si>
  <si>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</si>
  <si>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</si>
  <si>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</si>
  <si>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</si>
  <si>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</si>
  <si>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</si>
  <si>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</si>
  <si>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</si>
  <si>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</si>
  <si>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</si>
  <si>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</si>
  <si>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</si>
  <si>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</si>
  <si>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</si>
  <si>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</si>
  <si>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</si>
  <si>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</si>
  <si>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</si>
  <si>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</si>
  <si>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</si>
  <si>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</si>
  <si>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</si>
  <si>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</si>
  <si>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</si>
  <si>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</si>
  <si>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</si>
  <si>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</si>
  <si>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</si>
  <si>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</si>
  <si>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</si>
  <si>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</si>
  <si>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</si>
  <si>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</si>
  <si>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</si>
  <si>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</si>
  <si>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</si>
  <si>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</si>
  <si>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</si>
  <si>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</si>
  <si>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</si>
  <si>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</si>
  <si>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</si>
  <si>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</si>
  <si>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</si>
  <si>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</si>
  <si>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</si>
  <si>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</si>
  <si>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</si>
  <si>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</si>
  <si>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</si>
  <si>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</si>
  <si>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</si>
  <si>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</si>
  <si>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</si>
  <si>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</si>
  <si>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</si>
  <si>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</si>
  <si>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</si>
  <si>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</si>
  <si>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</si>
  <si>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</si>
  <si>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</si>
  <si>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</si>
  <si>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</si>
  <si>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</si>
  <si>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</si>
  <si>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</si>
  <si>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</si>
  <si>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</si>
  <si>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</si>
  <si>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</si>
  <si>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</si>
  <si>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</si>
  <si>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</si>
  <si>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</si>
  <si>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</si>
  <si>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</si>
  <si>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</si>
  <si>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</si>
  <si>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</si>
  <si>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</si>
  <si>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</si>
  <si>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</si>
  <si>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</si>
  <si>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</si>
  <si>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</si>
  <si>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</si>
  <si>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</si>
  <si>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</si>
  <si>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</si>
  <si>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</si>
  <si>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</si>
  <si>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</si>
  <si>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</si>
  <si>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</si>
  <si>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</si>
  <si>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</si>
  <si>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</si>
  <si>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</si>
  <si>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</si>
  <si>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</si>
  <si>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</si>
  <si>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</si>
  <si>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</si>
  <si>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</si>
  <si>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</si>
  <si>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</si>
  <si>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</si>
  <si>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</si>
  <si>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</si>
  <si>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</si>
  <si>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</si>
  <si>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</si>
  <si>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</si>
  <si>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</si>
  <si>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</si>
  <si>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</si>
  <si>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</si>
  <si>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</si>
  <si>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</si>
  <si>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</si>
  <si>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</si>
  <si>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</si>
  <si>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</si>
  <si>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</si>
  <si>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</si>
  <si>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</si>
  <si>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</si>
  <si>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</si>
  <si>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</si>
  <si>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</si>
  <si>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</si>
  <si>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</si>
  <si>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</si>
  <si>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</si>
  <si>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</si>
  <si>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</si>
  <si>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</si>
  <si>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</si>
  <si>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</si>
  <si>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</si>
  <si>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</si>
  <si>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</si>
  <si>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</si>
  <si>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</si>
  <si>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</si>
  <si>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</si>
  <si>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</si>
  <si>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</si>
  <si>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</si>
  <si>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</si>
  <si>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</si>
  <si>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</si>
  <si>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</si>
  <si>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</si>
  <si>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</si>
  <si>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</si>
  <si>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</si>
  <si>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</si>
  <si>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</si>
  <si>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</si>
  <si>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</si>
  <si>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</si>
  <si>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</si>
  <si>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</si>
  <si>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</si>
  <si>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</si>
  <si>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</si>
  <si>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</si>
  <si>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</si>
  <si>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</si>
  <si>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</si>
  <si>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</si>
  <si>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</si>
  <si>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</si>
  <si>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</si>
  <si>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</si>
  <si>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</si>
  <si>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</si>
  <si>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</si>
  <si>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</si>
  <si>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</si>
  <si>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</si>
  <si>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</si>
  <si>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</si>
  <si>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</si>
  <si>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</si>
  <si>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</si>
  <si>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</si>
  <si>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</si>
  <si>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</si>
  <si>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</si>
  <si>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</si>
  <si>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</si>
  <si>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</si>
  <si>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</si>
  <si>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</si>
  <si>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</si>
  <si>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</si>
  <si>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</si>
  <si>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</si>
  <si>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</si>
  <si>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</si>
  <si>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</si>
  <si>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</si>
  <si>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</si>
  <si>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</si>
  <si>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</si>
  <si>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</si>
  <si>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</si>
  <si>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</si>
  <si>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</si>
  <si>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</si>
  <si>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</si>
  <si>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</si>
  <si>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</si>
  <si>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</si>
  <si>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</si>
  <si>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</si>
  <si>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</si>
  <si>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</si>
  <si>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</si>
  <si>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</si>
  <si>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</si>
  <si>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</si>
  <si>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</si>
  <si>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</si>
  <si>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</si>
  <si>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</si>
  <si>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</si>
  <si>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</si>
  <si>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</si>
  <si>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</si>
  <si>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</si>
  <si>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</si>
  <si>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</si>
  <si>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</si>
  <si>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</si>
  <si>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</si>
  <si>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</si>
  <si>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</si>
  <si>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</si>
  <si>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</si>
  <si>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</si>
  <si>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</si>
  <si>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</si>
  <si>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</si>
  <si>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</si>
  <si>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</si>
  <si>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</si>
  <si>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</si>
  <si>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</si>
  <si>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</si>
  <si>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</si>
  <si>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</si>
  <si>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</si>
  <si>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</si>
  <si>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</si>
  <si>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</si>
  <si>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</si>
  <si>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</si>
  <si>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</si>
  <si>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</si>
  <si>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</si>
  <si>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</si>
  <si>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</si>
  <si>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</si>
  <si>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</si>
  <si>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</si>
  <si>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</si>
  <si>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</si>
  <si>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</si>
  <si>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</si>
  <si>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</si>
  <si>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</si>
  <si>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</si>
  <si>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</si>
  <si>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</si>
  <si>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</si>
  <si>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</si>
  <si>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</si>
  <si>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</si>
  <si>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</si>
  <si>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</si>
  <si>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</si>
  <si>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</si>
  <si>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</si>
  <si>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</si>
  <si>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</si>
  <si>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</si>
  <si>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</si>
  <si>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</si>
  <si>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</si>
  <si>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</si>
  <si>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</si>
  <si>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</si>
  <si>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</si>
  <si>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</si>
  <si>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</si>
  <si>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</si>
  <si>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</si>
  <si>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</si>
  <si>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</si>
  <si>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</si>
  <si>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</si>
  <si>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</si>
  <si>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</si>
  <si>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</si>
  <si>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</si>
  <si>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</si>
  <si>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</si>
  <si>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</si>
  <si>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</si>
  <si>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</si>
  <si>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</si>
  <si>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</si>
  <si>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</si>
  <si>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</si>
  <si>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</si>
  <si>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</si>
  <si>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</si>
  <si>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</si>
  <si>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</si>
  <si>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</si>
  <si>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</si>
  <si>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</si>
  <si>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</si>
  <si>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</si>
  <si>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</si>
  <si>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</si>
  <si>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</si>
  <si>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</si>
  <si>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</si>
  <si>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</si>
  <si>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</si>
  <si>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</si>
  <si>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</si>
  <si>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</si>
  <si>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</si>
  <si>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</si>
  <si>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</si>
  <si>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</si>
  <si>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</si>
  <si>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</si>
  <si>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</si>
  <si>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</si>
  <si>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</si>
  <si>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</si>
  <si>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</si>
  <si>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</si>
  <si>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</si>
  <si>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</si>
  <si>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</si>
  <si>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</si>
  <si>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</si>
  <si>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</si>
  <si>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</si>
  <si>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</si>
  <si>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</si>
  <si>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</si>
  <si>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</si>
  <si>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</si>
  <si>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</si>
  <si>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</si>
  <si>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</si>
  <si>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</si>
  <si>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</si>
  <si>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</si>
  <si>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</si>
  <si>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</si>
  <si>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</si>
  <si>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</si>
  <si>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</si>
  <si>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</si>
  <si>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</si>
  <si>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</si>
  <si>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</si>
  <si>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</si>
  <si>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</si>
  <si>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</si>
  <si>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</si>
  <si>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</si>
  <si>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</si>
  <si>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</si>
  <si>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</si>
  <si>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</si>
  <si>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</si>
  <si>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</si>
  <si>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</si>
  <si>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</si>
  <si>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</si>
  <si>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</si>
  <si>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</si>
  <si>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</si>
  <si>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</si>
  <si>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</si>
  <si>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</si>
  <si>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</si>
  <si>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</si>
  <si>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</si>
  <si>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</si>
  <si>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</si>
  <si>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</si>
  <si>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</si>
  <si>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</si>
  <si>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</si>
  <si>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</si>
  <si>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</si>
  <si>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</si>
  <si>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</si>
  <si>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</si>
  <si>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</si>
  <si>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</si>
  <si>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</si>
  <si>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</si>
  <si>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</si>
  <si>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</si>
  <si>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</si>
  <si>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</si>
  <si>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</si>
  <si>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</si>
  <si>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</si>
  <si>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</si>
  <si>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</si>
  <si>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</si>
  <si>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</si>
  <si>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</si>
  <si>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</si>
  <si>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</si>
  <si>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</si>
  <si>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</si>
  <si>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</si>
  <si>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</si>
  <si>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</si>
  <si>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</si>
  <si>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</si>
  <si>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</si>
  <si>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</si>
  <si>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</si>
  <si>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</si>
  <si>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</si>
  <si>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</si>
  <si>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</si>
  <si>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</si>
  <si>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</si>
  <si>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</si>
  <si>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</si>
  <si>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</si>
  <si>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</si>
  <si>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</si>
  <si>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</si>
  <si>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</si>
  <si>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</si>
  <si>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</si>
  <si>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</si>
  <si>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</si>
  <si>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</si>
  <si>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</si>
  <si>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</si>
  <si>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</si>
  <si>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</si>
  <si>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</si>
  <si>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</si>
  <si>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</si>
  <si>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</si>
  <si>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</si>
  <si>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</si>
  <si>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</si>
  <si>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</si>
  <si>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</si>
  <si>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</si>
  <si>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</si>
  <si>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</si>
  <si>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</si>
  <si>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</si>
  <si>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</si>
  <si>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</si>
  <si>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</si>
  <si>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</si>
  <si>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</si>
  <si>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</si>
  <si>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</si>
  <si>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</si>
  <si>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</si>
  <si>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</si>
  <si>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</si>
  <si>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</si>
  <si>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</si>
  <si>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</si>
  <si>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</si>
  <si>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</si>
  <si>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</si>
  <si>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</si>
  <si>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</si>
  <si>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</si>
  <si>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</si>
  <si>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</si>
  <si>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</si>
  <si>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</si>
  <si>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</si>
  <si>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</si>
  <si>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</si>
  <si>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</si>
  <si>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</si>
  <si>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</si>
  <si>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</si>
  <si>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</si>
  <si>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</si>
  <si>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</si>
  <si>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</si>
  <si>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</si>
  <si>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</si>
  <si>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</si>
  <si>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</si>
  <si>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</si>
  <si>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</si>
  <si>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</si>
  <si>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</si>
  <si>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</si>
  <si>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</si>
  <si>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</si>
  <si>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</si>
  <si>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</si>
  <si>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</si>
  <si>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</si>
  <si>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</si>
  <si>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</si>
  <si>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</si>
  <si>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</si>
  <si>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</si>
  <si>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</si>
  <si>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</si>
  <si>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</si>
  <si>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</si>
  <si>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</si>
  <si>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</si>
  <si>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</si>
  <si>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</si>
  <si>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</si>
  <si>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</si>
  <si>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</si>
  <si>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</si>
  <si>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</si>
  <si>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</si>
  <si>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</si>
  <si>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</si>
  <si>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</si>
  <si>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</si>
  <si>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</si>
  <si>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</si>
  <si>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</si>
  <si>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</si>
  <si>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</si>
  <si>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</si>
  <si>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</si>
  <si>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</si>
  <si>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</si>
  <si>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</si>
  <si>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</si>
  <si>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</si>
  <si>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</si>
  <si>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</si>
  <si>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</si>
  <si>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</si>
  <si>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</si>
  <si>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</si>
  <si>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</si>
  <si>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</si>
  <si>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</si>
  <si>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</si>
  <si>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</si>
  <si>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</si>
  <si>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</si>
  <si>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</si>
  <si>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</si>
  <si>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</si>
  <si>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</si>
  <si>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</si>
  <si>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</si>
  <si>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</si>
  <si>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</si>
  <si>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</si>
  <si>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</si>
  <si>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</si>
  <si>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</si>
  <si>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</si>
  <si>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</si>
  <si>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</si>
  <si>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</si>
  <si>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</si>
  <si>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</si>
  <si>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</si>
  <si>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</si>
  <si>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</si>
  <si>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</si>
  <si>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</si>
  <si>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</si>
  <si>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</si>
  <si>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</si>
  <si>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</si>
  <si>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</si>
  <si>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</si>
  <si>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</si>
  <si>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</si>
  <si>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</si>
  <si>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</si>
  <si>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</si>
  <si>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</si>
  <si>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</si>
  <si>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</si>
  <si>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</si>
  <si>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</si>
  <si>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</si>
  <si>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</si>
  <si>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</si>
  <si>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</si>
  <si>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</si>
  <si>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</si>
  <si>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</si>
  <si>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</si>
  <si>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</si>
  <si>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</si>
  <si>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</si>
  <si>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</si>
  <si>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</si>
  <si>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</si>
  <si>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</si>
  <si>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</si>
  <si>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</si>
  <si>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</si>
  <si>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</si>
  <si>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</si>
  <si>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</si>
  <si>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</si>
  <si>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</si>
  <si>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</si>
  <si>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</si>
  <si>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</si>
  <si>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</si>
  <si>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</si>
  <si>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</si>
  <si>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</si>
  <si>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</si>
  <si>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</si>
  <si>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</si>
  <si>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</si>
  <si>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</si>
  <si>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</si>
  <si>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</si>
  <si>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</si>
  <si>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</si>
  <si>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</si>
  <si>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</si>
  <si>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</si>
  <si>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</si>
  <si>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</si>
  <si>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</si>
  <si>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</si>
  <si>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</si>
  <si>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</si>
  <si>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</si>
  <si>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</si>
  <si>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</si>
  <si>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</si>
  <si>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</si>
  <si>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</si>
  <si>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</si>
  <si>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</si>
  <si>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</si>
  <si>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</si>
  <si>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</si>
  <si>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</si>
  <si>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</si>
  <si>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</si>
  <si>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</si>
  <si>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</si>
  <si>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</si>
  <si>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</si>
  <si>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</si>
  <si>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</si>
  <si>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</si>
  <si>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</si>
  <si>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</si>
  <si>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</si>
  <si>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</si>
  <si>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</si>
  <si>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</si>
  <si>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</si>
  <si>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</si>
  <si>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</si>
  <si>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</si>
  <si>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</si>
  <si>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</si>
  <si>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</si>
  <si>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</si>
  <si>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</si>
  <si>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</si>
  <si>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</si>
  <si>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</si>
  <si>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</si>
  <si>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</si>
  <si>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</si>
  <si>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</si>
  <si>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</si>
  <si>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</si>
  <si>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</si>
  <si>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</si>
  <si>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</si>
  <si>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</si>
  <si>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</si>
  <si>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</si>
  <si>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</si>
  <si>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</si>
  <si>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</si>
  <si>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</si>
  <si>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</si>
  <si>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</si>
  <si>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</si>
  <si>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</si>
  <si>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</si>
  <si>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</si>
  <si>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</si>
  <si>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</si>
  <si>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</si>
  <si>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</si>
  <si>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</si>
  <si>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</si>
  <si>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</si>
  <si>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</si>
  <si>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</si>
  <si>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</si>
  <si>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</si>
  <si>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</si>
  <si>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</si>
  <si>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</si>
  <si>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</si>
  <si>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</si>
  <si>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</si>
  <si>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</si>
  <si>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</si>
  <si>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</si>
  <si>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</si>
  <si>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</si>
  <si>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</si>
  <si>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</si>
  <si>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</si>
  <si>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</si>
  <si>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</si>
  <si>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</si>
  <si>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</si>
  <si>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</si>
  <si>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</si>
  <si>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</si>
  <si>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</si>
  <si>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</si>
  <si>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</si>
  <si>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</si>
  <si>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</si>
  <si>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</si>
  <si>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</si>
  <si>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</si>
  <si>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</si>
  <si>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</si>
  <si>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</si>
  <si>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</si>
  <si>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</si>
  <si>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</si>
  <si>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</si>
  <si>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</si>
  <si>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</si>
  <si>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</si>
  <si>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</si>
  <si>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</si>
  <si>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</si>
  <si>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</si>
  <si>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</si>
  <si>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</si>
  <si>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</si>
  <si>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</si>
  <si>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</si>
  <si>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</si>
  <si>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</si>
  <si>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</si>
  <si>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</si>
  <si>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</si>
  <si>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</si>
  <si>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</si>
  <si>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</si>
  <si>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</si>
  <si>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</si>
  <si>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</si>
  <si>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</si>
  <si>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</si>
  <si>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</si>
  <si>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</si>
  <si>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</si>
  <si>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</si>
  <si>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</si>
  <si>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</si>
  <si>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</si>
  <si>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</si>
  <si>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</si>
  <si>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</si>
  <si>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</si>
  <si>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</si>
  <si>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</si>
  <si>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</si>
  <si>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</si>
  <si>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</si>
  <si>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</si>
  <si>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</si>
  <si>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</si>
  <si>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</si>
  <si>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</si>
  <si>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</si>
  <si>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</si>
  <si>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</si>
  <si>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</si>
  <si>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</si>
  <si>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</si>
  <si>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</si>
  <si>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</si>
  <si>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</si>
  <si>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</si>
  <si>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</si>
  <si>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</si>
  <si>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</si>
  <si>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</si>
  <si>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</si>
  <si>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</si>
  <si>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</si>
  <si>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</si>
  <si>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</si>
  <si>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</si>
  <si>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</si>
  <si>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</si>
  <si>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</si>
  <si>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</si>
  <si>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</si>
  <si>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</si>
  <si>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</si>
  <si>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</si>
  <si>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</si>
  <si>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</si>
  <si>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</si>
  <si>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</si>
  <si>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</si>
  <si>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</si>
  <si>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</si>
  <si>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</si>
  <si>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</si>
  <si>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</si>
  <si>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</si>
  <si>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</si>
  <si>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</si>
  <si>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</si>
  <si>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</si>
  <si>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</si>
  <si>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</si>
  <si>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</si>
  <si>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</si>
  <si>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</si>
  <si>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</si>
  <si>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</si>
  <si>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</si>
  <si>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</si>
  <si>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</si>
  <si>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</si>
  <si>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</si>
  <si>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</si>
  <si>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</si>
  <si>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</si>
  <si>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</si>
  <si>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</si>
  <si>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</si>
  <si>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</si>
  <si>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</si>
  <si>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</si>
  <si>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</si>
  <si>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</si>
  <si>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</si>
  <si>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</si>
  <si>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</si>
  <si>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</si>
  <si>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</si>
  <si>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</si>
  <si>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</si>
  <si>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</si>
  <si>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</si>
  <si>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</si>
  <si>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</si>
  <si>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</si>
  <si>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</si>
  <si>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</si>
  <si>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</si>
  <si>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</si>
  <si>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</si>
  <si>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</si>
  <si>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</si>
  <si>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</si>
  <si>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</si>
  <si>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</si>
  <si>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</si>
  <si>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</si>
  <si>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</si>
  <si>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</si>
  <si>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</si>
  <si>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</si>
  <si>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</si>
  <si>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</si>
  <si>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</si>
  <si>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</si>
  <si>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</si>
  <si>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</si>
  <si>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</si>
  <si>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</si>
  <si>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</si>
  <si>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</si>
  <si>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</si>
  <si>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</si>
  <si>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</si>
  <si>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</si>
  <si>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</si>
  <si>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</si>
  <si>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</si>
  <si>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</si>
  <si>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</si>
  <si>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</si>
  <si>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</si>
  <si>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</si>
  <si>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</si>
  <si>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</si>
  <si>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</si>
  <si>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</si>
  <si>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</si>
  <si>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</si>
  <si>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</si>
  <si>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</si>
  <si>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</si>
  <si>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</si>
  <si>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</si>
  <si>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</si>
  <si>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</si>
  <si>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</si>
  <si>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</si>
  <si>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</si>
  <si>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</si>
  <si>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</si>
  <si>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</si>
  <si>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</si>
  <si>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</si>
  <si>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</si>
  <si>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</si>
  <si>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</si>
  <si>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</si>
  <si>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</si>
  <si>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</si>
  <si>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</si>
  <si>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</si>
  <si>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</si>
  <si>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</si>
  <si>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</si>
  <si>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</si>
  <si>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</si>
  <si>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</si>
  <si>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</si>
  <si>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</si>
  <si>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</si>
  <si>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</si>
  <si>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</si>
  <si>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</si>
  <si>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</si>
  <si>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</si>
  <si>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</si>
  <si>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</si>
  <si>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</si>
  <si>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</si>
  <si>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</si>
  <si>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</si>
  <si>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</si>
  <si>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</si>
  <si>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</si>
  <si>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</si>
  <si>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</si>
  <si>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</si>
  <si>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</si>
  <si>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</si>
  <si>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</si>
  <si>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</si>
  <si>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</si>
  <si>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</si>
  <si>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</si>
  <si>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</si>
  <si>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</si>
  <si>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</si>
  <si>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</si>
  <si>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</si>
  <si>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</si>
  <si>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</si>
  <si>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</si>
  <si>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</si>
  <si>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</si>
  <si>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</si>
  <si>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</si>
  <si>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</si>
  <si>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</si>
  <si>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</si>
  <si>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</si>
  <si>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</si>
  <si>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</si>
  <si>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</si>
  <si>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</si>
  <si>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</si>
  <si>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</si>
  <si>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</si>
  <si>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</si>
  <si>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</si>
  <si>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</si>
  <si>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</si>
  <si>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</si>
  <si>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</si>
  <si>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</si>
  <si>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</si>
  <si>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</si>
  <si>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</si>
  <si>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</si>
  <si>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</si>
  <si>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</si>
  <si>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</si>
  <si>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</si>
  <si>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</si>
  <si>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</si>
  <si>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</si>
  <si>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</si>
  <si>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</si>
  <si>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</si>
  <si>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</si>
  <si>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</si>
  <si>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</si>
  <si>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</si>
  <si>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</si>
  <si>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</si>
  <si>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</si>
  <si>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</si>
  <si>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</si>
  <si>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</si>
  <si>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</si>
  <si>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</si>
  <si>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</si>
  <si>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</si>
  <si>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</si>
  <si>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</si>
  <si>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</si>
  <si>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</si>
  <si>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</si>
  <si>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</si>
  <si>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</si>
  <si>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</si>
  <si>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</si>
  <si>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</si>
  <si>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</si>
  <si>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</si>
  <si>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</si>
  <si>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</si>
  <si>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</si>
  <si>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</si>
  <si>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</si>
  <si>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</si>
  <si>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</si>
  <si>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</si>
  <si>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</si>
  <si>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</si>
  <si>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</si>
  <si>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</si>
  <si>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</si>
  <si>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</si>
  <si>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</si>
  <si>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</si>
  <si>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</si>
  <si>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</si>
  <si>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</si>
  <si>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</si>
  <si>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</si>
  <si>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</si>
  <si>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</si>
  <si>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</si>
  <si>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</si>
  <si>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</si>
  <si>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</si>
  <si>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</si>
  <si>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</si>
  <si>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</si>
  <si>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</si>
  <si>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</si>
  <si>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</si>
  <si>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</si>
  <si>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</si>
  <si>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</si>
  <si>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</si>
  <si>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</si>
  <si>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</si>
  <si>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</si>
  <si>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</si>
  <si>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</si>
  <si>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</si>
  <si>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</si>
  <si>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</si>
  <si>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</si>
  <si>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</si>
  <si>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</si>
  <si>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</si>
  <si>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</si>
  <si>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</si>
  <si>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</si>
  <si>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</si>
  <si>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</si>
  <si>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</si>
  <si>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</si>
  <si>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</si>
  <si>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</si>
  <si>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</si>
  <si>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</si>
  <si>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</si>
  <si>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</si>
  <si>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</si>
  <si>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</si>
  <si>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</si>
  <si>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</si>
  <si>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</si>
  <si>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</si>
  <si>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</si>
  <si>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</si>
  <si>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</si>
  <si>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</si>
  <si>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</si>
  <si>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</si>
  <si>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</si>
  <si>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</si>
  <si>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</si>
  <si>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</si>
  <si>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</si>
  <si>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</si>
  <si>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</si>
  <si>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</si>
  <si>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</si>
  <si>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</si>
  <si>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</si>
  <si>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</si>
  <si>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</si>
  <si>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</si>
  <si>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</si>
  <si>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</si>
  <si>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</si>
  <si>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</si>
  <si>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</si>
  <si>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</si>
  <si>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</si>
  <si>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</si>
  <si>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</si>
  <si>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</si>
  <si>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</si>
  <si>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</si>
  <si>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</si>
  <si>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</si>
  <si>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</si>
  <si>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</si>
  <si>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</si>
  <si>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</si>
  <si>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</si>
  <si>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</si>
  <si>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</si>
  <si>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</si>
  <si>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</si>
  <si>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</si>
  <si>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</si>
  <si>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</si>
  <si>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</si>
  <si>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</si>
  <si>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</si>
  <si>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</si>
  <si>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</si>
  <si>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</si>
  <si>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</si>
  <si>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</si>
  <si>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</si>
  <si>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</si>
  <si>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</si>
  <si>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</si>
  <si>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</si>
  <si>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</si>
  <si>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</si>
  <si>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</si>
  <si>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</si>
  <si>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</si>
  <si>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</si>
  <si>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</si>
  <si>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</si>
  <si>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</si>
  <si>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</si>
  <si>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</si>
  <si>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</si>
  <si>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</si>
  <si>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</si>
  <si>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</si>
  <si>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</si>
  <si>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</si>
  <si>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</si>
  <si>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</si>
  <si>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</si>
  <si>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</si>
  <si>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</si>
  <si>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</si>
  <si>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</si>
  <si>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</si>
  <si>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</si>
  <si>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</si>
  <si>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</si>
  <si>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</si>
  <si>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</si>
  <si>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</si>
  <si>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</si>
  <si>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</si>
  <si>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</si>
  <si>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</si>
  <si>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</si>
  <si>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</si>
  <si>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</si>
  <si>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</si>
  <si>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</si>
  <si>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</si>
  <si>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</si>
  <si>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</si>
  <si>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</si>
  <si>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</si>
  <si>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</si>
  <si>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</si>
  <si>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</si>
  <si>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</si>
  <si>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</si>
  <si>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</si>
  <si>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</si>
  <si>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</si>
  <si>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</si>
  <si>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</si>
  <si>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</si>
  <si>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</si>
  <si>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</si>
  <si>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</si>
  <si>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</si>
  <si>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</si>
  <si>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</si>
  <si>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</si>
  <si>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</si>
  <si>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</si>
  <si>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</si>
  <si>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</si>
  <si>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</si>
  <si>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</si>
  <si>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</si>
  <si>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</si>
  <si>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</si>
  <si>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</si>
  <si>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</si>
  <si>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</si>
  <si>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</si>
  <si>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</si>
  <si>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</si>
  <si>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</si>
  <si>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</si>
  <si>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</si>
  <si>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</si>
  <si>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</si>
  <si>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</si>
  <si>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</si>
  <si>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</si>
  <si>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</si>
  <si>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</si>
  <si>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</si>
  <si>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</si>
  <si>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</si>
  <si>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</si>
  <si>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</si>
  <si>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</si>
  <si>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</si>
  <si>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</si>
  <si>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</si>
  <si>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</si>
  <si>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</si>
  <si>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</si>
  <si>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</si>
  <si>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</si>
  <si>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</si>
  <si>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</si>
  <si>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</si>
  <si>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</si>
  <si>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</si>
  <si>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</si>
  <si>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</si>
  <si>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</si>
  <si>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</si>
  <si>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</si>
  <si>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</si>
  <si>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</si>
  <si>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</si>
  <si>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</si>
  <si>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</si>
  <si>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</si>
  <si>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</si>
  <si>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</si>
  <si>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</si>
  <si>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</si>
  <si>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</si>
  <si>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</si>
  <si>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</si>
  <si>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</si>
  <si>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</si>
  <si>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</si>
  <si>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</si>
  <si>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</si>
  <si>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</si>
  <si>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</si>
  <si>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</si>
  <si>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</si>
  <si>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</si>
  <si>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</si>
  <si>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</si>
  <si>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</si>
  <si>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</si>
  <si>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</si>
  <si>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</si>
  <si>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</si>
  <si>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</si>
  <si>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</si>
  <si>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</si>
  <si>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</si>
  <si>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</si>
  <si>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</si>
  <si>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</si>
  <si>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</si>
  <si>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</si>
  <si>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</si>
  <si>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</si>
  <si>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</si>
  <si>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</si>
  <si>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</si>
  <si>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</si>
  <si>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</si>
  <si>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</si>
  <si>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</si>
  <si>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</si>
  <si>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</si>
  <si>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</si>
  <si>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</si>
  <si>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</si>
  <si>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</si>
  <si>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</si>
  <si>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</si>
  <si>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</si>
  <si>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</si>
  <si>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</si>
  <si>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</si>
  <si>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</si>
  <si>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</si>
  <si>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</si>
  <si>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</si>
  <si>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</si>
  <si>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</si>
  <si>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</si>
  <si>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</si>
  <si>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</si>
  <si>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</si>
  <si>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</si>
  <si>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</si>
  <si>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</si>
  <si>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</si>
  <si>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</si>
  <si>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</si>
  <si>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</si>
  <si>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</si>
  <si>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</si>
  <si>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</si>
  <si>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</si>
  <si>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</si>
  <si>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</si>
  <si>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</si>
  <si>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</si>
  <si>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</si>
  <si>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</si>
  <si>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</si>
  <si>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</si>
  <si>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</si>
  <si>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</si>
  <si>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</si>
  <si>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</si>
  <si>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</si>
  <si>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</si>
  <si>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</si>
  <si>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</si>
  <si>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</si>
  <si>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</si>
  <si>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</si>
  <si>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</si>
  <si>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</si>
  <si>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</si>
  <si>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</si>
  <si>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</si>
  <si>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</si>
  <si>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</si>
  <si>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</si>
  <si>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</si>
  <si>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</si>
  <si>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</si>
  <si>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</si>
  <si>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</si>
  <si>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</si>
  <si>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</si>
  <si>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</si>
  <si>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</si>
  <si>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</si>
  <si>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</si>
  <si>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</si>
  <si>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</si>
  <si>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</si>
  <si>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</si>
  <si>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</si>
  <si>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</si>
  <si>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</si>
  <si>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</si>
  <si>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</si>
  <si>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</si>
  <si>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</si>
  <si>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</si>
  <si>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</si>
  <si>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</si>
  <si>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</si>
  <si>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</si>
  <si>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</si>
  <si>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</si>
  <si>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</si>
  <si>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</si>
  <si>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</si>
  <si>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</si>
  <si>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</si>
  <si>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</si>
  <si>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</si>
  <si>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</si>
  <si>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</si>
  <si>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</si>
  <si>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</si>
  <si>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</si>
  <si>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</si>
  <si>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</si>
  <si>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</si>
  <si>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</si>
  <si>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</si>
  <si>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</si>
  <si>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</si>
  <si>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</si>
  <si>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</si>
  <si>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</si>
  <si>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</si>
  <si>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</si>
  <si>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</si>
  <si>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</si>
  <si>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</si>
  <si>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</si>
  <si>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</si>
  <si>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</si>
  <si>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</si>
  <si>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</si>
  <si>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</si>
  <si>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</si>
  <si>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</si>
  <si>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</si>
  <si>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</si>
  <si>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</si>
  <si>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</si>
  <si>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</si>
  <si>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</si>
  <si>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</si>
  <si>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</si>
  <si>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</si>
  <si>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</si>
  <si>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</si>
  <si>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</si>
  <si>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</si>
  <si>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</si>
  <si>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</si>
  <si>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</si>
  <si>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</si>
  <si>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</si>
  <si>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</si>
  <si>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</si>
  <si>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</si>
  <si>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</si>
  <si>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</si>
  <si>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</si>
  <si>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</si>
  <si>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</si>
  <si>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</si>
  <si>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</si>
  <si>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</si>
  <si>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</si>
  <si>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</si>
  <si>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</si>
  <si>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</si>
  <si>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</si>
  <si>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</si>
  <si>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</si>
  <si>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</si>
  <si>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</si>
  <si>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</si>
  <si>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</si>
  <si>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</si>
  <si>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</si>
  <si>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</si>
  <si>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</si>
  <si>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</si>
  <si>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</si>
  <si>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</si>
  <si>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</si>
  <si>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</si>
  <si>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</si>
  <si>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</si>
  <si>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</si>
  <si>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</si>
  <si>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</si>
  <si>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</si>
  <si>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</si>
  <si>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</si>
  <si>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</si>
  <si>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</si>
  <si>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</si>
  <si>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</si>
  <si>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</si>
  <si>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</si>
  <si>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</si>
  <si>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</si>
  <si>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</si>
  <si>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</si>
  <si>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</si>
  <si>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</si>
  <si>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</si>
  <si>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</si>
  <si>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</si>
  <si>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</si>
  <si>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</si>
  <si>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</si>
  <si>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</si>
  <si>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</si>
  <si>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</si>
  <si>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</si>
  <si>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</si>
  <si>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</si>
  <si>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</si>
  <si>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</si>
  <si>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</si>
  <si>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</si>
  <si>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</si>
  <si>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</si>
  <si>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</si>
  <si>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</si>
  <si>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</si>
  <si>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</si>
  <si>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</si>
  <si>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</si>
  <si>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</si>
  <si>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</si>
  <si>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</si>
  <si>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</si>
  <si>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</si>
  <si>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</si>
  <si>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</si>
  <si>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</si>
  <si>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</si>
  <si>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</si>
  <si>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</si>
  <si>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</si>
  <si>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</si>
  <si>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</si>
  <si>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</si>
  <si>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</si>
  <si>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</si>
  <si>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</si>
  <si>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</si>
  <si>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</si>
  <si>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</si>
  <si>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</si>
  <si>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</si>
  <si>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</si>
  <si>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</si>
  <si>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</si>
  <si>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</si>
  <si>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</si>
  <si>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</si>
  <si>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</si>
  <si>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</si>
  <si>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</si>
  <si>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</si>
  <si>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</si>
  <si>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</si>
  <si>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</si>
  <si>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</si>
  <si>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</si>
  <si>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</si>
  <si>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</si>
  <si>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</si>
  <si>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</si>
  <si>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</si>
  <si>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</si>
  <si>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</si>
  <si>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</si>
  <si>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</si>
  <si>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</si>
  <si>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</si>
  <si>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</si>
  <si>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</si>
  <si>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</si>
  <si>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</si>
  <si>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</si>
  <si>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Odell Community Consolidated Grade School</t>
  </si>
  <si>
    <t xml:space="preserve">Livingston </t>
  </si>
  <si>
    <t>2032 N. East Street</t>
  </si>
  <si>
    <t>Odell</t>
  </si>
  <si>
    <t>markh@odell.k12.il.us</t>
  </si>
  <si>
    <t>Mark Hettmansberger</t>
  </si>
  <si>
    <t>815-998-2272</t>
  </si>
  <si>
    <t>815-998-2619</t>
  </si>
  <si>
    <t>Signed Audit Report @ Opinion Page</t>
  </si>
  <si>
    <t>2013 Refunding Bonds</t>
  </si>
  <si>
    <t>Praire State Insurance Cooperative</t>
  </si>
  <si>
    <t>Livingston County Special Services Unit</t>
  </si>
  <si>
    <t>Regional Office of Ed.- DeWitt, Livingston, &amp; McLean Counties</t>
  </si>
  <si>
    <t>Page 10, Line 72- Education Fund: Milk money collected</t>
  </si>
  <si>
    <t>Page 10, Line 74- Education Fund: Refunds and miscellaneous sales</t>
  </si>
  <si>
    <t>Page 11, Line 107- Education Fund: Wind Farm tax abatement reimbursement</t>
  </si>
  <si>
    <t>Page 11, Line 107- Operations and Maintenance Fund: Wind Farm tax abatement reimbursement</t>
  </si>
  <si>
    <t>20-2540-300</t>
  </si>
  <si>
    <t>IDEAL ENVIRONMENTAL ENG.</t>
  </si>
  <si>
    <t>10-2520-310</t>
  </si>
  <si>
    <t>POWER SCHOOL GROUP LLC</t>
  </si>
  <si>
    <t>STALKER SPORTS FLOORS</t>
  </si>
  <si>
    <t>ED-FISCAL SERVICES-PURCHASED SERVICES</t>
  </si>
  <si>
    <t>O&amp;M-OPERATION &amp; MAINTENANCE OF PLANT SERVICES-PURCHASED SERVICES</t>
  </si>
  <si>
    <t>GL Wykes Construction</t>
  </si>
  <si>
    <t>James P Abry</t>
  </si>
  <si>
    <t>Page 11, Line 107- Transportation Fund: miscellaneous</t>
  </si>
  <si>
    <t>Page 12, Line 168- Education Fund: State Library Grant</t>
  </si>
  <si>
    <t>Page 11, Line 107- Debt Service Fund: Wind Farm tax abatement reimbursement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</si>
</sst>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21" applyFont="1" applyBorder="1" applyAlignment="1" applyProtection="1">
      <alignment horizontal="left" vertical="top" wrapText="1"/>
      <protection locked="0"/>
    </xf>
    <xf numFmtId="49" fontId="1" fillId="0" borderId="157" xfId="21" applyNumberFormat="1" applyFont="1" applyBorder="1" applyAlignment="1" applyProtection="1">
      <alignment horizontal="center" vertical="top"/>
      <protection locked="0"/>
    </xf>
    <xf numFmtId="0" fontId="1" fillId="0" borderId="157" xfId="21" applyFont="1" applyBorder="1" applyAlignment="1" applyProtection="1">
      <alignment vertical="top"/>
      <protection locked="0"/>
    </xf>
    <xf numFmtId="38" fontId="1" fillId="0" borderId="157" xfId="21" applyNumberFormat="1" applyBorder="1" applyAlignment="1" applyProtection="1">
      <alignment horizontal="righ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_Contracts Paid in CY 29" xfId="20" xr:uid="{00000000-0005-0000-0000-000008000000}"/>
    <cellStyle name="Normal 3_Contracts Paid in CY 29" xfId="19" xr:uid="{00000000-0005-0000-0000-000009000000}"/>
    <cellStyle name="Normal 4" xfId="16" xr:uid="{00000000-0005-0000-0000-00000A000000}"/>
    <cellStyle name="Normal 5" xfId="17" xr:uid="{00000000-0005-0000-0000-00000B000000}"/>
    <cellStyle name="Normal 5_Contracts Paid in CY 29" xfId="21"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0</xdr:row>
          <xdr:rowOff>95250</xdr:rowOff>
        </xdr:from>
        <xdr:to>
          <xdr:col>1</xdr:col>
          <xdr:colOff>1200150</xdr:colOff>
          <xdr:row>4</xdr:row>
          <xdr:rowOff>133350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173182</xdr:colOff>
          <xdr:row>5</xdr:row>
          <xdr:rowOff>17318</xdr:rowOff>
        </xdr:from>
        <xdr:to>
          <xdr:col>1</xdr:col>
          <xdr:colOff>1087582</xdr:colOff>
          <xdr:row>9</xdr:row>
          <xdr:rowOff>55418</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914400</xdr:colOff>
          <xdr:row>14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1</xdr:col>
          <xdr:colOff>914400</xdr:colOff>
          <xdr:row>19</xdr:row>
          <xdr:rowOff>38100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90" zoomScaleNormal="9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93" t="s">
        <v>405</v>
      </c>
      <c r="J1" s="1994"/>
      <c r="K1" s="1994"/>
      <c r="L1" s="1994"/>
      <c r="M1" s="1994"/>
      <c r="N1" s="1994"/>
      <c r="O1" s="1994"/>
      <c r="P1" s="1994"/>
      <c r="Q1" s="1994"/>
      <c r="R1" s="1994"/>
      <c r="S1" s="1994"/>
    </row>
    <row r="2" spans="1:28" ht="12" customHeight="1" x14ac:dyDescent="0.2">
      <c r="A2" s="47" t="s">
        <v>1991</v>
      </c>
      <c r="D2" s="48"/>
      <c r="I2" s="1995" t="s">
        <v>979</v>
      </c>
      <c r="J2" s="1994"/>
      <c r="K2" s="1994"/>
      <c r="L2" s="1994"/>
      <c r="M2" s="1994"/>
      <c r="N2" s="1994"/>
      <c r="O2" s="1994"/>
      <c r="P2" s="1994"/>
      <c r="Q2" s="1994"/>
      <c r="R2" s="1994"/>
      <c r="S2" s="1994"/>
    </row>
    <row r="3" spans="1:28" ht="12" customHeight="1" x14ac:dyDescent="0.2">
      <c r="A3" s="155" t="s">
        <v>1943</v>
      </c>
      <c r="B3" s="156"/>
      <c r="C3" s="156"/>
      <c r="D3" s="157"/>
      <c r="I3" s="1995" t="s">
        <v>52</v>
      </c>
      <c r="J3" s="1994"/>
      <c r="K3" s="1994"/>
      <c r="L3" s="1994"/>
      <c r="M3" s="1994"/>
      <c r="N3" s="1994"/>
      <c r="O3" s="1994"/>
      <c r="P3" s="1994"/>
      <c r="Q3" s="1994"/>
      <c r="R3" s="1994"/>
      <c r="S3" s="1994"/>
    </row>
    <row r="4" spans="1:28" ht="12" customHeight="1" x14ac:dyDescent="0.2">
      <c r="A4" s="37"/>
      <c r="I4" s="1995" t="s">
        <v>524</v>
      </c>
      <c r="J4" s="1994"/>
      <c r="K4" s="1994"/>
      <c r="L4" s="1994"/>
      <c r="M4" s="1994"/>
      <c r="N4" s="1994"/>
      <c r="O4" s="1994"/>
      <c r="P4" s="1994"/>
      <c r="Q4" s="1994"/>
      <c r="R4" s="1994"/>
      <c r="S4" s="1994"/>
    </row>
    <row r="5" spans="1:28" ht="14.1" customHeight="1" x14ac:dyDescent="0.2">
      <c r="B5" s="104" t="s">
        <v>2073</v>
      </c>
      <c r="C5" s="26" t="s">
        <v>910</v>
      </c>
      <c r="D5" s="84"/>
      <c r="E5" s="84"/>
      <c r="H5" s="38"/>
      <c r="I5" s="2002" t="s">
        <v>680</v>
      </c>
      <c r="J5" s="1987"/>
      <c r="K5" s="1987"/>
      <c r="L5" s="1987"/>
      <c r="M5" s="1987"/>
      <c r="N5" s="1987"/>
      <c r="O5" s="1987"/>
      <c r="P5" s="1987"/>
      <c r="Q5" s="1987"/>
      <c r="R5" s="1987"/>
      <c r="S5" s="1987"/>
    </row>
    <row r="6" spans="1:28" ht="14.1" customHeight="1" x14ac:dyDescent="0.2">
      <c r="B6" s="104"/>
      <c r="C6" s="26" t="s">
        <v>911</v>
      </c>
      <c r="D6" s="84"/>
      <c r="E6" s="84"/>
      <c r="I6" s="2001" t="s">
        <v>883</v>
      </c>
      <c r="J6" s="1987"/>
      <c r="K6" s="1987"/>
      <c r="L6" s="1987"/>
      <c r="M6" s="1987"/>
      <c r="N6" s="1987"/>
      <c r="O6" s="1987"/>
      <c r="P6" s="1987"/>
      <c r="Q6" s="1987"/>
      <c r="R6" s="1987"/>
      <c r="S6" s="1987"/>
    </row>
    <row r="7" spans="1:28" ht="12.2" customHeight="1" x14ac:dyDescent="0.2">
      <c r="I7" s="1996">
        <v>43646</v>
      </c>
      <c r="J7" s="1997"/>
      <c r="K7" s="1997"/>
      <c r="L7" s="1997"/>
      <c r="M7" s="1997"/>
      <c r="N7" s="1997"/>
      <c r="O7" s="1997"/>
      <c r="P7" s="1997"/>
      <c r="Q7" s="1997"/>
      <c r="R7" s="1997"/>
      <c r="S7" s="199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8" t="s">
        <v>674</v>
      </c>
      <c r="J9" s="1999"/>
      <c r="K9" s="1999"/>
      <c r="L9" s="1999"/>
      <c r="M9" s="1999"/>
      <c r="N9" s="1999"/>
      <c r="O9" s="1999"/>
      <c r="P9" s="1999"/>
      <c r="Q9" s="1999"/>
      <c r="R9" s="1999"/>
      <c r="S9" s="2000"/>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87"/>
      <c r="V10" s="1987"/>
      <c r="W10" s="1987"/>
      <c r="X10" s="1987"/>
      <c r="Y10" s="1987"/>
      <c r="Z10" s="1987"/>
      <c r="AA10" s="1988"/>
    </row>
    <row r="11" spans="1:28" ht="14.25" customHeight="1" x14ac:dyDescent="0.2">
      <c r="A11" s="2013" t="s">
        <v>955</v>
      </c>
      <c r="B11" s="2014"/>
      <c r="C11" s="2014"/>
      <c r="D11" s="2014"/>
      <c r="E11" s="2014"/>
      <c r="F11" s="2014"/>
      <c r="G11" s="2014"/>
      <c r="H11" s="2015"/>
      <c r="I11" s="27"/>
      <c r="J11" s="74"/>
      <c r="K11" s="27"/>
      <c r="O11" s="148" t="s">
        <v>2073</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17053435004</v>
      </c>
      <c r="B13" s="2018"/>
      <c r="C13" s="2018"/>
      <c r="D13" s="2018"/>
      <c r="E13" s="2018"/>
      <c r="F13" s="2018"/>
      <c r="G13" s="2018"/>
      <c r="H13" s="2019"/>
      <c r="I13" s="31"/>
      <c r="J13" s="30"/>
      <c r="K13" s="28"/>
      <c r="L13" s="30"/>
      <c r="M13" s="30"/>
      <c r="N13" s="30"/>
      <c r="O13" s="30"/>
      <c r="P13" s="30"/>
      <c r="Q13" s="30"/>
      <c r="R13" s="30"/>
      <c r="S13" s="30"/>
      <c r="T13" s="2022" t="s">
        <v>2064</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2075</v>
      </c>
      <c r="B15" s="2020"/>
      <c r="C15" s="2020"/>
      <c r="D15" s="2020"/>
      <c r="E15" s="2020"/>
      <c r="F15" s="2020"/>
      <c r="G15" s="2020"/>
      <c r="H15" s="2021"/>
      <c r="T15" s="2026" t="s">
        <v>2065</v>
      </c>
      <c r="U15" s="1971"/>
      <c r="V15" s="1971"/>
      <c r="W15" s="1971"/>
      <c r="X15" s="1971"/>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6" t="s">
        <v>2074</v>
      </c>
      <c r="B17" s="2020"/>
      <c r="C17" s="2020"/>
      <c r="D17" s="2020"/>
      <c r="E17" s="2020"/>
      <c r="F17" s="2020"/>
      <c r="G17" s="2020"/>
      <c r="H17" s="2021"/>
      <c r="T17" s="2033" t="s">
        <v>2066</v>
      </c>
      <c r="U17" s="2034"/>
      <c r="V17" s="2034"/>
      <c r="W17" s="2034"/>
      <c r="X17" s="2034"/>
      <c r="Y17" s="2034"/>
      <c r="Z17" s="2034"/>
      <c r="AA17" s="2035"/>
    </row>
    <row r="18" spans="1:27" ht="13.5" customHeight="1" x14ac:dyDescent="0.2">
      <c r="A18" s="85" t="s">
        <v>530</v>
      </c>
      <c r="B18" s="76"/>
      <c r="C18" s="72"/>
      <c r="D18" s="76"/>
      <c r="E18" s="76"/>
      <c r="F18" s="76"/>
      <c r="G18" s="76"/>
      <c r="H18" s="56"/>
      <c r="I18" s="199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6" t="s">
        <v>2076</v>
      </c>
      <c r="B19" s="1963"/>
      <c r="C19" s="1963"/>
      <c r="D19" s="1963"/>
      <c r="E19" s="1963"/>
      <c r="F19" s="1963"/>
      <c r="G19" s="1963"/>
      <c r="H19" s="1943"/>
      <c r="I19" s="30"/>
      <c r="J19" s="99"/>
      <c r="K19" s="40"/>
      <c r="L19" s="38"/>
      <c r="M19" s="112" t="s">
        <v>315</v>
      </c>
      <c r="P19" s="27"/>
      <c r="Q19" s="27"/>
      <c r="R19" s="27"/>
      <c r="S19" s="31"/>
      <c r="T19" s="2016" t="s">
        <v>2067</v>
      </c>
      <c r="U19" s="1942"/>
      <c r="V19" s="1942"/>
      <c r="W19" s="1943"/>
      <c r="X19" s="2031" t="s">
        <v>2068</v>
      </c>
      <c r="Y19" s="2032"/>
      <c r="Z19" s="2029">
        <v>60450</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2077</v>
      </c>
      <c r="B21" s="1942"/>
      <c r="C21" s="1942"/>
      <c r="D21" s="1942"/>
      <c r="E21" s="1942"/>
      <c r="F21" s="1942"/>
      <c r="G21" s="1942"/>
      <c r="H21" s="1943"/>
      <c r="I21" s="1986" t="s">
        <v>678</v>
      </c>
      <c r="J21" s="1987"/>
      <c r="K21" s="1987"/>
      <c r="L21" s="1987"/>
      <c r="M21" s="1987"/>
      <c r="N21" s="1987"/>
      <c r="O21" s="1987"/>
      <c r="P21" s="1987"/>
      <c r="Q21" s="1987"/>
      <c r="R21" s="1987"/>
      <c r="S21" s="1988"/>
      <c r="T21" s="2040" t="s">
        <v>2069</v>
      </c>
      <c r="U21" s="2041"/>
      <c r="V21" s="2041"/>
      <c r="W21" s="2041"/>
      <c r="X21" s="2046" t="s">
        <v>2070</v>
      </c>
      <c r="Y21" s="2047"/>
      <c r="Z21" s="2047"/>
      <c r="AA21" s="2048"/>
    </row>
    <row r="22" spans="1:27" ht="13.5" customHeight="1" x14ac:dyDescent="0.2">
      <c r="A22" s="87" t="s">
        <v>531</v>
      </c>
      <c r="B22" s="59"/>
      <c r="C22" s="59"/>
      <c r="D22" s="59"/>
      <c r="E22" s="59"/>
      <c r="F22" s="59"/>
      <c r="G22" s="59"/>
      <c r="H22" s="60"/>
      <c r="I22" s="1989" t="s">
        <v>1429</v>
      </c>
      <c r="J22" s="1990"/>
      <c r="K22" s="1990"/>
      <c r="L22" s="1990"/>
      <c r="M22" s="1990"/>
      <c r="N22" s="1990"/>
      <c r="O22" s="1990"/>
      <c r="P22" s="1990"/>
      <c r="Q22" s="1990"/>
      <c r="R22" s="1990"/>
      <c r="S22" s="1991"/>
      <c r="T22" s="85" t="s">
        <v>1516</v>
      </c>
      <c r="U22" s="51"/>
      <c r="V22" s="72"/>
      <c r="W22" s="51"/>
      <c r="X22" s="160" t="s">
        <v>1318</v>
      </c>
      <c r="Z22" s="45"/>
      <c r="AA22" s="46"/>
    </row>
    <row r="23" spans="1:27" ht="13.5" customHeight="1" x14ac:dyDescent="0.2">
      <c r="A23" s="1983" t="s">
        <v>2078</v>
      </c>
      <c r="B23" s="1984"/>
      <c r="C23" s="1984"/>
      <c r="D23" s="1984"/>
      <c r="E23" s="1984"/>
      <c r="F23" s="1984"/>
      <c r="G23" s="1984"/>
      <c r="H23" s="1985"/>
      <c r="T23" s="1977" t="s">
        <v>2071</v>
      </c>
      <c r="U23" s="2039"/>
      <c r="V23" s="2039"/>
      <c r="W23" s="2039"/>
      <c r="X23" s="2043">
        <v>43799</v>
      </c>
      <c r="Y23" s="2044"/>
      <c r="Z23" s="2044"/>
      <c r="AA23" s="2045"/>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60460</v>
      </c>
      <c r="B25" s="1942"/>
      <c r="C25" s="1942"/>
      <c r="D25" s="1942"/>
      <c r="E25" s="1942"/>
      <c r="F25" s="1942"/>
      <c r="G25" s="1942"/>
      <c r="H25" s="1943"/>
      <c r="I25" s="113"/>
      <c r="J25" s="1966"/>
      <c r="K25" s="1966"/>
      <c r="L25" s="1966"/>
      <c r="M25" s="1966"/>
      <c r="N25" s="1966"/>
      <c r="O25" s="1966"/>
      <c r="P25" s="1966"/>
      <c r="Q25" s="1966"/>
      <c r="R25" s="1966"/>
      <c r="S25" s="1967"/>
      <c r="T25" s="2036" t="s">
        <v>2072</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2079</v>
      </c>
      <c r="B38" s="1978"/>
      <c r="C38" s="1978"/>
      <c r="D38" s="1978"/>
      <c r="E38" s="1978"/>
      <c r="F38" s="1942"/>
      <c r="G38" s="1942"/>
      <c r="H38" s="1943"/>
      <c r="I38" s="1970"/>
      <c r="J38" s="1971"/>
      <c r="K38" s="1971"/>
      <c r="L38" s="1971"/>
      <c r="M38" s="1971"/>
      <c r="N38" s="1971"/>
      <c r="O38" s="1971"/>
      <c r="P38" s="1972"/>
      <c r="Q38" s="1972"/>
      <c r="R38" s="1972"/>
      <c r="S38" s="1973"/>
      <c r="T38" s="2026"/>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2078</v>
      </c>
      <c r="B40" s="1956"/>
      <c r="C40" s="1957"/>
      <c r="D40" s="1957"/>
      <c r="E40" s="1957"/>
      <c r="F40" s="1958"/>
      <c r="G40" s="1958"/>
      <c r="H40" s="1959"/>
      <c r="I40" s="1980"/>
      <c r="J40" s="1981"/>
      <c r="K40" s="1981"/>
      <c r="L40" s="1981"/>
      <c r="M40" s="1981"/>
      <c r="N40" s="1981"/>
      <c r="O40" s="1981"/>
      <c r="P40" s="1981"/>
      <c r="Q40" s="1981"/>
      <c r="R40" s="1981"/>
      <c r="S40" s="1982"/>
      <c r="T40" s="1980"/>
      <c r="U40" s="2042"/>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2080</v>
      </c>
      <c r="B42" s="1961"/>
      <c r="C42" s="1962"/>
      <c r="D42" s="1960" t="s">
        <v>2081</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17:H17"/>
    <mergeCell ref="A23:H23"/>
    <mergeCell ref="I21:S21"/>
    <mergeCell ref="I22:S22"/>
    <mergeCell ref="I18:S18"/>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15" sqref="E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1949</v>
      </c>
      <c r="C2" s="714" t="s">
        <v>1950</v>
      </c>
      <c r="D2" s="714" t="s">
        <v>1951</v>
      </c>
      <c r="E2" s="714" t="s">
        <v>1952</v>
      </c>
      <c r="F2" s="714" t="s">
        <v>1953</v>
      </c>
    </row>
    <row r="3" spans="1:6" ht="12" customHeight="1" x14ac:dyDescent="0.2">
      <c r="A3" s="2183"/>
      <c r="B3" s="1525"/>
      <c r="C3" s="1526"/>
      <c r="D3" s="1527" t="s">
        <v>256</v>
      </c>
      <c r="E3" s="1526"/>
      <c r="F3" s="1527" t="s">
        <v>257</v>
      </c>
    </row>
    <row r="4" spans="1:6" ht="13.7" customHeight="1" x14ac:dyDescent="0.2">
      <c r="A4" s="715" t="s">
        <v>1155</v>
      </c>
      <c r="B4" s="1749">
        <f>'Revenues 9-14'!C5</f>
        <v>715008</v>
      </c>
      <c r="C4" s="1524"/>
      <c r="D4" s="1752">
        <f>B4-C4</f>
        <v>715008</v>
      </c>
      <c r="E4" s="1524">
        <v>735001</v>
      </c>
      <c r="F4" s="1752">
        <f>E4-C4</f>
        <v>735001</v>
      </c>
    </row>
    <row r="5" spans="1:6" ht="13.7" customHeight="1" x14ac:dyDescent="0.2">
      <c r="A5" s="715" t="s">
        <v>870</v>
      </c>
      <c r="B5" s="1750">
        <f>'Revenues 9-14'!D5</f>
        <v>79949</v>
      </c>
      <c r="C5" s="585"/>
      <c r="D5" s="1753">
        <f t="shared" ref="D5:D18" si="0">B5-C5</f>
        <v>79949</v>
      </c>
      <c r="E5" s="585">
        <v>95001</v>
      </c>
      <c r="F5" s="1753">
        <f>E5-C5</f>
        <v>95001</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18488</v>
      </c>
      <c r="C7" s="585"/>
      <c r="D7" s="1753">
        <f t="shared" si="0"/>
        <v>18488</v>
      </c>
      <c r="E7" s="585">
        <v>18503</v>
      </c>
      <c r="F7" s="1753">
        <f t="shared" si="1"/>
        <v>18503</v>
      </c>
    </row>
    <row r="8" spans="1:6" ht="13.7" customHeight="1" x14ac:dyDescent="0.2">
      <c r="A8" s="715" t="s">
        <v>1179</v>
      </c>
      <c r="B8" s="1750">
        <f>'Revenues 9-14'!G5</f>
        <v>52956</v>
      </c>
      <c r="C8" s="585"/>
      <c r="D8" s="1753">
        <f t="shared" si="0"/>
        <v>52956</v>
      </c>
      <c r="E8" s="585">
        <v>28503</v>
      </c>
      <c r="F8" s="1753">
        <f t="shared" si="1"/>
        <v>28503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10997</v>
      </c>
      <c r="C10" s="585"/>
      <c r="D10" s="1753">
        <f t="shared" si="0"/>
        <v>10997</v>
      </c>
      <c r="E10" s="585">
        <v>11002</v>
      </c>
      <c r="F10" s="1753">
        <f t="shared" si="1"/>
        <v>11002</v>
      </c>
    </row>
    <row r="11" spans="1:6" x14ac:dyDescent="0.2">
      <c r="A11" s="715" t="s">
        <v>409</v>
      </c>
      <c r="B11" s="1750">
        <f>'Revenues 9-14'!J5</f>
        <v>35978</v>
      </c>
      <c r="C11" s="585"/>
      <c r="D11" s="1753">
        <f t="shared" si="0"/>
        <v>35978</v>
      </c>
      <c r="E11" s="585">
        <v>36003</v>
      </c>
      <c r="F11" s="1753">
        <f t="shared" si="1"/>
        <v>36003</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10997</v>
      </c>
      <c r="C14" s="585"/>
      <c r="D14" s="1753">
        <f t="shared" si="0"/>
        <v>10997</v>
      </c>
      <c r="E14" s="585">
        <v>11002</v>
      </c>
      <c r="F14" s="1753">
        <f t="shared" si="1"/>
        <v>11002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14</v>
      </c>
      <c r="C16" s="585"/>
      <c r="D16" s="1753">
        <f t="shared" si="0"/>
        <v>14</v>
      </c>
      <c r="E16" s="585">
        <v>30000</v>
      </c>
      <c r="F16" s="1753">
        <f t="shared" si="1"/>
        <v>30000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924387</v>
      </c>
      <c r="C19" s="1751">
        <f>SUM(C4:C18)</f>
        <v>0</v>
      </c>
      <c r="D19" s="1751">
        <f>SUM(D4:D18)</f>
        <v>924387</v>
      </c>
      <c r="E19" s="1751">
        <f>SUM(E4:E18)</f>
        <v>965015</v>
      </c>
      <c r="F19" s="1751">
        <f>SUM(F4:F18)</f>
        <v>965015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2"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1954</v>
      </c>
      <c r="D2" s="723" t="s">
        <v>1955</v>
      </c>
      <c r="E2" s="723" t="s">
        <v>1956</v>
      </c>
      <c r="F2" s="1884" t="s">
        <v>1957</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2083</v>
      </c>
      <c r="B31" s="733">
        <v>41548</v>
      </c>
      <c r="C31" s="734">
        <v>522000</v>
      </c>
      <c r="D31" s="735">
        <v>3</v>
      </c>
      <c r="E31" s="734">
        <v>230000</v>
      </c>
      <c r="F31" s="734">
        <v>0</v>
      </c>
      <c r="G31" s="734"/>
      <c r="H31" s="734">
        <v>80000</v>
      </c>
      <c r="I31" s="1756">
        <f>((E31+F31)-H31)+G31</f>
        <v>150000</v>
      </c>
      <c r="J31" s="734">
        <v>141581</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522000</v>
      </c>
      <c r="D49" s="745"/>
      <c r="E49" s="1756">
        <f t="shared" ref="E49:J49" si="2">SUM(E31:E48)</f>
        <v>230000</v>
      </c>
      <c r="F49" s="1756">
        <f t="shared" si="2"/>
        <v>0</v>
      </c>
      <c r="G49" s="1756">
        <f t="shared" si="2"/>
        <v>0</v>
      </c>
      <c r="H49" s="1756">
        <f t="shared" si="2"/>
        <v>80000</v>
      </c>
      <c r="I49" s="1756">
        <f t="shared" si="2"/>
        <v>150000</v>
      </c>
      <c r="J49" s="1756">
        <f t="shared" si="2"/>
        <v>141581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J20" sqref="J2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1962</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10997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74995</v>
      </c>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10997</v>
      </c>
      <c r="I12" s="1758">
        <f>SUM(I5:I11)</f>
        <v>0</v>
      </c>
      <c r="J12" s="1758">
        <f>SUM(J5:J11)</f>
        <v>74995</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10997</v>
      </c>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v>6175</v>
      </c>
      <c r="K18" s="795"/>
    </row>
    <row r="19" spans="1:11" ht="21.75" customHeight="1" x14ac:dyDescent="0.2">
      <c r="A19" s="2225" t="s">
        <v>1809</v>
      </c>
      <c r="B19" s="2225"/>
      <c r="C19" s="2225"/>
      <c r="D19" s="2225"/>
      <c r="E19" s="2226"/>
      <c r="F19" s="789" t="s">
        <v>933</v>
      </c>
      <c r="G19" s="782"/>
      <c r="H19" s="782"/>
      <c r="I19" s="782"/>
      <c r="J19" s="765">
        <v>68820</v>
      </c>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74995</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10997</v>
      </c>
      <c r="I23" s="1758">
        <f>SUM(I14:I16,I21,I22)</f>
        <v>0</v>
      </c>
      <c r="J23" s="1758">
        <f>SUM(J14:J16,J21,J22)</f>
        <v>74995</v>
      </c>
      <c r="K23" s="1758">
        <f>SUM(K14:K16,K21,K22)</f>
        <v>0</v>
      </c>
    </row>
    <row r="24" spans="1:11" ht="14.25" thickTop="1" thickBot="1" x14ac:dyDescent="0.25">
      <c r="A24" s="2247" t="s">
        <v>1963</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Normal="100" workbookViewId="0">
      <selection activeCell="H25" sqref="H2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61564</v>
      </c>
      <c r="D5" s="841"/>
      <c r="E5" s="841"/>
      <c r="F5" s="1760">
        <f>(C5+D5)-E5</f>
        <v>61564</v>
      </c>
      <c r="G5" s="837"/>
      <c r="H5" s="842"/>
      <c r="I5" s="842"/>
      <c r="J5" s="842"/>
      <c r="K5" s="793"/>
      <c r="L5" s="1769">
        <f>F5-K5</f>
        <v>61564</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3332089</v>
      </c>
      <c r="D8" s="844"/>
      <c r="E8" s="844"/>
      <c r="F8" s="1760">
        <f>(C8+D8)-E8</f>
        <v>3332089</v>
      </c>
      <c r="G8" s="843">
        <v>50</v>
      </c>
      <c r="H8" s="765">
        <v>1515023</v>
      </c>
      <c r="I8" s="765">
        <v>66053</v>
      </c>
      <c r="J8" s="765"/>
      <c r="K8" s="1769">
        <f>(H8+I8)-J8</f>
        <v>1581076</v>
      </c>
      <c r="L8" s="1769">
        <f>F8-K8</f>
        <v>1751013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66940</v>
      </c>
      <c r="D10" s="846"/>
      <c r="E10" s="846"/>
      <c r="F10" s="1764">
        <f>(C10+D10)-E10</f>
        <v>66940</v>
      </c>
      <c r="G10" s="843">
        <v>20</v>
      </c>
      <c r="H10" s="847">
        <v>46194</v>
      </c>
      <c r="I10" s="847">
        <v>1776</v>
      </c>
      <c r="J10" s="847"/>
      <c r="K10" s="1769">
        <f>(H10+I10)-J10</f>
        <v>47970</v>
      </c>
      <c r="L10" s="1769">
        <f>F10-K10</f>
        <v>18970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333774</v>
      </c>
      <c r="D12" s="844">
        <v>19334</v>
      </c>
      <c r="E12" s="844"/>
      <c r="F12" s="1760">
        <f>(C12+D12)-E12</f>
        <v>353108</v>
      </c>
      <c r="G12" s="843">
        <v>10</v>
      </c>
      <c r="H12" s="765">
        <v>329710</v>
      </c>
      <c r="I12" s="765">
        <v>9941</v>
      </c>
      <c r="J12" s="765"/>
      <c r="K12" s="1769">
        <f>(H12+I12)-J12</f>
        <v>339651</v>
      </c>
      <c r="L12" s="1769">
        <f>F12-K12</f>
        <v>13457</v>
      </c>
    </row>
    <row r="13" spans="1:14" ht="14.25" thickTop="1" thickBot="1" x14ac:dyDescent="0.25">
      <c r="A13" s="848" t="s">
        <v>1122</v>
      </c>
      <c r="B13" s="840">
        <v>252</v>
      </c>
      <c r="C13" s="844">
        <v>288334</v>
      </c>
      <c r="D13" s="844">
        <v>88911</v>
      </c>
      <c r="E13" s="844"/>
      <c r="F13" s="1760">
        <f>(C13+D13)-E13</f>
        <v>377245</v>
      </c>
      <c r="G13" s="843">
        <v>5</v>
      </c>
      <c r="H13" s="765">
        <v>214031</v>
      </c>
      <c r="I13" s="765">
        <v>34961</v>
      </c>
      <c r="J13" s="765"/>
      <c r="K13" s="1769">
        <f>(H13+I13)-J13</f>
        <v>248992</v>
      </c>
      <c r="L13" s="1769">
        <f>F13-K13</f>
        <v>128253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4082701</v>
      </c>
      <c r="D16" s="1760">
        <f>SUM(D3,D5:D6,D8:D10,D12:D15)</f>
        <v>108245</v>
      </c>
      <c r="E16" s="1760">
        <f>SUM(E3,E5:E6,E8:E10,E12:E15)</f>
        <v>0</v>
      </c>
      <c r="F16" s="1760">
        <f>SUM(F3,F5:F6,F8:F10,F12:F15)</f>
        <v>4190946</v>
      </c>
      <c r="G16" s="843"/>
      <c r="H16" s="1760">
        <f>SUM(H3,H6,H8:H10,H12:H14,)</f>
        <v>2104958</v>
      </c>
      <c r="I16" s="1760">
        <f>SUM(I3,I6,I8:I10,I12:I14,)</f>
        <v>112731</v>
      </c>
      <c r="J16" s="1760">
        <f>SUM(J3,J6,J8:J10,J12:J14,)</f>
        <v>0</v>
      </c>
      <c r="K16" s="1760">
        <f>(H16+I16)-J16</f>
        <v>2217689</v>
      </c>
      <c r="L16" s="1760">
        <f>F16-K16</f>
        <v>1973257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112731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6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1973</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1825315</v>
      </c>
      <c r="G8" s="865"/>
    </row>
    <row r="9" spans="1:7" x14ac:dyDescent="0.2">
      <c r="A9" s="869" t="s">
        <v>460</v>
      </c>
      <c r="B9" s="870" t="s">
        <v>1876</v>
      </c>
      <c r="C9" s="871"/>
      <c r="D9" s="869" t="s">
        <v>501</v>
      </c>
      <c r="E9" s="868"/>
      <c r="F9" s="1909">
        <f>'Expenditures 15-22'!K151</f>
        <v>173558</v>
      </c>
      <c r="G9" s="872"/>
    </row>
    <row r="10" spans="1:7" x14ac:dyDescent="0.2">
      <c r="A10" s="869" t="s">
        <v>499</v>
      </c>
      <c r="B10" s="870" t="s">
        <v>1877</v>
      </c>
      <c r="C10" s="871"/>
      <c r="D10" s="869" t="s">
        <v>501</v>
      </c>
      <c r="E10" s="868"/>
      <c r="F10" s="1909">
        <f>'Expenditures 15-22'!K174</f>
        <v>86175</v>
      </c>
      <c r="G10" s="872"/>
    </row>
    <row r="11" spans="1:7" x14ac:dyDescent="0.2">
      <c r="A11" s="869" t="s">
        <v>461</v>
      </c>
      <c r="B11" s="870" t="s">
        <v>1878</v>
      </c>
      <c r="C11" s="871"/>
      <c r="D11" s="869" t="s">
        <v>501</v>
      </c>
      <c r="E11" s="868"/>
      <c r="F11" s="1909">
        <f>'Expenditures 15-22'!K210</f>
        <v>211567</v>
      </c>
      <c r="G11" s="872"/>
    </row>
    <row r="12" spans="1:7" x14ac:dyDescent="0.2">
      <c r="A12" s="869" t="s">
        <v>462</v>
      </c>
      <c r="B12" s="870" t="s">
        <v>1879</v>
      </c>
      <c r="C12" s="871"/>
      <c r="D12" s="869" t="s">
        <v>501</v>
      </c>
      <c r="E12" s="868"/>
      <c r="F12" s="1909">
        <f>'Expenditures 15-22'!K295</f>
        <v>54234</v>
      </c>
      <c r="G12" s="872"/>
    </row>
    <row r="13" spans="1:7" x14ac:dyDescent="0.2">
      <c r="A13" s="869" t="s">
        <v>106</v>
      </c>
      <c r="B13" s="870" t="s">
        <v>1880</v>
      </c>
      <c r="C13" s="871"/>
      <c r="D13" s="869" t="s">
        <v>501</v>
      </c>
      <c r="E13" s="868"/>
      <c r="F13" s="1909">
        <f>'Expenditures 15-22'!K342</f>
        <v>35873</v>
      </c>
      <c r="G13" s="873"/>
    </row>
    <row r="14" spans="1:7" ht="12" customHeight="1" thickBot="1" x14ac:dyDescent="0.25">
      <c r="A14" s="1770"/>
      <c r="B14" s="1771"/>
      <c r="C14" s="1772"/>
      <c r="D14" s="1773" t="s">
        <v>501</v>
      </c>
      <c r="E14" s="1774" t="s">
        <v>958</v>
      </c>
      <c r="F14" s="1775">
        <f>SUM(F8:F13)</f>
        <v>2386722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82641</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841</v>
      </c>
      <c r="G52" s="865"/>
    </row>
    <row r="53" spans="1:7" x14ac:dyDescent="0.2">
      <c r="A53" s="869" t="s">
        <v>459</v>
      </c>
      <c r="B53" s="869" t="s">
        <v>1475</v>
      </c>
      <c r="C53" s="889">
        <f>'Expenditures 15-22'!B102</f>
        <v>4000</v>
      </c>
      <c r="D53" s="888" t="str">
        <f>'Expenditures 15-22'!A102</f>
        <v>Total Payments to Other Govt Units</v>
      </c>
      <c r="E53" s="868"/>
      <c r="F53" s="1913">
        <f>'Expenditures 15-22'!K102</f>
        <v>238851</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80000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86547</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2752</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491632</v>
      </c>
      <c r="G76" s="865"/>
    </row>
    <row r="77" spans="1:8" s="893" customFormat="1" ht="12" customHeight="1" thickTop="1" thickBot="1" x14ac:dyDescent="0.25">
      <c r="A77" s="1779"/>
      <c r="B77" s="1776"/>
      <c r="C77" s="1772"/>
      <c r="D77" s="1777" t="s">
        <v>1899</v>
      </c>
      <c r="E77" s="1774"/>
      <c r="F77" s="1780">
        <f>(F14-F76)</f>
        <v>1895090</v>
      </c>
      <c r="G77" s="869"/>
    </row>
    <row r="78" spans="1:8" s="893" customFormat="1" ht="12" customHeight="1" thickTop="1" x14ac:dyDescent="0.2">
      <c r="A78" s="1781"/>
      <c r="B78" s="1776"/>
      <c r="C78" s="1772"/>
      <c r="D78" s="1777" t="s">
        <v>2060</v>
      </c>
      <c r="E78" s="1774"/>
      <c r="F78" s="898">
        <v>123.3</v>
      </c>
      <c r="G78" s="899"/>
      <c r="H78" s="869"/>
    </row>
    <row r="79" spans="1:8" s="893" customFormat="1" ht="12" customHeight="1" thickBot="1" x14ac:dyDescent="0.25">
      <c r="A79" s="1782"/>
      <c r="B79" s="1776"/>
      <c r="C79" s="1772"/>
      <c r="D79" s="1777" t="s">
        <v>1900</v>
      </c>
      <c r="E79" s="1774" t="s">
        <v>958</v>
      </c>
      <c r="F79" s="1783">
        <f>IF(F78&gt;0,F77/F78," Complete Line 78")</f>
        <v>15369.748580697486</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9802</v>
      </c>
      <c r="G94" s="912"/>
    </row>
    <row r="95" spans="1:7" x14ac:dyDescent="0.2">
      <c r="A95" s="908" t="s">
        <v>140</v>
      </c>
      <c r="B95" s="908" t="s">
        <v>175</v>
      </c>
      <c r="C95" s="910">
        <v>1700</v>
      </c>
      <c r="D95" s="918" t="str">
        <f>'Revenues 9-14'!A82</f>
        <v>Total District/School Activity Income</v>
      </c>
      <c r="E95" s="906"/>
      <c r="F95" s="1789">
        <f>SUM('Revenues 9-14'!C82,'Revenues 9-14'!D82)</f>
        <v>6065</v>
      </c>
      <c r="G95" s="912"/>
    </row>
    <row r="96" spans="1:7" x14ac:dyDescent="0.2">
      <c r="A96" s="908" t="s">
        <v>459</v>
      </c>
      <c r="B96" s="908" t="s">
        <v>176</v>
      </c>
      <c r="C96" s="910">
        <f>'Revenues 9-14'!B84</f>
        <v>1811</v>
      </c>
      <c r="D96" s="911" t="str">
        <f>'Revenues 9-14'!A84</f>
        <v>Rentals - Regular Textbooks</v>
      </c>
      <c r="E96" s="906"/>
      <c r="F96" s="1789">
        <f>'Revenues 9-14'!C84</f>
        <v>4430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569</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82613</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1578</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25941</v>
      </c>
      <c r="G124" s="930"/>
    </row>
    <row r="125" spans="1:7" x14ac:dyDescent="0.2">
      <c r="A125" s="927" t="s">
        <v>664</v>
      </c>
      <c r="B125" s="927" t="s">
        <v>2021</v>
      </c>
      <c r="C125" s="932">
        <v>4200</v>
      </c>
      <c r="D125" s="929" t="str">
        <f>'Revenues 9-14'!A198</f>
        <v>Total Food Service</v>
      </c>
      <c r="E125" s="906"/>
      <c r="F125" s="1789">
        <f>SUM('Revenues 9-14'!C198,'Revenues 9-14'!G198)</f>
        <v>30296</v>
      </c>
      <c r="G125" s="930"/>
    </row>
    <row r="126" spans="1:7" x14ac:dyDescent="0.2">
      <c r="A126" s="927" t="s">
        <v>668</v>
      </c>
      <c r="B126" s="927" t="s">
        <v>2022</v>
      </c>
      <c r="C126" s="932">
        <v>4300</v>
      </c>
      <c r="D126" s="933" t="str">
        <f>'Revenues 9-14'!A204</f>
        <v>Total Title I</v>
      </c>
      <c r="E126" s="906"/>
      <c r="F126" s="1789">
        <f>SUM('Revenues 9-14'!C204,'Revenues 9-14'!D204,'Revenues 9-14'!F204,'Revenues 9-14'!G204)</f>
        <v>21971</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2569</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2056</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8417</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1236</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197543</v>
      </c>
    </row>
    <row r="175" spans="1:7" ht="12" customHeight="1" x14ac:dyDescent="0.2">
      <c r="A175" s="1770"/>
      <c r="B175" s="1784"/>
      <c r="C175" s="1785"/>
      <c r="D175" s="1786" t="s">
        <v>2055</v>
      </c>
      <c r="E175" s="1787"/>
      <c r="F175" s="1789">
        <f>'PCTC-OEPP 27-28'!F77-F174</f>
        <v>1697547</v>
      </c>
    </row>
    <row r="176" spans="1:7" ht="12" customHeight="1" x14ac:dyDescent="0.2">
      <c r="A176" s="1770"/>
      <c r="B176" s="1784"/>
      <c r="C176" s="1785"/>
      <c r="D176" s="1786" t="s">
        <v>1817</v>
      </c>
      <c r="E176" s="1787"/>
      <c r="F176" s="1789">
        <f>'Cap Outlay Deprec 26'!I18</f>
        <v>112731</v>
      </c>
    </row>
    <row r="177" spans="1:7" ht="12" customHeight="1" x14ac:dyDescent="0.2">
      <c r="A177" s="1770"/>
      <c r="B177" s="1784"/>
      <c r="C177" s="1785"/>
      <c r="D177" s="1786" t="s">
        <v>2056</v>
      </c>
      <c r="E177" s="1787"/>
      <c r="F177" s="1789">
        <f>F175+F176</f>
        <v>1810278</v>
      </c>
    </row>
    <row r="178" spans="1:7" ht="12" customHeight="1" x14ac:dyDescent="0.2">
      <c r="A178" s="1770"/>
      <c r="B178" s="1790"/>
      <c r="C178" s="1785"/>
      <c r="D178" s="1786" t="str">
        <f>D78</f>
        <v>9 Month ADA from District Average Daily Attendance/Prior General State Aid Inquiry 2018-2019</v>
      </c>
      <c r="E178" s="1787"/>
      <c r="F178" s="1791">
        <f>'PCTC-OEPP 27-28'!F78</f>
        <v>123.3</v>
      </c>
      <c r="G178" s="930"/>
    </row>
    <row r="179" spans="1:7" ht="12" customHeight="1" thickBot="1" x14ac:dyDescent="0.25">
      <c r="A179" s="1770"/>
      <c r="B179" s="1790"/>
      <c r="C179" s="1785"/>
      <c r="D179" s="1786" t="s">
        <v>2057</v>
      </c>
      <c r="E179" s="1787" t="s">
        <v>1545</v>
      </c>
      <c r="F179" s="1792">
        <f>F177/F178</f>
        <v>14681.897810218978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3" zoomScaleNormal="100" workbookViewId="0">
      <selection activeCell="B18" sqref="B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2063</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1974</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7" t="s">
        <v>2097</v>
      </c>
      <c r="B17" s="1938" t="s">
        <v>2091</v>
      </c>
      <c r="C17" s="1939" t="s">
        <v>2092</v>
      </c>
      <c r="D17" s="1940">
        <v>1507</v>
      </c>
      <c r="E17" s="1540">
        <f t="shared" ref="E17:E141" si="0">IF(D17&lt;=25000,D17,IF(D17&gt;25000,25000,0))</f>
        <v>1507</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1507</v>
      </c>
      <c r="G17" s="1793">
        <f>IF(F17=0,0,D17-F17)</f>
        <v>0</v>
      </c>
      <c r="H17" s="1647"/>
    </row>
    <row r="18" spans="1:8" x14ac:dyDescent="0.25">
      <c r="A18" s="1937" t="s">
        <v>2096</v>
      </c>
      <c r="B18" s="1938" t="s">
        <v>2093</v>
      </c>
      <c r="C18" s="1939" t="s">
        <v>2094</v>
      </c>
      <c r="D18" s="1940">
        <v>1291</v>
      </c>
      <c r="E18" s="1540">
        <f t="shared" ref="E18:E140" si="2">IF(D18&lt;=25000,D18,IF(D18&gt;25000,25000,0))</f>
        <v>1291</v>
      </c>
      <c r="F18" s="1932">
        <f t="shared" si="1"/>
        <v>0</v>
      </c>
      <c r="G18" s="1793">
        <f t="shared" ref="G18:G140" si="3">IF(F18=0,0,D18-F18)</f>
        <v>0</v>
      </c>
    </row>
    <row r="19" spans="1:8" x14ac:dyDescent="0.25">
      <c r="A19" s="1937"/>
      <c r="B19" s="1938"/>
      <c r="C19" s="1939"/>
      <c r="D19" s="1940"/>
      <c r="E19" s="1540" t="e">
        <f>IF(#REF!&lt;=25000,#REF!,IF(#REF!&gt;25000,25000,0))</f>
        <v>#REF!</v>
      </c>
      <c r="F19" s="1932" t="e">
        <f>IF(OR(#REF!="10-1000-100",#REF!="10-1000-200",#REF!="10-1000-300",#REF!="10-1000-400",#REF!="10-1000-600",#REF!="10-1000-800",#REF!="50-1000-200",#REF!="10-2100-100",#REF!="10-2100-200",#REF!="10-2100-300",#REF!="10-2100-400",#REF!="10-2100-600",#REF!="10-2100-800",#REF!="20-2100-100",#REF!="20-2100-200",#REF!="20-2100-300",#REF!="20-2100-400",#REF!="20-2100-600",#REF!="20-2100-800",#REF!="40-2100-100",#REF!="40-2100-200",#REF!="40-2100-300",#REF!="40-2100-400",#REF!="40-2100-600",#REF!="40-2100-800",#REF!="50-2100-200",#REF!="10-2200-100",#REF!="10-2200-200",#REF!="10-2200-300",#REF!="10-2200-400",#REF!="10-2200-600",#REF!="10-2200-800",#REF!="50-2200-200",#REF!="10-2300-100",#REF!="10-2300-200",#REF!="10-2300-300",#REF!="10-2300-400",#REF!="10-2300-600",#REF!="10-2300-800",#REF!="50-2300-200",#REF!="80-2300-100",#REF!="80-2300-200",#REF!="80-2300-300",#REF!="80-2300-400",#REF!="80-2300-600",#REF!="80-2300-800",#REF!="10-2400-100",#REF!="10-2400-200",#REF!="10-2400-300",#REF!="10-2400-400",#REF!="10-2400-600",#REF!="10-2400-800",#REF!="50-2400-200",#REF!="10-2510-100",#REF!="10-2510-200",#REF!="10-2510-300",#REF!="10-2510-400",#REF!="10-2510-600",#REF!="10-2510-800",#REF!="20-2510-100",#REF!="20-2510-200",#REF!="20-2510-300",#REF!="20-2510-400",#REF!="20-2510-600",#REF!="20-2510-800",#REF!="50-2510-200",#REF!="10-2520-100",#REF!="10-2520-200",#REF!="10-2520-300",#REF!="10-2520-400",#REF!="10-2520-600",#REF!="10-2520-800",#REF!="50-2520-200",#REF!="10-2540-100",#REF!="10-2540-200",#REF!="10-2540-300",#REF!="10-2540-400",#REF!="10-2540-600",#REF!="10-2540-800",#REF!="20-2540-100",#REF!="20-2540-200",#REF!="20-2540-300",#REF!="20-2540-400",#REF!="20-2540-600",#REF!="20-2540-800",#REF!="50-2540-200",#REF!="10-2550-100",#REF!="10-2550-200",#REF!="10-2550-300",#REF!="10-2550-400",#REF!="10-2550-600",#REF!="10-2550-800",#REF!="20-2550-100",#REF!="20-2550-200",#REF!="20-2550-300",#REF!="20-2550-400",#REF!="20-2550-600",#REF!="20-2550-800",#REF!="40-2550-100",#REF!="40-2550-200",#REF!="40-2550-300",#REF!="40-2550-400",#REF!="40-2550-600",#REF!="40-2550-800",#REF!="50-2550-200",#REF!="10-2560-100",#REF!="10-2560-200",#REF!="10-2560-300",#REF!="10-2560-400",#REF!="10-2560-600",#REF!="10-2560-800",#REF!="50-2560-200",#REF!="10-2570-100",#REF!="10-2570-200",#REF!="10-2570-300",#REF!="10-2570-400",#REF!="10-2570-600",#REF!="10-2570-800",#REF!="50-2570-200",#REF!="10-2610-100",#REF!="10-2610-200",#REF!="10-2610-300",#REF!="10-2610-400",#REF!="10-2610-600",#REF!="10-2610-800",#REF!="50-2610-200",#REF!="10-2620-100",#REF!="10-2620-200",#REF!="10-2620-300",#REF!="10-2620-400",#REF!="10-2620-600",#REF!="10-2620-800",#REF!="50-2620-200",#REF!="10-2630-100",#REF!="10-2630-200",#REF!="10-2630-300",#REF!="10-2630-400",#REF!="10-2630-600",#REF!="10-2630-800",#REF!="50-2630-200",#REF!="10-2640-100",#REF!="10-2640-200",#REF!="10-2640-300",#REF!="10-2640-400",#REF!="10-2640-600",#REF!="10-2640-800",#REF!="50-2640-200",#REF!="10-2660-100",#REF!="10-2660-200",#REF!="10-2660-300",#REF!="10-2660-400",#REF!="10-2660-600",#REF!="10-2660-800",#REF!="50-2660-200",#REF!="10-2900-100",#REF!="10-2900-200",#REF!="10-2900-300",#REF!="10-2900-400",#REF!="10-2900-600",#REF!="10-2900-800",#REF!="20-2900-100",#REF!="20-2900-200",#REF!="20-2900-300",#REF!="20-2900-400",#REF!="20-2900-600",#REF!="20-2900-800",#REF!="40-2900-100",#REF!="40-2900-200",#REF!="40-2900-300",#REF!="40-2900-400",#REF!="40-2900-600",#REF!="40-2900-800",#REF!="50-2900-200",#REF!="10-3000-100",#REF!="10-3000-200",#REF!="10-3000-300",#REF!="10-3000-400",#REF!="10-3000-600",#REF!="10-3000-800",#REF!="20-3000-100",#REF!="20-3000-200",#REF!="20-3000-300",#REF!="20-3000-400",#REF!="20-3000-600",#REF!="20-3000-800",#REF!="40-3000-100",#REF!="40-3000-200",#REF!="40-3000-300",#REF!="40-3000-400",#REF!="40-3000-600",#REF!="40-3000-800",#REF!="50-3000-200"),E19,0)</f>
        <v>#REF!</v>
      </c>
      <c r="G19" s="1793" t="e">
        <f>IF(F19=0,0,#REF!-F19)</f>
        <v>#REF!</v>
      </c>
    </row>
    <row r="20" spans="1:8" x14ac:dyDescent="0.25">
      <c r="A20" s="1937"/>
      <c r="B20" s="1938"/>
      <c r="C20" s="1939"/>
      <c r="D20" s="1940"/>
      <c r="E20" s="1540" t="e">
        <f>IF(#REF!&lt;=25000,#REF!,IF(#REF!&gt;25000,25000,0))</f>
        <v>#REF!</v>
      </c>
      <c r="F20" s="1932" t="e">
        <f>IF(OR(#REF!="10-1000-100",#REF!="10-1000-200",#REF!="10-1000-300",#REF!="10-1000-400",#REF!="10-1000-600",#REF!="10-1000-800",#REF!="50-1000-200",#REF!="10-2100-100",#REF!="10-2100-200",#REF!="10-2100-300",#REF!="10-2100-400",#REF!="10-2100-600",#REF!="10-2100-800",#REF!="20-2100-100",#REF!="20-2100-200",#REF!="20-2100-300",#REF!="20-2100-400",#REF!="20-2100-600",#REF!="20-2100-800",#REF!="40-2100-100",#REF!="40-2100-200",#REF!="40-2100-300",#REF!="40-2100-400",#REF!="40-2100-600",#REF!="40-2100-800",#REF!="50-2100-200",#REF!="10-2200-100",#REF!="10-2200-200",#REF!="10-2200-300",#REF!="10-2200-400",#REF!="10-2200-600",#REF!="10-2200-800",#REF!="50-2200-200",#REF!="10-2300-100",#REF!="10-2300-200",#REF!="10-2300-300",#REF!="10-2300-400",#REF!="10-2300-600",#REF!="10-2300-800",#REF!="50-2300-200",#REF!="80-2300-100",#REF!="80-2300-200",#REF!="80-2300-300",#REF!="80-2300-400",#REF!="80-2300-600",#REF!="80-2300-800",#REF!="10-2400-100",#REF!="10-2400-200",#REF!="10-2400-300",#REF!="10-2400-400",#REF!="10-2400-600",#REF!="10-2400-800",#REF!="50-2400-200",#REF!="10-2510-100",#REF!="10-2510-200",#REF!="10-2510-300",#REF!="10-2510-400",#REF!="10-2510-600",#REF!="10-2510-800",#REF!="20-2510-100",#REF!="20-2510-200",#REF!="20-2510-300",#REF!="20-2510-400",#REF!="20-2510-600",#REF!="20-2510-800",#REF!="50-2510-200",#REF!="10-2520-100",#REF!="10-2520-200",#REF!="10-2520-300",#REF!="10-2520-400",#REF!="10-2520-600",#REF!="10-2520-800",#REF!="50-2520-200",#REF!="10-2540-100",#REF!="10-2540-200",#REF!="10-2540-300",#REF!="10-2540-400",#REF!="10-2540-600",#REF!="10-2540-800",#REF!="20-2540-100",#REF!="20-2540-200",#REF!="20-2540-300",#REF!="20-2540-400",#REF!="20-2540-600",#REF!="20-2540-800",#REF!="50-2540-200",#REF!="10-2550-100",#REF!="10-2550-200",#REF!="10-2550-300",#REF!="10-2550-400",#REF!="10-2550-600",#REF!="10-2550-800",#REF!="20-2550-100",#REF!="20-2550-200",#REF!="20-2550-300",#REF!="20-2550-400",#REF!="20-2550-600",#REF!="20-2550-800",#REF!="40-2550-100",#REF!="40-2550-200",#REF!="40-2550-300",#REF!="40-2550-400",#REF!="40-2550-600",#REF!="40-2550-800",#REF!="50-2550-200",#REF!="10-2560-100",#REF!="10-2560-200",#REF!="10-2560-300",#REF!="10-2560-400",#REF!="10-2560-600",#REF!="10-2560-800",#REF!="50-2560-200",#REF!="10-2570-100",#REF!="10-2570-200",#REF!="10-2570-300",#REF!="10-2570-400",#REF!="10-2570-600",#REF!="10-2570-800",#REF!="50-2570-200",#REF!="10-2610-100",#REF!="10-2610-200",#REF!="10-2610-300",#REF!="10-2610-400",#REF!="10-2610-600",#REF!="10-2610-800",#REF!="50-2610-200",#REF!="10-2620-100",#REF!="10-2620-200",#REF!="10-2620-300",#REF!="10-2620-400",#REF!="10-2620-600",#REF!="10-2620-800",#REF!="50-2620-200",#REF!="10-2630-100",#REF!="10-2630-200",#REF!="10-2630-300",#REF!="10-2630-400",#REF!="10-2630-600",#REF!="10-2630-800",#REF!="50-2630-200",#REF!="10-2640-100",#REF!="10-2640-200",#REF!="10-2640-300",#REF!="10-2640-400",#REF!="10-2640-600",#REF!="10-2640-800",#REF!="50-2640-200",#REF!="10-2660-100",#REF!="10-2660-200",#REF!="10-2660-300",#REF!="10-2660-400",#REF!="10-2660-600",#REF!="10-2660-800",#REF!="50-2660-200",#REF!="10-2900-100",#REF!="10-2900-200",#REF!="10-2900-300",#REF!="10-2900-400",#REF!="10-2900-600",#REF!="10-2900-800",#REF!="20-2900-100",#REF!="20-2900-200",#REF!="20-2900-300",#REF!="20-2900-400",#REF!="20-2900-600",#REF!="20-2900-800",#REF!="40-2900-100",#REF!="40-2900-200",#REF!="40-2900-300",#REF!="40-2900-400",#REF!="40-2900-600",#REF!="40-2900-800",#REF!="50-2900-200",#REF!="10-3000-100",#REF!="10-3000-200",#REF!="10-3000-300",#REF!="10-3000-400",#REF!="10-3000-600",#REF!="10-3000-800",#REF!="20-3000-100",#REF!="20-3000-200",#REF!="20-3000-300",#REF!="20-3000-400",#REF!="20-3000-600",#REF!="20-3000-800",#REF!="40-3000-100",#REF!="40-3000-200",#REF!="40-3000-300",#REF!="40-3000-400",#REF!="40-3000-600",#REF!="40-3000-800",#REF!="50-3000-200"),E20,0)</f>
        <v>#REF!</v>
      </c>
      <c r="G20" s="1793" t="e">
        <f>IF(F20=0,0,#REF!-F20)</f>
        <v>#REF!</v>
      </c>
    </row>
    <row r="21" spans="1:8" ht="30" x14ac:dyDescent="0.25">
      <c r="A21" s="1937" t="s">
        <v>2097</v>
      </c>
      <c r="B21" s="1938" t="s">
        <v>2091</v>
      </c>
      <c r="C21" s="1939" t="s">
        <v>2095</v>
      </c>
      <c r="D21" s="1940">
        <v>1225</v>
      </c>
      <c r="E21" s="1540">
        <f>IF(D21&lt;=25000,D21,IF(D21&gt;25000,25000,0))</f>
        <v>1225</v>
      </c>
      <c r="F21" s="1932">
        <f>IF(OR(B21="10-1000-100",B21="10-1000-200",B21="10-1000-300",B21="10-1000-400",B21="10-1000-600",B21="10-1000-800",B21="50-1000-200",B21="10-2100-100",B21="10-2100-200",B21="10-2100-300",B21="10-2100-400",B21="10-2100-600",B21="10-2100-800",B21="20-2100-100",B21="20-2100-200",B21="20-2100-300",B21="20-2100-400",B21="20-2100-600",B21="20-2100-800",B21="40-2100-100",B21="40-2100-200",B21="40-2100-300",B21="40-2100-400",B21="40-2100-600",B21="40-2100-800",B21="50-2100-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10-2540-800",B21="20-2540-100",B21="20-2540-200",B21="20-2540-300",B21="20-2540-400",B21="20-2540-600",B21="20-2540-800",B21="50-2540-200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10-3000-100",B21="10-3000-200",B21="10-3000-300",B21="10-3000-400",B21="10-3000-600",B21="10-3000-800",B21="20-3000-100",B21="20-3000-200",B21="20-3000-300",B21="20-3000-400",B21="20-3000-600",B21="20-3000-800",B21="40-3000-100",B21="40-3000-200",B21="40-3000-300",B21="40-3000-400",B21="40-3000-600",B21="40-3000-800",B21="50-3000-200"),E21,0)</f>
        <v>1225</v>
      </c>
      <c r="G21" s="1793">
        <f>IF(F21=0,0,D21-F21)</f>
        <v>0</v>
      </c>
    </row>
    <row r="22" spans="1:8" ht="30" x14ac:dyDescent="0.25">
      <c r="A22" s="1937" t="s">
        <v>2097</v>
      </c>
      <c r="B22" s="1938" t="s">
        <v>2091</v>
      </c>
      <c r="C22" s="1939" t="s">
        <v>2098</v>
      </c>
      <c r="D22" s="1940">
        <v>5845</v>
      </c>
      <c r="E22" s="1540">
        <f>IF(D22&lt;=25000,D22,IF(D22&gt;25000,25000,0))</f>
        <v>5845</v>
      </c>
      <c r="F22" s="1932">
        <f>IF(OR(B22="10-1000-100",B22="10-1000-200",B22="10-1000-300",B22="10-1000-400",B22="10-1000-600",B22="10-1000-800",B22="50-1000-200",B22="10-2100-100",B22="10-2100-200",B22="10-2100-300",B22="10-2100-400",B22="10-2100-600",B22="10-2100-800",B22="20-2100-100",B22="20-2100-200",B22="20-2100-300",B22="20-2100-400",B22="20-2100-600",B22="20-2100-800",B22="40-2100-100",B22="40-2100-200",B22="40-2100-300",B22="40-2100-400",B22="40-2100-600",B22="40-2100-800",B22="50-2100-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10-2540-800",B22="20-2540-100",B22="20-2540-200",B22="20-2540-300",B22="20-2540-400",B22="20-2540-600",B22="20-2540-800",B22="50-2540-200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10-3000-100",B22="10-3000-200",B22="10-3000-300",B22="10-3000-400",B22="10-3000-600",B22="10-3000-800",B22="20-3000-100",B22="20-3000-200",B22="20-3000-300",B22="20-3000-400",B22="20-3000-600",B22="20-3000-800",B22="40-3000-100",B22="40-3000-200",B22="40-3000-300",B22="40-3000-400",B22="40-3000-600",B22="40-3000-800",B22="50-3000-200"),E22,0)</f>
        <v>5845</v>
      </c>
      <c r="G22" s="1793">
        <f>IF(F22=0,0,D22-F22)</f>
        <v>0</v>
      </c>
    </row>
    <row r="23" spans="1:8" ht="30" x14ac:dyDescent="0.25">
      <c r="A23" s="1937" t="s">
        <v>2097</v>
      </c>
      <c r="B23" s="1938" t="s">
        <v>2091</v>
      </c>
      <c r="C23" s="1939" t="s">
        <v>2099</v>
      </c>
      <c r="D23" s="1940">
        <v>2460</v>
      </c>
      <c r="E23" s="1540">
        <f>IF(D23&lt;=25000,D23,IF(D23&gt;25000,25000,0))</f>
        <v>2460</v>
      </c>
      <c r="F23" s="1932">
        <f>IF(OR(B23="10-1000-100",B23="10-1000-200",B23="10-1000-300",B23="10-1000-400",B23="10-1000-600",B23="10-1000-800",B23="50-1000-200",B23="10-2100-100",B23="10-2100-200",B23="10-2100-300",B23="10-2100-400",B23="10-2100-600",B23="10-2100-800",B23="20-2100-100",B23="20-2100-200",B23="20-2100-300",B23="20-2100-400",B23="20-2100-600",B23="20-2100-800",B23="40-2100-100",B23="40-2100-200",B23="40-2100-300",B23="40-2100-400",B23="40-2100-600",B23="40-2100-800",B23="50-2100-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10-2540-800",B23="20-2540-100",B23="20-2540-200",B23="20-2540-300",B23="20-2540-400",B23="20-2540-600",B23="20-2540-800",B23="50-2540-200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10-3000-100",B23="10-3000-200",B23="10-3000-300",B23="10-3000-400",B23="10-3000-600",B23="10-3000-800",B23="20-3000-100",B23="20-3000-200",B23="20-3000-300",B23="20-3000-400",B23="20-3000-600",B23="20-3000-800",B23="40-3000-100",B23="40-3000-200",B23="40-3000-300",B23="40-3000-400",B23="40-3000-600",B23="40-3000-800",B23="50-3000-200"),E23,0)</f>
        <v>2460</v>
      </c>
      <c r="G23" s="1793">
        <f>IF(F23=0,0,D23-F23)</f>
        <v>0</v>
      </c>
    </row>
    <row r="24" spans="1:8" x14ac:dyDescent="0.25">
      <c r="A24" s="1937"/>
      <c r="B24" s="1938"/>
      <c r="C24" s="1939"/>
      <c r="D24" s="1940"/>
      <c r="E24" s="1540">
        <f t="shared" si="2"/>
        <v>0</v>
      </c>
      <c r="F24" s="1932">
        <f t="shared" si="1"/>
        <v>0</v>
      </c>
      <c r="G24" s="1793">
        <f t="shared" si="3"/>
        <v>0</v>
      </c>
    </row>
    <row r="25" spans="1:8" x14ac:dyDescent="0.25">
      <c r="A25" s="1937"/>
      <c r="B25" s="1938"/>
      <c r="C25" s="1939"/>
      <c r="D25" s="1940"/>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12328</v>
      </c>
      <c r="E141" s="1541">
        <f t="shared" si="0"/>
        <v>12328</v>
      </c>
      <c r="F141" s="1933" t="e">
        <f>SUM(F17:F140)</f>
        <v>#REF!</v>
      </c>
      <c r="G141" s="1795" t="e">
        <f>SUM(G17:G140)</f>
        <v>#REF!</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0"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1975</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1089027</v>
      </c>
      <c r="F19" s="1799"/>
      <c r="G19" s="1801">
        <f>'Expenditures 15-22'!K33-SUM('Expenditures 15-22'!G33,'Expenditures 15-22'!I33)+'Expenditures 15-22'!D229</f>
        <v>1089027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98529</v>
      </c>
      <c r="F21" s="1802"/>
      <c r="G21" s="1805">
        <f>'Expenditures 15-22'!K42-SUM('Expenditures 15-22'!G42,'Expenditures 15-22'!I42)+'Expenditures 15-22'!K120-SUM('Expenditures 15-22'!G120,'Expenditures 15-22'!I120)+'Expenditures 15-22'!K180-SUM('Expenditures 15-22'!G180,'Expenditures 15-22'!I180)+'Expenditures 15-22'!D238</f>
        <v>98529</v>
      </c>
      <c r="H21" s="987"/>
      <c r="I21" s="162"/>
    </row>
    <row r="22" spans="1:9" s="668" customFormat="1" ht="12" customHeight="1" x14ac:dyDescent="0.2">
      <c r="A22" s="994" t="s">
        <v>564</v>
      </c>
      <c r="B22" s="995"/>
      <c r="C22" s="993">
        <v>2200</v>
      </c>
      <c r="D22" s="1802"/>
      <c r="E22" s="1804">
        <f>'Expenditures 15-22'!K47-SUM('Expenditures 15-22'!G47,'Expenditures 15-22'!I47)+'Expenditures 15-22'!D243</f>
        <v>74820</v>
      </c>
      <c r="F22" s="1802"/>
      <c r="G22" s="1805">
        <f>'Expenditures 15-22'!K47-SUM('Expenditures 15-22'!G47,'Expenditures 15-22'!I47)+'Expenditures 15-22'!D243</f>
        <v>74820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238164</v>
      </c>
      <c r="F23" s="1802"/>
      <c r="G23" s="1804">
        <f>'Expenditures 15-22'!K53-SUM('Expenditures 15-22'!G53,'Expenditures 15-22'!I53)+'Expenditures 15-22'!D257+'Expenditures 15-22'!K330-SUM('Expenditures 15-22'!G330,'Expenditures 15-22'!I330)</f>
        <v>238164</v>
      </c>
      <c r="H23" s="987"/>
      <c r="I23" s="162"/>
    </row>
    <row r="24" spans="1:9" s="668" customFormat="1" ht="12" customHeight="1" x14ac:dyDescent="0.2">
      <c r="A24" s="994" t="s">
        <v>566</v>
      </c>
      <c r="B24" s="995"/>
      <c r="C24" s="993">
        <v>2400</v>
      </c>
      <c r="D24" s="1802"/>
      <c r="E24" s="1804">
        <f>'Expenditures 15-22'!K57-SUM('Expenditures 15-22'!G57,'Expenditures 15-22'!I57)+'Expenditures 15-22'!D261</f>
        <v>72489</v>
      </c>
      <c r="F24" s="1802"/>
      <c r="G24" s="1805">
        <f>'Expenditures 15-22'!K57-SUM('Expenditures 15-22'!G57,'Expenditures 15-22'!I57)+'Expenditures 15-22'!D261</f>
        <v>72489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30916</v>
      </c>
      <c r="E27" s="1804">
        <f>E8</f>
        <v>0</v>
      </c>
      <c r="F27" s="1804">
        <f>'Expenditures 15-22'!K60-SUM('Expenditures 15-22'!G60,'Expenditures 15-22'!I60)+'Expenditures 15-22'!D264-E8</f>
        <v>30916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180501</v>
      </c>
      <c r="F28" s="1806">
        <f>'Expenditures 15-22'!K61-SUM('Expenditures 15-22'!G61,'Expenditures 15-22'!I61)+'Expenditures 15-22'!K124-SUM('Expenditures 15-22'!G124,'Expenditures 15-22'!I124)+'Expenditures 15-22'!D266-E9</f>
        <v>180501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133851</v>
      </c>
      <c r="F29" s="1802"/>
      <c r="G29" s="1805">
        <f>'Expenditures 15-22'!K62-SUM('Expenditures 15-22'!G62,'Expenditures 15-22'!I62)+'Expenditures 15-22'!K125-SUM('Expenditures 15-22'!G125,'Expenditures 15-22'!I125)+'Expenditures 15-22'!K182-SUM('Expenditures 15-22'!G182,'Expenditures 15-22'!I182)+'Expenditures 15-22'!D267</f>
        <v>133851</v>
      </c>
      <c r="H29" s="985"/>
    </row>
    <row r="30" spans="1:9" ht="12" customHeight="1" x14ac:dyDescent="0.2">
      <c r="A30" s="994" t="s">
        <v>100</v>
      </c>
      <c r="B30" s="997"/>
      <c r="C30" s="993">
        <v>2560</v>
      </c>
      <c r="D30" s="1802"/>
      <c r="E30" s="1804">
        <f>'Expenditures 15-22'!K63-SUM('Expenditures 15-22'!G63,'Expenditures 15-22'!I63)+'Expenditures 15-22'!D268-E10</f>
        <v>56011</v>
      </c>
      <c r="F30" s="1802"/>
      <c r="G30" s="1804">
        <f>'Expenditures 15-22'!K63-SUM('Expenditures 15-22'!G63,'Expenditures 15-22'!I63)+'Expenditures 15-22'!D268-E10</f>
        <v>56011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841</v>
      </c>
      <c r="F39" s="1802"/>
      <c r="G39" s="1804">
        <f>'Expenditures 15-22'!K75-SUM('Expenditures 15-22'!G75,'Expenditures 15-22'!I75)+'Expenditures 15-22'!K130-SUM('Expenditures 15-22'!G130,'Expenditures 15-22'!I130)+'Expenditures 15-22'!K185-SUM('Expenditures 15-22'!G185,'Expenditures 15-22'!I185)+'Expenditures 15-22'!D280</f>
        <v>841</v>
      </c>
    </row>
    <row r="40" spans="1:7" ht="12" customHeight="1" x14ac:dyDescent="0.2">
      <c r="A40" s="990" t="s">
        <v>1823</v>
      </c>
      <c r="B40" s="991"/>
      <c r="C40" s="993"/>
      <c r="D40" s="1802"/>
      <c r="E40" s="1806" t="e">
        <f>-'Contracts Paid in CY 29'!G141</f>
        <v>#REF!</v>
      </c>
      <c r="F40" s="1802"/>
      <c r="G40" s="1806" t="e">
        <f>-'Contracts Paid in CY 29'!G141</f>
        <v>#REF!</v>
      </c>
    </row>
    <row r="41" spans="1:7" ht="12" customHeight="1" x14ac:dyDescent="0.2">
      <c r="A41" s="998" t="s">
        <v>156</v>
      </c>
      <c r="B41" s="999"/>
      <c r="C41" s="1000"/>
      <c r="D41" s="1806">
        <f>SUM(D19:D39)</f>
        <v>30916</v>
      </c>
      <c r="E41" s="1806" t="e">
        <f>SUM(E19:E40)</f>
        <v>#REF!</v>
      </c>
      <c r="F41" s="1806">
        <f>SUM(F19:F39)</f>
        <v>211417</v>
      </c>
      <c r="G41" s="1806" t="e">
        <f>SUM(G19:G40)</f>
        <v>#REF!</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30916</v>
      </c>
      <c r="F43" s="1807" t="s">
        <v>473</v>
      </c>
      <c r="G43" s="1808">
        <f>F41</f>
        <v>211417</v>
      </c>
    </row>
    <row r="44" spans="1:7" ht="12" customHeight="1" x14ac:dyDescent="0.2">
      <c r="A44" s="987"/>
      <c r="B44" s="162"/>
      <c r="C44" s="1001"/>
      <c r="D44" s="1807" t="s">
        <v>474</v>
      </c>
      <c r="E44" s="1808" t="e">
        <f>E41</f>
        <v>#REF!</v>
      </c>
      <c r="F44" s="1807" t="s">
        <v>474</v>
      </c>
      <c r="G44" s="1808" t="e">
        <f>G41</f>
        <v>#REF!</v>
      </c>
    </row>
    <row r="45" spans="1:7" ht="12" customHeight="1" x14ac:dyDescent="0.2">
      <c r="A45" s="987"/>
      <c r="B45" s="162"/>
      <c r="C45" s="162"/>
      <c r="D45" s="1809" t="s">
        <v>1006</v>
      </c>
      <c r="E45" s="1810" t="e">
        <f>(E43/E44)</f>
        <v>#REF!</v>
      </c>
      <c r="F45" s="1809" t="s">
        <v>1006</v>
      </c>
      <c r="G45" s="1810" t="e">
        <f>(G43/G44)</f>
        <v>#REF!</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E10" sqref="E1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Odell Community Consolidated Grade School</v>
      </c>
      <c r="D6" s="2307"/>
      <c r="E6" s="2307"/>
      <c r="F6" s="1852"/>
    </row>
    <row r="7" spans="1:10" ht="11.25" customHeight="1" thickBot="1" x14ac:dyDescent="0.3">
      <c r="A7" s="1850"/>
      <c r="B7" s="1851"/>
      <c r="C7" s="2308">
        <f>COVER!A13</f>
        <v>17053435004</v>
      </c>
      <c r="D7" s="2308"/>
      <c r="E7" s="230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t="s">
        <v>2073</v>
      </c>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2073</v>
      </c>
      <c r="D19" s="1865" t="s">
        <v>2073</v>
      </c>
      <c r="E19" s="1868"/>
      <c r="F19" s="1867" t="s">
        <v>2084</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2073</v>
      </c>
      <c r="D26" s="1865" t="s">
        <v>2073</v>
      </c>
      <c r="E26" s="1868"/>
      <c r="F26" s="1867" t="s">
        <v>2085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2073</v>
      </c>
      <c r="D28" s="1865" t="s">
        <v>2073</v>
      </c>
      <c r="E28" s="1868"/>
      <c r="F28" s="1867" t="s">
        <v>2086</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Odell Community Consolidated Grade School</v>
      </c>
      <c r="J6" s="2317"/>
      <c r="Q6" s="1664"/>
    </row>
    <row r="7" spans="1:17" x14ac:dyDescent="0.2">
      <c r="A7" s="2318" t="s">
        <v>869</v>
      </c>
      <c r="B7" s="2319"/>
      <c r="C7" s="2319"/>
      <c r="D7" s="2319"/>
      <c r="E7" s="2320"/>
      <c r="F7" s="1017"/>
      <c r="G7" s="1009"/>
      <c r="H7" s="1016" t="s">
        <v>372</v>
      </c>
      <c r="I7" s="2321">
        <f>COVER!A13</f>
        <v>17053435004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116122</v>
      </c>
      <c r="F12" s="1039"/>
      <c r="G12" s="1811">
        <f t="shared" ref="G12:G18" si="0">SUM(E12:F12)</f>
        <v>116122</v>
      </c>
      <c r="H12" s="1040">
        <v>115940</v>
      </c>
      <c r="I12" s="1039"/>
      <c r="J12" s="1811">
        <f t="shared" ref="J12:J18" si="1">SUM(H12:I12)</f>
        <v>115940</v>
      </c>
    </row>
    <row r="13" spans="1:17" ht="15" customHeight="1" x14ac:dyDescent="0.2">
      <c r="A13" s="1035">
        <v>2</v>
      </c>
      <c r="B13" s="1036" t="s">
        <v>42</v>
      </c>
      <c r="C13" s="1037"/>
      <c r="D13" s="1038">
        <v>2330</v>
      </c>
      <c r="E13" s="1811">
        <f>'Expenditures 15-22'!K51</f>
        <v>10961</v>
      </c>
      <c r="F13" s="1039"/>
      <c r="G13" s="1811">
        <f t="shared" si="0"/>
        <v>10961</v>
      </c>
      <c r="H13" s="1040">
        <v>11275</v>
      </c>
      <c r="I13" s="1039"/>
      <c r="J13" s="1811">
        <f t="shared" si="1"/>
        <v>11275</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127083</v>
      </c>
      <c r="F19" s="1813">
        <f t="shared" si="2"/>
        <v>0</v>
      </c>
      <c r="G19" s="1813">
        <f t="shared" si="2"/>
        <v>127083</v>
      </c>
      <c r="H19" s="1813">
        <f t="shared" si="2"/>
        <v>127215</v>
      </c>
      <c r="I19" s="1813">
        <f t="shared" si="2"/>
        <v>0</v>
      </c>
      <c r="J19" s="1813">
        <f t="shared" si="2"/>
        <v>127215</v>
      </c>
    </row>
    <row r="20" spans="1:10" ht="13.5" thickTop="1" x14ac:dyDescent="0.2">
      <c r="A20" s="1035">
        <v>9</v>
      </c>
      <c r="B20" s="2328" t="s">
        <v>1979</v>
      </c>
      <c r="C20" s="2328"/>
      <c r="D20" s="2329"/>
      <c r="E20" s="1046"/>
      <c r="F20" s="1046"/>
      <c r="G20" s="1046"/>
      <c r="H20" s="1046"/>
      <c r="I20" s="1046"/>
      <c r="J20" s="1814">
        <f>IF(AND(G19&gt;0,J19&gt;0),(((J19-G19)/G19)),"Enter Budget Data")</f>
        <v>1.0386912490262269E-3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1981</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2" sqref="B1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c r="B6" s="329" t="s">
        <v>2088</v>
      </c>
    </row>
    <row r="7" spans="1:2" x14ac:dyDescent="0.2">
      <c r="A7" s="1068">
        <v>3</v>
      </c>
      <c r="B7" s="329" t="s">
        <v>2089</v>
      </c>
    </row>
    <row r="8" spans="1:2" x14ac:dyDescent="0.2">
      <c r="A8" s="1068">
        <v>4</v>
      </c>
      <c r="B8" s="329" t="s">
        <v>2090</v>
      </c>
    </row>
    <row r="9" spans="1:2" x14ac:dyDescent="0.2">
      <c r="A9" s="1068">
        <v>5</v>
      </c>
      <c r="B9" s="329" t="s">
        <v>2100</v>
      </c>
    </row>
    <row r="10" spans="1:2" x14ac:dyDescent="0.2">
      <c r="A10" s="1068">
        <v>6</v>
      </c>
      <c r="B10" s="329" t="s">
        <v>2102</v>
      </c>
    </row>
    <row r="11" spans="1:2" x14ac:dyDescent="0.2">
      <c r="A11" s="1068">
        <v>7</v>
      </c>
      <c r="B11" s="329" t="s">
        <v>2101</v>
      </c>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Odell Community Consolidated Grade School</v>
      </c>
    </row>
    <row r="65" spans="2:2" x14ac:dyDescent="0.2">
      <c r="B65" s="1070">
        <f>COVER!A13</f>
        <v>17053435004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27"/>
  <sheetViews>
    <sheetView showGridLines="0" zoomScale="110" zoomScaleNormal="110" workbookViewId="0">
      <selection activeCell="C11" sqref="C11"/>
    </sheetView>
  </sheetViews>
  <sheetFormatPr defaultRowHeight="12.75" x14ac:dyDescent="0.2"/>
  <cols>
    <col min="1" max="1" width="1.85546875" style="329" customWidth="1"/>
    <col min="2" max="2" width="59.7109375" style="329" customWidth="1"/>
    <col min="3" max="16384" width="9.140625" style="329"/>
  </cols>
  <sheetData>
    <row r="11" spans="2:6" x14ac:dyDescent="0.2">
      <c r="B11" s="1071"/>
      <c r="C11" s="1071"/>
      <c r="D11" s="1071"/>
      <c r="E11" s="1071"/>
      <c r="F11" s="1071"/>
    </row>
    <row r="12" spans="2:6" x14ac:dyDescent="0.2">
      <c r="B12" s="1071"/>
      <c r="C12" s="1071"/>
      <c r="D12" s="1071"/>
      <c r="E12" s="1071"/>
      <c r="F12" s="1071"/>
    </row>
    <row r="13" spans="2:6" x14ac:dyDescent="0.2">
      <c r="B13" s="1071"/>
      <c r="C13" s="1071"/>
      <c r="D13" s="1071"/>
      <c r="E13" s="1071"/>
      <c r="F13" s="1071"/>
    </row>
    <row r="14" spans="2:6" x14ac:dyDescent="0.2">
      <c r="B14" s="1071"/>
      <c r="C14" s="1071"/>
      <c r="D14" s="1071"/>
      <c r="E14" s="1071"/>
      <c r="F14" s="1071"/>
    </row>
    <row r="15" spans="2:6" x14ac:dyDescent="0.2">
      <c r="B15" s="1071"/>
      <c r="C15" s="1071"/>
      <c r="D15" s="1071"/>
      <c r="E15" s="1071"/>
      <c r="F15" s="1071"/>
    </row>
    <row r="16" spans="2:6" x14ac:dyDescent="0.2">
      <c r="B16" s="1071"/>
      <c r="C16" s="1071"/>
      <c r="D16" s="1071"/>
      <c r="E16" s="1071"/>
      <c r="F16" s="1071"/>
    </row>
    <row r="17" spans="1:6" x14ac:dyDescent="0.2">
      <c r="B17" s="1071"/>
      <c r="C17" s="1071"/>
      <c r="D17" s="1071"/>
      <c r="E17" s="1071"/>
      <c r="F17" s="1071"/>
    </row>
    <row r="18" spans="1:6" x14ac:dyDescent="0.2">
      <c r="B18" s="1071"/>
      <c r="C18" s="1071"/>
      <c r="D18" s="1071"/>
      <c r="E18" s="1071"/>
      <c r="F18" s="1071"/>
    </row>
    <row r="19" spans="1:6" x14ac:dyDescent="0.2">
      <c r="B19" s="1071"/>
      <c r="C19" s="1071"/>
      <c r="D19" s="1071"/>
      <c r="E19" s="1071"/>
      <c r="F19" s="1071"/>
    </row>
    <row r="20" spans="1:6" x14ac:dyDescent="0.2">
      <c r="B20" s="1071"/>
      <c r="C20" s="1071"/>
      <c r="D20" s="1071"/>
      <c r="E20" s="1071"/>
      <c r="F20"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35" t="s">
        <v>1685</v>
      </c>
      <c r="B27" s="2335"/>
    </row>
  </sheetData>
  <sheetProtection selectLockedCells="1"/>
  <mergeCells count="1">
    <mergeCell ref="A27:B27"/>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2" r:id="rId4">
          <objectPr defaultSize="0" r:id="rId5">
            <anchor moveWithCells="1">
              <from>
                <xdr:col>1</xdr:col>
                <xdr:colOff>285750</xdr:colOff>
                <xdr:row>0</xdr:row>
                <xdr:rowOff>95250</xdr:rowOff>
              </from>
              <to>
                <xdr:col>1</xdr:col>
                <xdr:colOff>1200150</xdr:colOff>
                <xdr:row>4</xdr:row>
                <xdr:rowOff>133350</xdr:rowOff>
              </to>
            </anchor>
          </objectPr>
        </oleObject>
      </mc:Choice>
      <mc:Fallback>
        <oleObject progId="AcroExch.Document.DC" dvAspect="DVASPECT_ICON" shapeId="35842" r:id="rId4"/>
      </mc:Fallback>
    </mc:AlternateContent>
    <mc:AlternateContent xmlns:mc="http://schemas.openxmlformats.org/markup-compatibility/2006">
      <mc:Choice Requires="x14">
        <oleObject progId="AcroExch.Document.DC" dvAspect="DVASPECT_ICON" shapeId="35843" r:id="rId6">
          <objectPr defaultSize="0" r:id="rId7">
            <anchor moveWithCells="1">
              <from>
                <xdr:col>1</xdr:col>
                <xdr:colOff>171450</xdr:colOff>
                <xdr:row>5</xdr:row>
                <xdr:rowOff>19050</xdr:rowOff>
              </from>
              <to>
                <xdr:col>1</xdr:col>
                <xdr:colOff>1085850</xdr:colOff>
                <xdr:row>9</xdr:row>
                <xdr:rowOff>57150</xdr:rowOff>
              </to>
            </anchor>
          </objectPr>
        </oleObject>
      </mc:Choice>
      <mc:Fallback>
        <oleObject progId="AcroExch.Document.DC" dvAspect="DVASPECT_ICON" shapeId="35843" r:id="rId6"/>
      </mc:Fallback>
    </mc:AlternateContent>
    <mc:AlternateContent xmlns:mc="http://schemas.openxmlformats.org/markup-compatibility/2006">
      <mc:Choice Requires="x14">
        <oleObject progId="AcroExch.Document.DC" dvAspect="DVASPECT_ICON" shapeId="35844" r:id="rId8">
          <objectPr defaultSize="0" r:id="rId7">
            <anchor moveWithCells="1">
              <from>
                <xdr:col>1</xdr:col>
                <xdr:colOff>0</xdr:colOff>
                <xdr:row>10</xdr:row>
                <xdr:rowOff>0</xdr:rowOff>
              </from>
              <to>
                <xdr:col>1</xdr:col>
                <xdr:colOff>914400</xdr:colOff>
                <xdr:row>14</xdr:row>
                <xdr:rowOff>38100</xdr:rowOff>
              </to>
            </anchor>
          </objectPr>
        </oleObject>
      </mc:Choice>
      <mc:Fallback>
        <oleObject progId="AcroExch.Document.DC" dvAspect="DVASPECT_ICON" shapeId="35844" r:id="rId8"/>
      </mc:Fallback>
    </mc:AlternateContent>
    <mc:AlternateContent xmlns:mc="http://schemas.openxmlformats.org/markup-compatibility/2006">
      <mc:Choice Requires="x14">
        <oleObject progId="AcroExch.Document.DC" dvAspect="DVASPECT_ICON" shapeId="35846" r:id="rId9">
          <objectPr defaultSize="0" r:id="rId10">
            <anchor moveWithCells="1">
              <from>
                <xdr:col>1</xdr:col>
                <xdr:colOff>0</xdr:colOff>
                <xdr:row>15</xdr:row>
                <xdr:rowOff>0</xdr:rowOff>
              </from>
              <to>
                <xdr:col>1</xdr:col>
                <xdr:colOff>914400</xdr:colOff>
                <xdr:row>19</xdr:row>
                <xdr:rowOff>38100</xdr:rowOff>
              </to>
            </anchor>
          </objectPr>
        </oleObject>
      </mc:Choice>
      <mc:Fallback>
        <oleObject progId="AcroExch.Document.DC" dvAspect="DVASPECT_ICON" shapeId="35846"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1985</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1986</v>
      </c>
      <c r="B4" s="2356"/>
      <c r="C4" s="2356"/>
      <c r="D4" s="2356"/>
      <c r="E4" s="2356"/>
      <c r="F4" s="2357"/>
      <c r="G4" s="1074"/>
      <c r="H4" s="1074"/>
    </row>
    <row r="5" spans="1:8" ht="14.25" customHeight="1" x14ac:dyDescent="0.2">
      <c r="A5" s="2358" t="s">
        <v>1982</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1678748</v>
      </c>
      <c r="C8" s="1815">
        <f>'Acct Summary 7-8'!D8</f>
        <v>155253</v>
      </c>
      <c r="D8" s="1815">
        <f>'Acct Summary 7-8'!F8</f>
        <v>110422</v>
      </c>
      <c r="E8" s="1815">
        <f>'Acct Summary 7-8'!I8</f>
        <v>12819</v>
      </c>
      <c r="F8" s="1815">
        <f>SUM(B8:E8)</f>
        <v>1957242</v>
      </c>
    </row>
    <row r="9" spans="1:8" s="1079" customFormat="1" ht="14.25" customHeight="1" thickBot="1" x14ac:dyDescent="0.25">
      <c r="A9" s="1078" t="s">
        <v>1369</v>
      </c>
      <c r="B9" s="1816">
        <f>'Acct Summary 7-8'!C17</f>
        <v>1825315</v>
      </c>
      <c r="C9" s="1816">
        <f>'Acct Summary 7-8'!D17</f>
        <v>173558</v>
      </c>
      <c r="D9" s="1816">
        <f>'Acct Summary 7-8'!F17</f>
        <v>211567</v>
      </c>
      <c r="E9" s="1815"/>
      <c r="F9" s="1815">
        <f>SUM(B9:E9)</f>
        <v>2210440</v>
      </c>
    </row>
    <row r="10" spans="1:8" s="1079" customFormat="1" ht="14.25" thickTop="1" thickBot="1" x14ac:dyDescent="0.25">
      <c r="A10" s="1080" t="s">
        <v>1370</v>
      </c>
      <c r="B10" s="1817">
        <f>(B8-B9)</f>
        <v>-146567</v>
      </c>
      <c r="C10" s="1817">
        <f>(C8-C9)</f>
        <v>-18305</v>
      </c>
      <c r="D10" s="1817">
        <f>(D8-D9)</f>
        <v>-101145</v>
      </c>
      <c r="E10" s="1816">
        <f>(E8-E9)</f>
        <v>12819</v>
      </c>
      <c r="F10" s="1818">
        <f>SUM(F8-F9)</f>
        <v>-253198</v>
      </c>
    </row>
    <row r="11" spans="1:8" s="1079" customFormat="1" ht="14.25" thickTop="1" thickBot="1" x14ac:dyDescent="0.25">
      <c r="A11" s="1081" t="s">
        <v>1983</v>
      </c>
      <c r="B11" s="1819">
        <f>'Acct Summary 7-8'!C81</f>
        <v>476835</v>
      </c>
      <c r="C11" s="1819">
        <f>'Acct Summary 7-8'!D81</f>
        <v>33459</v>
      </c>
      <c r="D11" s="1819">
        <f>'Acct Summary 7-8'!F81</f>
        <v>47566</v>
      </c>
      <c r="E11" s="1819">
        <f>'Acct Summary 7-8'!I81</f>
        <v>300141</v>
      </c>
      <c r="F11" s="1820">
        <f>SUM(B11:E11)</f>
        <v>858001</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B5" sqref="B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17053435004</v>
      </c>
    </row>
    <row r="3" spans="1:2" x14ac:dyDescent="0.2">
      <c r="A3" t="s">
        <v>956</v>
      </c>
      <c r="B3" s="138" t="str">
        <f>COVER!A15</f>
        <v xml:space="preserve">Livingston </v>
      </c>
    </row>
    <row r="4" spans="1:2" x14ac:dyDescent="0.2">
      <c r="A4" t="s">
        <v>1007</v>
      </c>
      <c r="B4" s="138" t="str">
        <f>COVER!A17</f>
        <v>Odell Community Consolidated Grade School</v>
      </c>
    </row>
    <row r="5" spans="1:2" x14ac:dyDescent="0.2">
      <c r="A5" t="s">
        <v>704</v>
      </c>
      <c r="B5" s="138" t="str">
        <f>COVER!A38</f>
        <v>Mark Hettmansberger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36526</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476835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331558</v>
      </c>
      <c r="D92" s="2" t="str">
        <f t="shared" si="0"/>
        <v>Error?</v>
      </c>
    </row>
    <row r="93" spans="1:4" x14ac:dyDescent="0.2">
      <c r="A93" s="5">
        <v>32</v>
      </c>
      <c r="B93" s="138">
        <f>'Assets-Liab 5-6'!C41</f>
        <v>476835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33459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33459</v>
      </c>
      <c r="D123" s="2" t="str">
        <f t="shared" si="0"/>
        <v>Error?</v>
      </c>
    </row>
    <row r="124" spans="1:4" x14ac:dyDescent="0.2">
      <c r="A124" s="5">
        <v>63</v>
      </c>
      <c r="B124" s="138">
        <f>'Assets-Liab 5-6'!D41</f>
        <v>33459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8419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8419</v>
      </c>
      <c r="D140" s="2" t="str">
        <f t="shared" si="1"/>
        <v>Error?</v>
      </c>
    </row>
    <row r="141" spans="1:4" x14ac:dyDescent="0.2">
      <c r="A141" s="5">
        <v>80</v>
      </c>
      <c r="B141" s="138">
        <f>'Assets-Liab 5-6'!E41</f>
        <v>8419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47566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47566</v>
      </c>
      <c r="D170" s="2" t="str">
        <f t="shared" si="1"/>
        <v>Error?</v>
      </c>
    </row>
    <row r="171" spans="1:4" x14ac:dyDescent="0.2">
      <c r="A171" s="5">
        <v>110</v>
      </c>
      <c r="B171" s="138">
        <f>'Assets-Liab 5-6'!F41</f>
        <v>47566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22026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22026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862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862</v>
      </c>
      <c r="D212" s="2" t="str">
        <f t="shared" si="2"/>
        <v>Error?</v>
      </c>
    </row>
    <row r="213" spans="1:4" x14ac:dyDescent="0.2">
      <c r="A213" s="12">
        <v>152</v>
      </c>
      <c r="B213" s="138">
        <f>'Assets-Liab 5-6'!H41</f>
        <v>862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61564</v>
      </c>
      <c r="D273" s="2" t="str">
        <f t="shared" si="3"/>
        <v>Error?</v>
      </c>
    </row>
    <row r="274" spans="1:4" x14ac:dyDescent="0.2">
      <c r="A274" s="5">
        <v>213</v>
      </c>
      <c r="B274" s="138">
        <f>'Assets-Liab 5-6'!M17</f>
        <v>1751013</v>
      </c>
      <c r="D274" s="2" t="str">
        <f t="shared" si="3"/>
        <v>Error?</v>
      </c>
    </row>
    <row r="275" spans="1:4" x14ac:dyDescent="0.2">
      <c r="A275" s="5">
        <v>214</v>
      </c>
      <c r="B275" s="138">
        <f>'Assets-Liab 5-6'!M18</f>
        <v>18970</v>
      </c>
      <c r="D275" s="2" t="str">
        <f t="shared" si="3"/>
        <v>Error?</v>
      </c>
    </row>
    <row r="276" spans="1:4" x14ac:dyDescent="0.2">
      <c r="A276" s="5">
        <v>215</v>
      </c>
      <c r="B276" s="138">
        <f>'Assets-Liab 5-6'!M19</f>
        <v>141709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1973256</v>
      </c>
      <c r="C279" s="2" t="s">
        <v>573</v>
      </c>
      <c r="D279" s="2" t="str">
        <f t="shared" si="3"/>
        <v>Error?</v>
      </c>
    </row>
    <row r="280" spans="1:4" x14ac:dyDescent="0.2">
      <c r="A280" s="5">
        <v>219</v>
      </c>
      <c r="B280" s="138">
        <f>'Assets-Liab 5-6'!M40</f>
        <v>1973256</v>
      </c>
      <c r="D280" s="2" t="str">
        <f t="shared" si="3"/>
        <v>Error?</v>
      </c>
    </row>
    <row r="281" spans="1:4" x14ac:dyDescent="0.2">
      <c r="A281" s="5">
        <v>220</v>
      </c>
      <c r="B281" s="138">
        <f>'Assets-Liab 5-6'!M41</f>
        <v>1973256</v>
      </c>
      <c r="C281" s="2" t="s">
        <v>573</v>
      </c>
      <c r="D281" s="2" t="str">
        <f t="shared" si="3"/>
        <v>Error?</v>
      </c>
    </row>
    <row r="282" spans="1:4" x14ac:dyDescent="0.2">
      <c r="A282" s="5">
        <v>221</v>
      </c>
      <c r="B282" s="138">
        <f>'Assets-Liab 5-6'!N21</f>
        <v>8419</v>
      </c>
      <c r="D282" s="2" t="str">
        <f t="shared" si="3"/>
        <v>Error?</v>
      </c>
    </row>
    <row r="283" spans="1:4" x14ac:dyDescent="0.2">
      <c r="A283" s="5">
        <v>222</v>
      </c>
      <c r="B283" s="138">
        <f>'Assets-Liab 5-6'!N22</f>
        <v>141581</v>
      </c>
      <c r="D283" s="2" t="str">
        <f t="shared" si="3"/>
        <v>Error?</v>
      </c>
    </row>
    <row r="284" spans="1:4" x14ac:dyDescent="0.2">
      <c r="A284" s="5">
        <v>223</v>
      </c>
      <c r="B284" s="138">
        <f>'Assets-Liab 5-6'!N23</f>
        <v>150000</v>
      </c>
      <c r="C284" s="2" t="s">
        <v>573</v>
      </c>
      <c r="D284" s="2" t="str">
        <f t="shared" si="3"/>
        <v>Error?</v>
      </c>
    </row>
    <row r="285" spans="1:4" x14ac:dyDescent="0.2">
      <c r="A285" s="5">
        <v>224</v>
      </c>
      <c r="B285" s="138">
        <f>'Assets-Liab 5-6'!N36</f>
        <v>150000</v>
      </c>
      <c r="D285" s="2" t="str">
        <f t="shared" si="3"/>
        <v>Error?</v>
      </c>
    </row>
    <row r="286" spans="1:4" x14ac:dyDescent="0.2">
      <c r="A286" s="10">
        <v>225</v>
      </c>
      <c r="D286" s="2" t="str">
        <f t="shared" si="3"/>
        <v>OK</v>
      </c>
    </row>
    <row r="287" spans="1:4" x14ac:dyDescent="0.2">
      <c r="A287" s="5">
        <v>226</v>
      </c>
      <c r="B287" s="138">
        <f>'Assets-Liab 5-6'!N37</f>
        <v>150000</v>
      </c>
      <c r="C287" s="2" t="s">
        <v>573</v>
      </c>
      <c r="D287" s="2" t="str">
        <f t="shared" si="3"/>
        <v>Error?</v>
      </c>
    </row>
    <row r="288" spans="1:4" x14ac:dyDescent="0.2">
      <c r="A288" s="5">
        <v>227</v>
      </c>
      <c r="B288" s="138">
        <f>'Assets-Liab 5-6'!N41</f>
        <v>150000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586978</v>
      </c>
      <c r="D705" s="2" t="str">
        <f t="shared" si="10"/>
        <v>Error?</v>
      </c>
    </row>
    <row r="706" spans="1:4" x14ac:dyDescent="0.2">
      <c r="A706" s="5">
        <v>645</v>
      </c>
      <c r="B706" s="138">
        <f>'Expenditures 15-22'!C16</f>
        <v>11555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32313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882869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24164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54599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78763</v>
      </c>
      <c r="C727" s="2" t="s">
        <v>573</v>
      </c>
      <c r="D727" s="2" t="str">
        <f t="shared" si="10"/>
        <v>Error?</v>
      </c>
    </row>
    <row r="728" spans="1:4" x14ac:dyDescent="0.2">
      <c r="A728" s="5">
        <v>667</v>
      </c>
      <c r="B728" s="138">
        <f>'Expenditures 15-22'!C44</f>
        <v>3080</v>
      </c>
      <c r="D728" s="2" t="str">
        <f t="shared" si="10"/>
        <v>Error?</v>
      </c>
    </row>
    <row r="729" spans="1:4" x14ac:dyDescent="0.2">
      <c r="A729" s="5">
        <v>668</v>
      </c>
      <c r="B729" s="138">
        <f>'Expenditures 15-22'!C45</f>
        <v>14099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17179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83436</v>
      </c>
      <c r="D733" s="2" t="str">
        <f t="shared" si="10"/>
        <v>Error?</v>
      </c>
    </row>
    <row r="734" spans="1:4" x14ac:dyDescent="0.2">
      <c r="A734" s="5">
        <v>673</v>
      </c>
      <c r="B734" s="138">
        <f>'Expenditures 15-22'!C53</f>
        <v>93271</v>
      </c>
      <c r="C734" s="2" t="s">
        <v>573</v>
      </c>
      <c r="D734" s="2" t="str">
        <f t="shared" si="10"/>
        <v>Error?</v>
      </c>
    </row>
    <row r="735" spans="1:4" x14ac:dyDescent="0.2">
      <c r="A735" s="5">
        <v>674</v>
      </c>
      <c r="B735" s="138">
        <f>'Expenditures 15-22'!C55</f>
        <v>55673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55673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26208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24069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50277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295163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1178032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86766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1264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123329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15515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15515</v>
      </c>
      <c r="C785" s="2" t="s">
        <v>573</v>
      </c>
      <c r="D785" s="2" t="str">
        <f t="shared" si="11"/>
        <v>Error?</v>
      </c>
    </row>
    <row r="786" spans="1:4" x14ac:dyDescent="0.2">
      <c r="A786" s="5">
        <v>725</v>
      </c>
      <c r="B786" s="138">
        <f>'Expenditures 15-22'!D44</f>
        <v>245</v>
      </c>
      <c r="D786" s="2" t="str">
        <f t="shared" si="11"/>
        <v>Error?</v>
      </c>
    </row>
    <row r="787" spans="1:4" x14ac:dyDescent="0.2">
      <c r="A787" s="5">
        <v>726</v>
      </c>
      <c r="B787" s="138">
        <f>'Expenditures 15-22'!D45</f>
        <v>247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492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15850</v>
      </c>
      <c r="D791" s="2" t="str">
        <f t="shared" si="11"/>
        <v>Error?</v>
      </c>
    </row>
    <row r="792" spans="1:4" x14ac:dyDescent="0.2">
      <c r="A792" s="5">
        <v>731</v>
      </c>
      <c r="B792" s="138">
        <f>'Expenditures 15-22'!D53</f>
        <v>16976</v>
      </c>
      <c r="C792" s="2" t="s">
        <v>573</v>
      </c>
      <c r="D792" s="2" t="str">
        <f t="shared" si="11"/>
        <v>Error?</v>
      </c>
    </row>
    <row r="793" spans="1:4" x14ac:dyDescent="0.2">
      <c r="A793" s="5">
        <v>732</v>
      </c>
      <c r="B793" s="138">
        <f>'Expenditures 15-22'!D55</f>
        <v>11997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11997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2817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2817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47797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171126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7931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9145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1557</v>
      </c>
      <c r="D844" s="2" t="str">
        <f t="shared" si="12"/>
        <v>Error?</v>
      </c>
    </row>
    <row r="845" spans="1:4" x14ac:dyDescent="0.2">
      <c r="A845" s="5">
        <v>784</v>
      </c>
      <c r="B845" s="138">
        <f>'Expenditures 15-22'!E45</f>
        <v>4469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6026</v>
      </c>
      <c r="C847" s="2" t="s">
        <v>573</v>
      </c>
      <c r="D847" s="2" t="str">
        <f t="shared" si="12"/>
        <v>Error?</v>
      </c>
    </row>
    <row r="848" spans="1:4" x14ac:dyDescent="0.2">
      <c r="A848" s="5">
        <v>787</v>
      </c>
      <c r="B848" s="138">
        <f>'Expenditures 15-22'!E49</f>
        <v>53070</v>
      </c>
      <c r="D848" s="2" t="str">
        <f t="shared" si="12"/>
        <v>Error?</v>
      </c>
    </row>
    <row r="849" spans="1:4" x14ac:dyDescent="0.2">
      <c r="A849" s="5">
        <v>788</v>
      </c>
      <c r="B849" s="138">
        <f>'Expenditures 15-22'!E50</f>
        <v>3174</v>
      </c>
      <c r="D849" s="2" t="str">
        <f t="shared" si="12"/>
        <v>Error?</v>
      </c>
    </row>
    <row r="850" spans="1:4" x14ac:dyDescent="0.2">
      <c r="A850" s="5">
        <v>789</v>
      </c>
      <c r="B850" s="138">
        <f>'Expenditures 15-22'!E53</f>
        <v>56244</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1442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714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2156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64426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312422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27296</v>
      </c>
      <c r="D879" s="2" t="str">
        <f t="shared" si="12"/>
        <v>Error?</v>
      </c>
    </row>
    <row r="880" spans="1:4" x14ac:dyDescent="0.2">
      <c r="A880" s="5">
        <v>819</v>
      </c>
      <c r="B880" s="138">
        <f>'Expenditures 15-22'!F16</f>
        <v>1189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8409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42231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356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102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458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25057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25057</v>
      </c>
      <c r="C905" s="2" t="s">
        <v>573</v>
      </c>
      <c r="D905" s="2" t="str">
        <f t="shared" si="13"/>
        <v>Error?</v>
      </c>
    </row>
    <row r="906" spans="1:4" x14ac:dyDescent="0.2">
      <c r="A906" s="5">
        <v>845</v>
      </c>
      <c r="B906" s="138">
        <f>'Expenditures 15-22'!F49</f>
        <v>12440</v>
      </c>
      <c r="D906" s="2" t="str">
        <f t="shared" si="13"/>
        <v>Error?</v>
      </c>
    </row>
    <row r="907" spans="1:4" x14ac:dyDescent="0.2">
      <c r="A907" s="5">
        <v>846</v>
      </c>
      <c r="B907" s="138">
        <f>'Expenditures 15-22'!F50</f>
        <v>9286</v>
      </c>
      <c r="D907" s="2" t="str">
        <f t="shared" si="13"/>
        <v>Error?</v>
      </c>
    </row>
    <row r="908" spans="1:4" x14ac:dyDescent="0.2">
      <c r="A908" s="5">
        <v>847</v>
      </c>
      <c r="B908" s="138">
        <f>'Expenditures 15-22'!F53</f>
        <v>21726</v>
      </c>
      <c r="C908" s="2" t="s">
        <v>573</v>
      </c>
      <c r="D908" s="2" t="str">
        <f t="shared" si="13"/>
        <v>Error?</v>
      </c>
    </row>
    <row r="909" spans="1:4" x14ac:dyDescent="0.2">
      <c r="A909" s="5">
        <v>848</v>
      </c>
      <c r="B909" s="138">
        <f>'Expenditures 15-22'!F55</f>
        <v>1307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1307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25659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25659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74207</v>
      </c>
      <c r="C929" s="2" t="s">
        <v>573</v>
      </c>
      <c r="D929" s="2" t="str">
        <f t="shared" si="13"/>
        <v>Error?</v>
      </c>
    </row>
    <row r="930" spans="1:4" x14ac:dyDescent="0.2">
      <c r="A930" s="5">
        <v>869</v>
      </c>
      <c r="B930" s="138">
        <f>'Expenditures 15-22'!F75</f>
        <v>841</v>
      </c>
      <c r="D930" s="2" t="str">
        <f t="shared" si="13"/>
        <v>Error?</v>
      </c>
    </row>
    <row r="931" spans="1:4" x14ac:dyDescent="0.2">
      <c r="A931" s="5">
        <v>870</v>
      </c>
      <c r="B931" s="138">
        <f>'Expenditures 15-22'!F114</f>
        <v>117279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2652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2778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11129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24503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24503</v>
      </c>
      <c r="C1021" s="2" t="s">
        <v>573</v>
      </c>
      <c r="D1021" s="2" t="str">
        <f t="shared" si="14"/>
        <v>Error?</v>
      </c>
    </row>
    <row r="1022" spans="1:4" x14ac:dyDescent="0.2">
      <c r="A1022" s="5">
        <v>961</v>
      </c>
      <c r="B1022" s="138">
        <f>'Expenditures 15-22'!H49</f>
        <v>6400</v>
      </c>
      <c r="D1022" s="2" t="str">
        <f t="shared" si="14"/>
        <v>Error?</v>
      </c>
    </row>
    <row r="1023" spans="1:4" x14ac:dyDescent="0.2">
      <c r="A1023" s="5">
        <v>962</v>
      </c>
      <c r="B1023" s="138">
        <f>'Expenditures 15-22'!H50</f>
        <v>4376</v>
      </c>
      <c r="D1023" s="2" t="str">
        <f t="shared" ref="D1023:D1086" si="15">IF(ISBLANK(B1023),"OK",IF(A1023-B1023=0,"OK","Error?"))</f>
        <v>Error?</v>
      </c>
    </row>
    <row r="1024" spans="1:4" x14ac:dyDescent="0.2">
      <c r="A1024" s="5">
        <v>963</v>
      </c>
      <c r="B1024" s="138">
        <f>'Expenditures 15-22'!H53</f>
        <v>10776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35327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46456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703692</v>
      </c>
      <c r="C1093" s="2" t="s">
        <v>573</v>
      </c>
      <c r="D1093" s="2" t="str">
        <f t="shared" si="16"/>
        <v>Error?</v>
      </c>
    </row>
    <row r="1094" spans="1:4" x14ac:dyDescent="0.2">
      <c r="A1094" s="5">
        <v>1033</v>
      </c>
      <c r="B1094" s="138">
        <f>'Expenditures 15-22'!K16</f>
        <v>12744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52695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1068703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24520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70216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94736</v>
      </c>
      <c r="C1115" s="2" t="s">
        <v>573</v>
      </c>
      <c r="D1115" s="2" t="str">
        <f t="shared" si="16"/>
        <v>Error?</v>
      </c>
    </row>
    <row r="1116" spans="1:4" x14ac:dyDescent="0.2">
      <c r="A1116" s="5">
        <v>1055</v>
      </c>
      <c r="B1116" s="138">
        <f>'Expenditures 15-22'!K44</f>
        <v>4882</v>
      </c>
      <c r="C1116" s="2" t="s">
        <v>573</v>
      </c>
      <c r="D1116" s="2" t="str">
        <f t="shared" si="16"/>
        <v>Error?</v>
      </c>
    </row>
    <row r="1117" spans="1:4" x14ac:dyDescent="0.2">
      <c r="A1117" s="5">
        <v>1056</v>
      </c>
      <c r="B1117" s="138">
        <f>'Expenditures 15-22'!K45</f>
        <v>68375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73257</v>
      </c>
      <c r="C1119" s="2" t="s">
        <v>573</v>
      </c>
      <c r="D1119" s="2" t="str">
        <f t="shared" si="16"/>
        <v>Error?</v>
      </c>
    </row>
    <row r="1120" spans="1:4" x14ac:dyDescent="0.2">
      <c r="A1120" s="5">
        <v>1059</v>
      </c>
      <c r="B1120" s="138">
        <f>'Expenditures 15-22'!K49</f>
        <v>71910</v>
      </c>
      <c r="C1120" s="2" t="s">
        <v>573</v>
      </c>
      <c r="D1120" s="2" t="str">
        <f t="shared" si="16"/>
        <v>Error?</v>
      </c>
    </row>
    <row r="1121" spans="1:4" x14ac:dyDescent="0.2">
      <c r="A1121" s="5">
        <v>1060</v>
      </c>
      <c r="B1121" s="138">
        <f>'Expenditures 15-22'!K50</f>
        <v>116122</v>
      </c>
      <c r="C1121" s="2" t="s">
        <v>573</v>
      </c>
      <c r="D1121" s="2" t="str">
        <f t="shared" si="16"/>
        <v>Error?</v>
      </c>
    </row>
    <row r="1122" spans="1:4" x14ac:dyDescent="0.2">
      <c r="A1122" s="5">
        <v>1061</v>
      </c>
      <c r="B1122" s="138">
        <f>'Expenditures 15-22'!K53</f>
        <v>198993</v>
      </c>
      <c r="C1122" s="2" t="s">
        <v>573</v>
      </c>
      <c r="D1122" s="2" t="str">
        <f t="shared" si="16"/>
        <v>Error?</v>
      </c>
    </row>
    <row r="1123" spans="1:4" x14ac:dyDescent="0.2">
      <c r="A1123" s="5">
        <v>1062</v>
      </c>
      <c r="B1123" s="138">
        <f>'Expenditures 15-22'!K55</f>
        <v>68977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68977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27650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53307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80957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516920</v>
      </c>
      <c r="C1143" s="2" t="s">
        <v>573</v>
      </c>
      <c r="D1143" s="2" t="str">
        <f t="shared" si="16"/>
        <v>Error?</v>
      </c>
    </row>
    <row r="1144" spans="1:4" x14ac:dyDescent="0.2">
      <c r="A1144" s="5">
        <v>1083</v>
      </c>
      <c r="B1144" s="138">
        <f>'Expenditures 15-22'!K75</f>
        <v>841</v>
      </c>
      <c r="C1144" s="2" t="s">
        <v>573</v>
      </c>
      <c r="D1144" s="2" t="str">
        <f t="shared" si="16"/>
        <v>Error?</v>
      </c>
    </row>
    <row r="1145" spans="1:4" x14ac:dyDescent="0.2">
      <c r="A1145" s="5">
        <v>1084</v>
      </c>
      <c r="B1145" s="138">
        <f>'Expenditures 15-22'!K102</f>
        <v>238851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1825315</v>
      </c>
      <c r="C1152" s="2" t="s">
        <v>573</v>
      </c>
      <c r="D1152" s="2" t="str">
        <f t="shared" si="17"/>
        <v>Error?</v>
      </c>
    </row>
    <row r="1153" spans="1:4" x14ac:dyDescent="0.2">
      <c r="A1153" s="5">
        <v>1092</v>
      </c>
      <c r="B1153" s="138">
        <f>'Expenditures 15-22'!K115</f>
        <v>-146567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58668</v>
      </c>
      <c r="D1221" s="2" t="str">
        <f t="shared" si="18"/>
        <v>Error?</v>
      </c>
    </row>
    <row r="1222" spans="1:4" x14ac:dyDescent="0.2">
      <c r="A1222" s="10">
        <v>1161</v>
      </c>
      <c r="D1222" s="2" t="str">
        <f t="shared" si="18"/>
        <v>OK</v>
      </c>
    </row>
    <row r="1223" spans="1:4" x14ac:dyDescent="0.2">
      <c r="A1223" s="5">
        <v>1162</v>
      </c>
      <c r="B1223" s="138">
        <f>'Expenditures 15-22'!C127</f>
        <v>58668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58668</v>
      </c>
      <c r="C1225" s="2" t="s">
        <v>573</v>
      </c>
      <c r="D1225" s="2" t="str">
        <f t="shared" si="18"/>
        <v>Error?</v>
      </c>
    </row>
    <row r="1226" spans="1:4" x14ac:dyDescent="0.2">
      <c r="A1226" s="5">
        <v>1165</v>
      </c>
      <c r="B1226" s="138">
        <f>'Expenditures 15-22'!C151</f>
        <v>58668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6830</v>
      </c>
      <c r="D1229" s="2" t="str">
        <f t="shared" si="18"/>
        <v>Error?</v>
      </c>
    </row>
    <row r="1230" spans="1:4" x14ac:dyDescent="0.2">
      <c r="A1230" s="10">
        <v>1169</v>
      </c>
      <c r="D1230" s="2" t="str">
        <f t="shared" si="18"/>
        <v>OK</v>
      </c>
    </row>
    <row r="1231" spans="1:4" x14ac:dyDescent="0.2">
      <c r="A1231" s="5">
        <v>1170</v>
      </c>
      <c r="B1231" s="138">
        <f>'Expenditures 15-22'!D127</f>
        <v>6830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6830</v>
      </c>
      <c r="C1233" s="2" t="s">
        <v>573</v>
      </c>
      <c r="D1233" s="2" t="str">
        <f t="shared" si="18"/>
        <v>Error?</v>
      </c>
    </row>
    <row r="1234" spans="1:4" x14ac:dyDescent="0.2">
      <c r="A1234" s="5">
        <v>1173</v>
      </c>
      <c r="B1234" s="138">
        <f>'Expenditures 15-22'!D151</f>
        <v>6830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53876</v>
      </c>
      <c r="D1237" s="2" t="str">
        <f t="shared" si="18"/>
        <v>Error?</v>
      </c>
    </row>
    <row r="1238" spans="1:4" x14ac:dyDescent="0.2">
      <c r="A1238" s="10">
        <v>1177</v>
      </c>
      <c r="D1238" s="2" t="str">
        <f t="shared" si="18"/>
        <v>OK</v>
      </c>
    </row>
    <row r="1239" spans="1:4" x14ac:dyDescent="0.2">
      <c r="A1239" s="5">
        <v>1178</v>
      </c>
      <c r="B1239" s="138">
        <f>'Expenditures 15-22'!E127</f>
        <v>53876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53876</v>
      </c>
      <c r="C1241" s="2" t="s">
        <v>573</v>
      </c>
      <c r="D1241" s="2" t="str">
        <f t="shared" si="18"/>
        <v>Error?</v>
      </c>
    </row>
    <row r="1242" spans="1:4" x14ac:dyDescent="0.2">
      <c r="A1242" s="5">
        <v>1181</v>
      </c>
      <c r="B1242" s="138">
        <f>'Expenditures 15-22'!E151</f>
        <v>53876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51780</v>
      </c>
      <c r="D1245" s="2" t="str">
        <f t="shared" si="18"/>
        <v>Error?</v>
      </c>
    </row>
    <row r="1246" spans="1:4" x14ac:dyDescent="0.2">
      <c r="A1246" s="10">
        <v>1185</v>
      </c>
      <c r="D1246" s="2" t="str">
        <f t="shared" si="18"/>
        <v>OK</v>
      </c>
    </row>
    <row r="1247" spans="1:4" x14ac:dyDescent="0.2">
      <c r="A1247" s="5">
        <v>1186</v>
      </c>
      <c r="B1247" s="138">
        <f>'Expenditures 15-22'!F127</f>
        <v>51780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51780</v>
      </c>
      <c r="C1249" s="2" t="s">
        <v>573</v>
      </c>
      <c r="D1249" s="2" t="str">
        <f t="shared" si="18"/>
        <v>Error?</v>
      </c>
    </row>
    <row r="1250" spans="1:4" x14ac:dyDescent="0.2">
      <c r="A1250" s="5">
        <v>1189</v>
      </c>
      <c r="B1250" s="138">
        <f>'Expenditures 15-22'!F151</f>
        <v>51780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2404</v>
      </c>
      <c r="D1262" s="2" t="str">
        <f t="shared" si="18"/>
        <v>Error?</v>
      </c>
    </row>
    <row r="1263" spans="1:4" x14ac:dyDescent="0.2">
      <c r="A1263" s="10">
        <v>1202</v>
      </c>
      <c r="D1263" s="2" t="str">
        <f t="shared" si="18"/>
        <v>OK</v>
      </c>
    </row>
    <row r="1264" spans="1:4" x14ac:dyDescent="0.2">
      <c r="A1264" s="5">
        <v>1203</v>
      </c>
      <c r="B1264" s="138">
        <f>'Expenditures 15-22'!H127</f>
        <v>2404</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2404</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2404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173558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173558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173558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173558</v>
      </c>
      <c r="C1288" s="2" t="s">
        <v>573</v>
      </c>
      <c r="D1288" s="2" t="str">
        <f t="shared" si="19"/>
        <v>Error?</v>
      </c>
    </row>
    <row r="1289" spans="1:4" x14ac:dyDescent="0.2">
      <c r="A1289" s="5">
        <v>1228</v>
      </c>
      <c r="B1289" s="138">
        <f>'Expenditures 15-22'!K152</f>
        <v>-18305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86175</v>
      </c>
      <c r="C1317" s="2" t="s">
        <v>573</v>
      </c>
      <c r="D1317" s="2" t="str">
        <f t="shared" si="19"/>
        <v>Error?</v>
      </c>
    </row>
    <row r="1318" spans="1:4" x14ac:dyDescent="0.2">
      <c r="A1318" s="5">
        <v>1257</v>
      </c>
      <c r="B1318" s="138">
        <f>'Expenditures 15-22'!H174</f>
        <v>86175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6175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86175</v>
      </c>
      <c r="C1331" s="2" t="s">
        <v>573</v>
      </c>
      <c r="D1331" s="2" t="str">
        <f t="shared" si="19"/>
        <v>Error?</v>
      </c>
    </row>
    <row r="1332" spans="1:4" x14ac:dyDescent="0.2">
      <c r="A1332" s="5">
        <v>1271</v>
      </c>
      <c r="B1332" s="138">
        <f>'Expenditures 15-22'!K174</f>
        <v>86175</v>
      </c>
      <c r="C1332" s="2" t="s">
        <v>573</v>
      </c>
      <c r="D1332" s="2" t="str">
        <f t="shared" si="19"/>
        <v>Error?</v>
      </c>
    </row>
    <row r="1333" spans="1:4" x14ac:dyDescent="0.2">
      <c r="A1333" s="5">
        <v>1272</v>
      </c>
      <c r="B1333" s="138">
        <f>'Expenditures 15-22'!K175</f>
        <v>820</v>
      </c>
      <c r="C1333" s="2" t="s">
        <v>573</v>
      </c>
      <c r="D1333" s="2" t="str">
        <f t="shared" si="19"/>
        <v>Error?</v>
      </c>
    </row>
    <row r="1334" spans="1:4" x14ac:dyDescent="0.2">
      <c r="A1334" s="10">
        <v>1273</v>
      </c>
      <c r="D1334" s="2" t="str">
        <f t="shared" si="19"/>
        <v>OK</v>
      </c>
    </row>
    <row r="1335" spans="1:4" x14ac:dyDescent="0.2">
      <c r="A1335" s="5">
        <v>1274</v>
      </c>
      <c r="B1335" s="138">
        <f>'Expenditures 15-22'!C182</f>
        <v>93516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93516</v>
      </c>
      <c r="C1339" s="2" t="s">
        <v>573</v>
      </c>
      <c r="D1339" s="2" t="str">
        <f t="shared" si="19"/>
        <v>Error?</v>
      </c>
    </row>
    <row r="1340" spans="1:4" x14ac:dyDescent="0.2">
      <c r="A1340" s="5">
        <v>1279</v>
      </c>
      <c r="B1340" s="138">
        <f>'Expenditures 15-22'!C210</f>
        <v>93516</v>
      </c>
      <c r="C1340" s="2" t="s">
        <v>573</v>
      </c>
      <c r="D1340" s="2" t="str">
        <f t="shared" si="19"/>
        <v>Error?</v>
      </c>
    </row>
    <row r="1341" spans="1:4" x14ac:dyDescent="0.2">
      <c r="A1341" s="5">
        <v>1280</v>
      </c>
      <c r="B1341" s="138">
        <f>'Expenditures 15-22'!D182</f>
        <v>1969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1969</v>
      </c>
      <c r="C1345" s="2" t="s">
        <v>573</v>
      </c>
      <c r="D1345" s="2" t="str">
        <f t="shared" si="20"/>
        <v>Error?</v>
      </c>
    </row>
    <row r="1346" spans="1:4" x14ac:dyDescent="0.2">
      <c r="A1346" s="5">
        <v>1285</v>
      </c>
      <c r="B1346" s="138">
        <f>'Expenditures 15-22'!D210</f>
        <v>1969</v>
      </c>
      <c r="C1346" s="2" t="s">
        <v>573</v>
      </c>
      <c r="D1346" s="2" t="str">
        <f t="shared" si="20"/>
        <v>Error?</v>
      </c>
    </row>
    <row r="1347" spans="1:4" x14ac:dyDescent="0.2">
      <c r="A1347" s="5">
        <v>1286</v>
      </c>
      <c r="B1347" s="138">
        <f>'Expenditures 15-22'!E182</f>
        <v>12573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12573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12573</v>
      </c>
      <c r="C1353" s="2" t="s">
        <v>573</v>
      </c>
      <c r="D1353" s="2" t="str">
        <f t="shared" si="20"/>
        <v>Error?</v>
      </c>
    </row>
    <row r="1354" spans="1:4" x14ac:dyDescent="0.2">
      <c r="A1354" s="5">
        <v>1293</v>
      </c>
      <c r="B1354" s="138">
        <f>'Expenditures 15-22'!F182</f>
        <v>16432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16432</v>
      </c>
      <c r="C1358" s="2" t="s">
        <v>573</v>
      </c>
      <c r="D1358" s="2" t="str">
        <f t="shared" si="20"/>
        <v>Error?</v>
      </c>
    </row>
    <row r="1359" spans="1:4" x14ac:dyDescent="0.2">
      <c r="A1359" s="5">
        <v>1298</v>
      </c>
      <c r="B1359" s="138">
        <f>'Expenditures 15-22'!F210</f>
        <v>16432</v>
      </c>
      <c r="C1359" s="2" t="s">
        <v>573</v>
      </c>
      <c r="D1359" s="2" t="str">
        <f t="shared" si="20"/>
        <v>Error?</v>
      </c>
    </row>
    <row r="1360" spans="1:4" x14ac:dyDescent="0.2">
      <c r="A1360" s="5">
        <v>1299</v>
      </c>
      <c r="B1360" s="138">
        <f>'Expenditures 15-22'!G182</f>
        <v>86547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86547</v>
      </c>
      <c r="C1364" s="2" t="s">
        <v>573</v>
      </c>
      <c r="D1364" s="2" t="str">
        <f t="shared" si="20"/>
        <v>Error?</v>
      </c>
    </row>
    <row r="1365" spans="1:4" x14ac:dyDescent="0.2">
      <c r="A1365" s="5">
        <v>1304</v>
      </c>
      <c r="B1365" s="138">
        <f>'Expenditures 15-22'!G210</f>
        <v>86547</v>
      </c>
      <c r="C1365" s="2" t="s">
        <v>573</v>
      </c>
      <c r="D1365" s="2" t="str">
        <f t="shared" si="20"/>
        <v>Error?</v>
      </c>
    </row>
    <row r="1366" spans="1:4" x14ac:dyDescent="0.2">
      <c r="A1366" s="5">
        <v>1305</v>
      </c>
      <c r="B1366" s="138">
        <f>'Expenditures 15-22'!H182</f>
        <v>530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530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530</v>
      </c>
      <c r="C1376" s="2" t="s">
        <v>573</v>
      </c>
      <c r="D1376" s="2" t="str">
        <f t="shared" si="20"/>
        <v>Error?</v>
      </c>
    </row>
    <row r="1377" spans="1:4" x14ac:dyDescent="0.2">
      <c r="A1377" s="5">
        <v>1316</v>
      </c>
      <c r="B1377" s="138">
        <f>'Expenditures 15-22'!K182</f>
        <v>211567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211567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211567</v>
      </c>
      <c r="C1388" s="2" t="s">
        <v>573</v>
      </c>
      <c r="D1388" s="2" t="str">
        <f t="shared" si="20"/>
        <v>Error?</v>
      </c>
    </row>
    <row r="1389" spans="1:4" x14ac:dyDescent="0.2">
      <c r="A1389" s="5">
        <v>1328</v>
      </c>
      <c r="B1389" s="138">
        <f>'Expenditures 15-22'!K211</f>
        <v>-101145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168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1957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20324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3024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769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3793</v>
      </c>
      <c r="C1417" s="2" t="s">
        <v>573</v>
      </c>
      <c r="D1417" s="2" t="str">
        <f t="shared" si="21"/>
        <v>Error?</v>
      </c>
    </row>
    <row r="1418" spans="1:4" x14ac:dyDescent="0.2">
      <c r="A1418" s="5">
        <v>1357</v>
      </c>
      <c r="B1418" s="138">
        <f>'Expenditures 15-22'!D240</f>
        <v>45</v>
      </c>
      <c r="D1418" s="2" t="str">
        <f t="shared" si="21"/>
        <v>Error?</v>
      </c>
    </row>
    <row r="1419" spans="1:4" x14ac:dyDescent="0.2">
      <c r="A1419" s="5">
        <v>1358</v>
      </c>
      <c r="B1419" s="138">
        <f>'Expenditures 15-22'!D241</f>
        <v>1518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1563</v>
      </c>
      <c r="C1421" s="2" t="s">
        <v>573</v>
      </c>
      <c r="D1421" s="2" t="str">
        <f t="shared" si="21"/>
        <v>Error?</v>
      </c>
    </row>
    <row r="1422" spans="1:4" x14ac:dyDescent="0.2">
      <c r="A1422" s="5">
        <v>1361</v>
      </c>
      <c r="B1422" s="138">
        <f>'Expenditures 15-22'!D245</f>
        <v>266</v>
      </c>
      <c r="D1422" s="2" t="str">
        <f t="shared" si="21"/>
        <v>Error?</v>
      </c>
    </row>
    <row r="1423" spans="1:4" x14ac:dyDescent="0.2">
      <c r="A1423" s="5">
        <v>1362</v>
      </c>
      <c r="B1423" s="138">
        <f>'Expenditures 15-22'!D246</f>
        <v>2889</v>
      </c>
      <c r="D1423" s="2" t="str">
        <f t="shared" si="21"/>
        <v>Error?</v>
      </c>
    </row>
    <row r="1424" spans="1:4" x14ac:dyDescent="0.2">
      <c r="A1424" s="5">
        <v>1363</v>
      </c>
      <c r="B1424" s="138">
        <f>'Expenditures 15-22'!D257</f>
        <v>3298</v>
      </c>
      <c r="C1424" s="2" t="s">
        <v>573</v>
      </c>
      <c r="D1424" s="2" t="str">
        <f t="shared" si="21"/>
        <v>Error?</v>
      </c>
    </row>
    <row r="1425" spans="1:4" x14ac:dyDescent="0.2">
      <c r="A1425" s="5">
        <v>1364</v>
      </c>
      <c r="B1425" s="138">
        <f>'Expenditures 15-22'!D259</f>
        <v>3512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3512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3266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6943</v>
      </c>
      <c r="D1431" s="2" t="str">
        <f t="shared" si="21"/>
        <v>Error?</v>
      </c>
    </row>
    <row r="1432" spans="1:4" x14ac:dyDescent="0.2">
      <c r="A1432" s="5">
        <v>1371</v>
      </c>
      <c r="B1432" s="138">
        <f>'Expenditures 15-22'!D267</f>
        <v>8831</v>
      </c>
      <c r="D1432" s="2" t="str">
        <f t="shared" si="21"/>
        <v>Error?</v>
      </c>
    </row>
    <row r="1433" spans="1:4" x14ac:dyDescent="0.2">
      <c r="A1433" s="5">
        <v>1372</v>
      </c>
      <c r="B1433" s="138">
        <f>'Expenditures 15-22'!D268</f>
        <v>2704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21744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33910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54234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168</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1957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20324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3024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769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3793</v>
      </c>
      <c r="C1481" s="2" t="s">
        <v>573</v>
      </c>
      <c r="D1481" s="2" t="str">
        <f t="shared" si="22"/>
        <v>Error?</v>
      </c>
    </row>
    <row r="1482" spans="1:4" x14ac:dyDescent="0.2">
      <c r="A1482" s="5">
        <v>1421</v>
      </c>
      <c r="B1482" s="138">
        <f>'Expenditures 15-22'!K240</f>
        <v>45</v>
      </c>
      <c r="C1482" s="2" t="s">
        <v>573</v>
      </c>
      <c r="D1482" s="2" t="str">
        <f t="shared" si="22"/>
        <v>Error?</v>
      </c>
    </row>
    <row r="1483" spans="1:4" x14ac:dyDescent="0.2">
      <c r="A1483" s="5">
        <v>1422</v>
      </c>
      <c r="B1483" s="138">
        <f>'Expenditures 15-22'!K241</f>
        <v>1518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1563</v>
      </c>
      <c r="C1485" s="2" t="s">
        <v>573</v>
      </c>
      <c r="D1485" s="2" t="str">
        <f t="shared" si="22"/>
        <v>Error?</v>
      </c>
    </row>
    <row r="1486" spans="1:4" x14ac:dyDescent="0.2">
      <c r="A1486" s="5">
        <v>1425</v>
      </c>
      <c r="B1486" s="138">
        <f>'Expenditures 15-22'!K245</f>
        <v>266</v>
      </c>
      <c r="C1486" s="2" t="s">
        <v>573</v>
      </c>
      <c r="D1486" s="2" t="str">
        <f t="shared" si="22"/>
        <v>Error?</v>
      </c>
    </row>
    <row r="1487" spans="1:4" x14ac:dyDescent="0.2">
      <c r="A1487" s="5">
        <v>1426</v>
      </c>
      <c r="B1487" s="138">
        <f>'Expenditures 15-22'!K246</f>
        <v>2889</v>
      </c>
      <c r="C1487" s="2" t="s">
        <v>573</v>
      </c>
      <c r="D1487" s="2" t="str">
        <f t="shared" si="22"/>
        <v>Error?</v>
      </c>
    </row>
    <row r="1488" spans="1:4" x14ac:dyDescent="0.2">
      <c r="A1488" s="5">
        <v>1427</v>
      </c>
      <c r="B1488" s="138">
        <f>'Expenditures 15-22'!K257</f>
        <v>3298</v>
      </c>
      <c r="C1488" s="2" t="s">
        <v>573</v>
      </c>
      <c r="D1488" s="2" t="str">
        <f t="shared" si="22"/>
        <v>Error?</v>
      </c>
    </row>
    <row r="1489" spans="1:4" x14ac:dyDescent="0.2">
      <c r="A1489" s="5">
        <v>1428</v>
      </c>
      <c r="B1489" s="138">
        <f>'Expenditures 15-22'!K259</f>
        <v>3512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3512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3266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6943</v>
      </c>
      <c r="C1495" s="2" t="s">
        <v>573</v>
      </c>
      <c r="D1495" s="2" t="str">
        <f t="shared" si="22"/>
        <v>Error?</v>
      </c>
    </row>
    <row r="1496" spans="1:4" x14ac:dyDescent="0.2">
      <c r="A1496" s="5">
        <v>1435</v>
      </c>
      <c r="B1496" s="138">
        <f>'Expenditures 15-22'!K267</f>
        <v>8831</v>
      </c>
      <c r="C1496" s="2" t="s">
        <v>573</v>
      </c>
      <c r="D1496" s="2" t="str">
        <f t="shared" si="22"/>
        <v>Error?</v>
      </c>
    </row>
    <row r="1497" spans="1:4" x14ac:dyDescent="0.2">
      <c r="A1497" s="5">
        <v>1436</v>
      </c>
      <c r="B1497" s="138">
        <f>'Expenditures 15-22'!K268</f>
        <v>2704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21744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33910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54234</v>
      </c>
      <c r="C1517" s="2" t="s">
        <v>573</v>
      </c>
      <c r="D1517" s="2" t="str">
        <f t="shared" si="22"/>
        <v>Error?</v>
      </c>
    </row>
    <row r="1518" spans="1:4" x14ac:dyDescent="0.2">
      <c r="A1518" s="5">
        <v>1457</v>
      </c>
      <c r="B1518" s="138">
        <f>'Expenditures 15-22'!K296</f>
        <v>-1077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19350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19350</v>
      </c>
      <c r="C1553" s="2" t="s">
        <v>573</v>
      </c>
      <c r="D1553" s="2" t="str">
        <f t="shared" si="23"/>
        <v>Error?</v>
      </c>
    </row>
    <row r="1554" spans="1:4" x14ac:dyDescent="0.2">
      <c r="A1554" s="5">
        <v>1493</v>
      </c>
      <c r="B1554" s="138">
        <f>'Expenditures 15-22'!H312</f>
        <v>19350</v>
      </c>
      <c r="C1554" s="2" t="s">
        <v>573</v>
      </c>
      <c r="D1554" s="2" t="str">
        <f t="shared" si="23"/>
        <v>Error?</v>
      </c>
    </row>
    <row r="1555" spans="1:4" x14ac:dyDescent="0.2">
      <c r="A1555" s="5">
        <v>1494</v>
      </c>
      <c r="B1555" s="138">
        <f>'Expenditures 15-22'!K301</f>
        <v>19350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19350</v>
      </c>
      <c r="C1559" s="2" t="s">
        <v>573</v>
      </c>
      <c r="D1559" s="2" t="str">
        <f t="shared" si="23"/>
        <v>Error?</v>
      </c>
    </row>
    <row r="1560" spans="1:4" x14ac:dyDescent="0.2">
      <c r="A1560" s="5">
        <v>1499</v>
      </c>
      <c r="B1560" s="138">
        <f>'Expenditures 15-22'!K312</f>
        <v>19350</v>
      </c>
      <c r="C1560" s="2" t="s">
        <v>573</v>
      </c>
      <c r="D1560" s="2" t="str">
        <f t="shared" si="23"/>
        <v>Error?</v>
      </c>
    </row>
    <row r="1561" spans="1:4" x14ac:dyDescent="0.2">
      <c r="A1561" s="5">
        <v>1500</v>
      </c>
      <c r="B1561" s="138">
        <f>'Expenditures 15-22'!K313</f>
        <v>-19349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623402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476835</v>
      </c>
      <c r="C1630" s="2" t="s">
        <v>573</v>
      </c>
      <c r="D1630" s="2" t="str">
        <f t="shared" si="24"/>
        <v>Error?</v>
      </c>
    </row>
    <row r="1631" spans="1:4" x14ac:dyDescent="0.2">
      <c r="A1631" s="5">
        <v>1570</v>
      </c>
      <c r="B1631" s="138">
        <f>'Acct Summary 7-8'!D79</f>
        <v>51764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33459</v>
      </c>
      <c r="C1644" s="2" t="s">
        <v>573</v>
      </c>
      <c r="D1644" s="2" t="str">
        <f t="shared" si="24"/>
        <v>Error?</v>
      </c>
    </row>
    <row r="1645" spans="1:4" x14ac:dyDescent="0.2">
      <c r="A1645" s="5">
        <v>1584</v>
      </c>
      <c r="B1645" s="138">
        <f>'Acct Summary 7-8'!E79</f>
        <v>7599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8419</v>
      </c>
      <c r="C1658" s="2" t="s">
        <v>573</v>
      </c>
      <c r="D1658" s="2" t="str">
        <f t="shared" si="24"/>
        <v>Error?</v>
      </c>
    </row>
    <row r="1659" spans="1:4" x14ac:dyDescent="0.2">
      <c r="A1659" s="5">
        <v>1598</v>
      </c>
      <c r="B1659" s="138">
        <f>'Acct Summary 7-8'!F79</f>
        <v>148711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47566</v>
      </c>
      <c r="C1672" s="2" t="s">
        <v>573</v>
      </c>
      <c r="D1672" s="2" t="str">
        <f t="shared" si="25"/>
        <v>Error?</v>
      </c>
    </row>
    <row r="1673" spans="1:4" x14ac:dyDescent="0.2">
      <c r="A1673" s="5">
        <v>1612</v>
      </c>
      <c r="B1673" s="138">
        <f>'Acct Summary 7-8'!G79</f>
        <v>23103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22026</v>
      </c>
      <c r="C1686" s="2" t="s">
        <v>573</v>
      </c>
      <c r="D1686" s="2" t="str">
        <f t="shared" si="25"/>
        <v>Error?</v>
      </c>
    </row>
    <row r="1687" spans="1:4" x14ac:dyDescent="0.2">
      <c r="A1687" s="5">
        <v>1626</v>
      </c>
      <c r="B1687" s="138">
        <f>'Acct Summary 7-8'!H79</f>
        <v>6211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862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715008</v>
      </c>
      <c r="C1744" s="2" t="s">
        <v>573</v>
      </c>
      <c r="D1744" s="2" t="str">
        <f t="shared" si="26"/>
        <v>Error?</v>
      </c>
    </row>
    <row r="1745" spans="1:5" x14ac:dyDescent="0.2">
      <c r="A1745" s="5">
        <v>1684</v>
      </c>
      <c r="B1745" s="138">
        <f>'Tax Sched 23'!B5</f>
        <v>79949</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18488</v>
      </c>
      <c r="C1747" s="2" t="s">
        <v>573</v>
      </c>
      <c r="D1747" s="2" t="str">
        <f t="shared" si="26"/>
        <v>Error?</v>
      </c>
    </row>
    <row r="1748" spans="1:5" x14ac:dyDescent="0.2">
      <c r="A1748" s="5">
        <v>1687</v>
      </c>
      <c r="B1748" s="138">
        <f>'Tax Sched 23'!B8</f>
        <v>52956</v>
      </c>
      <c r="C1748" s="2" t="s">
        <v>573</v>
      </c>
      <c r="D1748" s="2" t="str">
        <f t="shared" si="26"/>
        <v>Error?</v>
      </c>
    </row>
    <row r="1749" spans="1:5" x14ac:dyDescent="0.2">
      <c r="A1749" s="5">
        <v>1688</v>
      </c>
      <c r="B1749" s="138">
        <f>'Tax Sched 23'!B10</f>
        <v>10997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35978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10997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924387</v>
      </c>
      <c r="C1759" s="2" t="s">
        <v>573</v>
      </c>
      <c r="D1759" s="2" t="str">
        <f t="shared" si="26"/>
        <v>Error?</v>
      </c>
    </row>
    <row r="1760" spans="1:5" x14ac:dyDescent="0.2">
      <c r="A1760" s="5">
        <v>1699</v>
      </c>
      <c r="B1760" s="138">
        <f>'Tax Sched 23'!D4</f>
        <v>715008</v>
      </c>
      <c r="C1760" s="2" t="s">
        <v>573</v>
      </c>
      <c r="D1760" s="2" t="str">
        <f t="shared" si="26"/>
        <v>Error?</v>
      </c>
    </row>
    <row r="1761" spans="1:5" x14ac:dyDescent="0.2">
      <c r="A1761" s="5">
        <v>1700</v>
      </c>
      <c r="B1761" s="138">
        <f>'Tax Sched 23'!D5</f>
        <v>79949</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18488</v>
      </c>
      <c r="C1763" s="2" t="s">
        <v>573</v>
      </c>
      <c r="D1763" s="2" t="str">
        <f t="shared" si="26"/>
        <v>Error?</v>
      </c>
    </row>
    <row r="1764" spans="1:5" x14ac:dyDescent="0.2">
      <c r="A1764" s="5">
        <v>1703</v>
      </c>
      <c r="B1764" s="138">
        <f>'Tax Sched 23'!D8</f>
        <v>52956</v>
      </c>
      <c r="C1764" s="2" t="s">
        <v>573</v>
      </c>
      <c r="D1764" s="2" t="str">
        <f t="shared" si="26"/>
        <v>Error?</v>
      </c>
    </row>
    <row r="1765" spans="1:5" x14ac:dyDescent="0.2">
      <c r="A1765" s="5">
        <v>1704</v>
      </c>
      <c r="B1765" s="138">
        <f>'Tax Sched 23'!D10</f>
        <v>10997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35978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10997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924387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735001</v>
      </c>
      <c r="C1792" s="2" t="s">
        <v>573</v>
      </c>
      <c r="D1792" s="2" t="str">
        <f t="shared" si="27"/>
        <v>Error?</v>
      </c>
    </row>
    <row r="1793" spans="1:4" x14ac:dyDescent="0.2">
      <c r="A1793" s="5">
        <v>1732</v>
      </c>
      <c r="B1793" s="138">
        <f>'Tax Sched 23'!F5</f>
        <v>95001</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18503</v>
      </c>
      <c r="C1795" s="2" t="s">
        <v>573</v>
      </c>
      <c r="D1795" s="2" t="str">
        <f t="shared" si="27"/>
        <v>Error?</v>
      </c>
    </row>
    <row r="1796" spans="1:4" x14ac:dyDescent="0.2">
      <c r="A1796" s="5">
        <v>1735</v>
      </c>
      <c r="B1796" s="138">
        <f>'Tax Sched 23'!F8</f>
        <v>28503</v>
      </c>
      <c r="C1796" s="2" t="s">
        <v>573</v>
      </c>
      <c r="D1796" s="2" t="str">
        <f t="shared" si="27"/>
        <v>Error?</v>
      </c>
    </row>
    <row r="1797" spans="1:4" x14ac:dyDescent="0.2">
      <c r="A1797" s="5">
        <v>1736</v>
      </c>
      <c r="B1797" s="138">
        <f>'Tax Sched 23'!F10</f>
        <v>11002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36003</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11002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965015</v>
      </c>
      <c r="C1807" s="2" t="s">
        <v>573</v>
      </c>
      <c r="D1807" s="2" t="str">
        <f t="shared" si="27"/>
        <v>Error?</v>
      </c>
    </row>
    <row r="1808" spans="1:4" x14ac:dyDescent="0.2">
      <c r="A1808" s="5">
        <v>1747</v>
      </c>
      <c r="B1808" s="138">
        <f>'Tax Sched 23'!E4</f>
        <v>735001</v>
      </c>
      <c r="D1808" s="2" t="str">
        <f t="shared" si="27"/>
        <v>Error?</v>
      </c>
    </row>
    <row r="1809" spans="1:4" x14ac:dyDescent="0.2">
      <c r="A1809" s="5">
        <v>1748</v>
      </c>
      <c r="B1809" s="138">
        <f>'Tax Sched 23'!E5</f>
        <v>95001</v>
      </c>
      <c r="D1809" s="2" t="str">
        <f t="shared" si="27"/>
        <v>Error?</v>
      </c>
    </row>
    <row r="1810" spans="1:4" x14ac:dyDescent="0.2">
      <c r="A1810" s="5">
        <v>1749</v>
      </c>
      <c r="B1810" s="138">
        <f>'Tax Sched 23'!E6</f>
        <v>0</v>
      </c>
      <c r="D1810" s="2" t="str">
        <f t="shared" si="27"/>
        <v>Error?</v>
      </c>
    </row>
    <row r="1811" spans="1:4" x14ac:dyDescent="0.2">
      <c r="A1811" s="5">
        <v>1750</v>
      </c>
      <c r="B1811" s="138">
        <f>'Tax Sched 23'!E7</f>
        <v>18503</v>
      </c>
      <c r="D1811" s="2" t="str">
        <f t="shared" si="27"/>
        <v>Error?</v>
      </c>
    </row>
    <row r="1812" spans="1:4" x14ac:dyDescent="0.2">
      <c r="A1812" s="5">
        <v>1751</v>
      </c>
      <c r="B1812" s="138">
        <f>'Tax Sched 23'!E8</f>
        <v>28503</v>
      </c>
      <c r="D1812" s="2" t="str">
        <f t="shared" si="27"/>
        <v>Error?</v>
      </c>
    </row>
    <row r="1813" spans="1:4" x14ac:dyDescent="0.2">
      <c r="A1813" s="5">
        <v>1752</v>
      </c>
      <c r="B1813" s="138">
        <f>'Tax Sched 23'!E10</f>
        <v>11002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36003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11002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965015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10997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10997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10997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61564</v>
      </c>
      <c r="D2008" s="2" t="str">
        <f t="shared" si="30"/>
        <v>Error?</v>
      </c>
    </row>
    <row r="2009" spans="1:4" x14ac:dyDescent="0.2">
      <c r="A2009" s="5">
        <v>1948</v>
      </c>
      <c r="B2009" s="138">
        <f>'Cap Outlay Deprec 26'!C8</f>
        <v>3332089</v>
      </c>
      <c r="D2009" s="2" t="str">
        <f t="shared" si="30"/>
        <v>Error?</v>
      </c>
    </row>
    <row r="2010" spans="1:4" x14ac:dyDescent="0.2">
      <c r="A2010" s="5">
        <v>1949</v>
      </c>
      <c r="B2010" s="138">
        <f>'Cap Outlay Deprec 26'!C10</f>
        <v>66940</v>
      </c>
      <c r="D2010" s="2" t="str">
        <f t="shared" si="30"/>
        <v>Error?</v>
      </c>
    </row>
    <row r="2011" spans="1:4" x14ac:dyDescent="0.2">
      <c r="A2011" s="5">
        <v>1950</v>
      </c>
      <c r="B2011" s="138">
        <f>'Cap Outlay Deprec 26'!C12</f>
        <v>333774</v>
      </c>
      <c r="D2011" s="2" t="str">
        <f t="shared" si="30"/>
        <v>Error?</v>
      </c>
    </row>
    <row r="2012" spans="1:4" x14ac:dyDescent="0.2">
      <c r="A2012" s="5">
        <v>1951</v>
      </c>
      <c r="B2012" s="138">
        <f>'Cap Outlay Deprec 26'!C13</f>
        <v>288334</v>
      </c>
      <c r="D2012" s="2" t="str">
        <f t="shared" si="30"/>
        <v>Error?</v>
      </c>
    </row>
    <row r="2013" spans="1:4" x14ac:dyDescent="0.2">
      <c r="A2013" s="5">
        <v>1952</v>
      </c>
      <c r="B2013" s="138">
        <f>'Cap Outlay Deprec 26'!C16</f>
        <v>4082701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19334</v>
      </c>
      <c r="D2017" s="2" t="str">
        <f t="shared" si="30"/>
        <v>Error?</v>
      </c>
    </row>
    <row r="2018" spans="1:4" x14ac:dyDescent="0.2">
      <c r="A2018" s="5">
        <v>1957</v>
      </c>
      <c r="B2018" s="138">
        <f>'Cap Outlay Deprec 26'!D13</f>
        <v>88911</v>
      </c>
      <c r="D2018" s="2" t="str">
        <f t="shared" si="30"/>
        <v>Error?</v>
      </c>
    </row>
    <row r="2019" spans="1:4" x14ac:dyDescent="0.2">
      <c r="A2019" s="5">
        <v>1958</v>
      </c>
      <c r="B2019" s="138">
        <f>'Cap Outlay Deprec 26'!D16</f>
        <v>108245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61564</v>
      </c>
      <c r="C2026" s="2" t="s">
        <v>573</v>
      </c>
      <c r="D2026" s="2" t="str">
        <f t="shared" si="30"/>
        <v>Error?</v>
      </c>
    </row>
    <row r="2027" spans="1:4" x14ac:dyDescent="0.2">
      <c r="A2027" s="5">
        <v>1966</v>
      </c>
      <c r="B2027" s="138">
        <f>'Cap Outlay Deprec 26'!F8</f>
        <v>3332089</v>
      </c>
      <c r="C2027" s="2" t="s">
        <v>573</v>
      </c>
      <c r="D2027" s="2" t="str">
        <f t="shared" si="30"/>
        <v>Error?</v>
      </c>
    </row>
    <row r="2028" spans="1:4" x14ac:dyDescent="0.2">
      <c r="A2028" s="5">
        <v>1967</v>
      </c>
      <c r="B2028" s="138">
        <f>'Cap Outlay Deprec 26'!F10</f>
        <v>66940</v>
      </c>
      <c r="C2028" s="2" t="s">
        <v>573</v>
      </c>
      <c r="D2028" s="2" t="str">
        <f t="shared" si="30"/>
        <v>Error?</v>
      </c>
    </row>
    <row r="2029" spans="1:4" x14ac:dyDescent="0.2">
      <c r="A2029" s="5">
        <v>1968</v>
      </c>
      <c r="B2029" s="138">
        <f>'Cap Outlay Deprec 26'!F12</f>
        <v>353108</v>
      </c>
      <c r="C2029" s="2" t="s">
        <v>573</v>
      </c>
      <c r="D2029" s="2" t="str">
        <f t="shared" si="30"/>
        <v>Error?</v>
      </c>
    </row>
    <row r="2030" spans="1:4" x14ac:dyDescent="0.2">
      <c r="A2030" s="5">
        <v>1969</v>
      </c>
      <c r="B2030" s="138">
        <f>'Cap Outlay Deprec 26'!F13</f>
        <v>377245</v>
      </c>
      <c r="C2030" s="2" t="s">
        <v>573</v>
      </c>
      <c r="D2030" s="2" t="str">
        <f t="shared" si="30"/>
        <v>Error?</v>
      </c>
    </row>
    <row r="2031" spans="1:4" x14ac:dyDescent="0.2">
      <c r="A2031" s="5">
        <v>1970</v>
      </c>
      <c r="B2031" s="138">
        <f>'Cap Outlay Deprec 26'!F16</f>
        <v>4190946</v>
      </c>
      <c r="C2031" s="2" t="s">
        <v>573</v>
      </c>
      <c r="D2031" s="2" t="str">
        <f t="shared" si="30"/>
        <v>Error?</v>
      </c>
    </row>
    <row r="2032" spans="1:4" x14ac:dyDescent="0.2">
      <c r="A2032" s="10">
        <v>1971</v>
      </c>
      <c r="D2032" s="2" t="str">
        <f t="shared" si="30"/>
        <v>OK</v>
      </c>
    </row>
    <row r="2033" spans="1:4" x14ac:dyDescent="0.2">
      <c r="A2033" s="5">
        <v>1972</v>
      </c>
      <c r="B2033" s="138">
        <f>'Cap Outlay Deprec 26'!H8</f>
        <v>1515023</v>
      </c>
      <c r="D2033" s="2" t="str">
        <f t="shared" si="30"/>
        <v>Error?</v>
      </c>
    </row>
    <row r="2034" spans="1:4" x14ac:dyDescent="0.2">
      <c r="A2034" s="5">
        <v>1973</v>
      </c>
      <c r="B2034" s="138">
        <f>'Cap Outlay Deprec 26'!H10</f>
        <v>46194</v>
      </c>
      <c r="D2034" s="2" t="str">
        <f t="shared" si="30"/>
        <v>Error?</v>
      </c>
    </row>
    <row r="2035" spans="1:4" x14ac:dyDescent="0.2">
      <c r="A2035" s="5">
        <v>1974</v>
      </c>
      <c r="B2035" s="138">
        <f>'Cap Outlay Deprec 26'!H12</f>
        <v>329710</v>
      </c>
      <c r="D2035" s="2" t="str">
        <f t="shared" si="30"/>
        <v>Error?</v>
      </c>
    </row>
    <row r="2036" spans="1:4" x14ac:dyDescent="0.2">
      <c r="A2036" s="5">
        <v>1975</v>
      </c>
      <c r="B2036" s="138">
        <f>'Cap Outlay Deprec 26'!H13</f>
        <v>214031</v>
      </c>
      <c r="D2036" s="2" t="str">
        <f t="shared" si="30"/>
        <v>Error?</v>
      </c>
    </row>
    <row r="2037" spans="1:4" x14ac:dyDescent="0.2">
      <c r="A2037" s="5">
        <v>1976</v>
      </c>
      <c r="B2037" s="138">
        <f>'Cap Outlay Deprec 26'!H16</f>
        <v>2104958</v>
      </c>
      <c r="C2037" s="2" t="s">
        <v>573</v>
      </c>
      <c r="D2037" s="2" t="str">
        <f t="shared" si="30"/>
        <v>Error?</v>
      </c>
    </row>
    <row r="2038" spans="1:4" x14ac:dyDescent="0.2">
      <c r="A2038" s="10">
        <v>1977</v>
      </c>
      <c r="D2038" s="2" t="str">
        <f t="shared" si="30"/>
        <v>OK</v>
      </c>
    </row>
    <row r="2039" spans="1:4" x14ac:dyDescent="0.2">
      <c r="A2039" s="5">
        <v>1978</v>
      </c>
      <c r="B2039" s="138">
        <f>'Cap Outlay Deprec 26'!I8</f>
        <v>66053</v>
      </c>
      <c r="D2039" s="2" t="str">
        <f t="shared" si="30"/>
        <v>Error?</v>
      </c>
    </row>
    <row r="2040" spans="1:4" x14ac:dyDescent="0.2">
      <c r="A2040" s="5">
        <v>1979</v>
      </c>
      <c r="B2040" s="138">
        <f>'Cap Outlay Deprec 26'!I10</f>
        <v>1776</v>
      </c>
      <c r="D2040" s="2" t="str">
        <f t="shared" si="30"/>
        <v>Error?</v>
      </c>
    </row>
    <row r="2041" spans="1:4" x14ac:dyDescent="0.2">
      <c r="A2041" s="5">
        <v>1980</v>
      </c>
      <c r="B2041" s="138">
        <f>'Cap Outlay Deprec 26'!I12</f>
        <v>9941</v>
      </c>
      <c r="D2041" s="2" t="str">
        <f t="shared" si="30"/>
        <v>Error?</v>
      </c>
    </row>
    <row r="2042" spans="1:4" x14ac:dyDescent="0.2">
      <c r="A2042" s="5">
        <v>1981</v>
      </c>
      <c r="B2042" s="138">
        <f>'Cap Outlay Deprec 26'!I13</f>
        <v>34961</v>
      </c>
      <c r="D2042" s="2" t="str">
        <f t="shared" si="30"/>
        <v>Error?</v>
      </c>
    </row>
    <row r="2043" spans="1:4" x14ac:dyDescent="0.2">
      <c r="A2043" s="5">
        <v>1982</v>
      </c>
      <c r="B2043" s="138">
        <f>'Cap Outlay Deprec 26'!I16</f>
        <v>112731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1581076</v>
      </c>
      <c r="C2051" s="2" t="s">
        <v>573</v>
      </c>
      <c r="D2051" s="2" t="str">
        <f t="shared" si="31"/>
        <v>Error?</v>
      </c>
    </row>
    <row r="2052" spans="1:4" x14ac:dyDescent="0.2">
      <c r="A2052" s="5">
        <v>1991</v>
      </c>
      <c r="B2052" s="138">
        <f>'Cap Outlay Deprec 26'!K10</f>
        <v>47970</v>
      </c>
      <c r="C2052" s="2" t="s">
        <v>573</v>
      </c>
      <c r="D2052" s="2" t="str">
        <f t="shared" si="31"/>
        <v>Error?</v>
      </c>
    </row>
    <row r="2053" spans="1:4" x14ac:dyDescent="0.2">
      <c r="A2053" s="5">
        <v>1992</v>
      </c>
      <c r="B2053" s="138">
        <f>'Cap Outlay Deprec 26'!K12</f>
        <v>339651</v>
      </c>
      <c r="C2053" s="2" t="s">
        <v>573</v>
      </c>
      <c r="D2053" s="2" t="str">
        <f t="shared" si="31"/>
        <v>Error?</v>
      </c>
    </row>
    <row r="2054" spans="1:4" x14ac:dyDescent="0.2">
      <c r="A2054" s="5">
        <v>1993</v>
      </c>
      <c r="B2054" s="138">
        <f>'Cap Outlay Deprec 26'!K13</f>
        <v>248992</v>
      </c>
      <c r="C2054" s="2" t="s">
        <v>573</v>
      </c>
      <c r="D2054" s="2" t="str">
        <f t="shared" si="31"/>
        <v>Error?</v>
      </c>
    </row>
    <row r="2055" spans="1:4" x14ac:dyDescent="0.2">
      <c r="A2055" s="5">
        <v>1994</v>
      </c>
      <c r="B2055" s="138">
        <f>'Cap Outlay Deprec 26'!K16</f>
        <v>2217689</v>
      </c>
      <c r="C2055" s="2" t="s">
        <v>573</v>
      </c>
      <c r="D2055" s="2" t="str">
        <f t="shared" si="31"/>
        <v>Error?</v>
      </c>
    </row>
    <row r="2056" spans="1:4" x14ac:dyDescent="0.2">
      <c r="A2056" s="5">
        <v>1995</v>
      </c>
      <c r="B2056" s="138">
        <f>'Cap Outlay Deprec 26'!L5</f>
        <v>61564</v>
      </c>
      <c r="C2056" s="2" t="s">
        <v>573</v>
      </c>
      <c r="D2056" s="2" t="str">
        <f t="shared" si="31"/>
        <v>Error?</v>
      </c>
    </row>
    <row r="2057" spans="1:4" x14ac:dyDescent="0.2">
      <c r="A2057" s="5">
        <v>1996</v>
      </c>
      <c r="B2057" s="138">
        <f>'Cap Outlay Deprec 26'!L8</f>
        <v>1751013</v>
      </c>
      <c r="C2057" s="2" t="s">
        <v>573</v>
      </c>
      <c r="D2057" s="2" t="str">
        <f t="shared" si="31"/>
        <v>Error?</v>
      </c>
    </row>
    <row r="2058" spans="1:4" x14ac:dyDescent="0.2">
      <c r="A2058" s="5">
        <v>1997</v>
      </c>
      <c r="B2058" s="138">
        <f>'Cap Outlay Deprec 26'!L10</f>
        <v>18970</v>
      </c>
      <c r="C2058" s="2" t="s">
        <v>573</v>
      </c>
      <c r="D2058" s="2" t="str">
        <f t="shared" si="31"/>
        <v>Error?</v>
      </c>
    </row>
    <row r="2059" spans="1:4" x14ac:dyDescent="0.2">
      <c r="A2059" s="5">
        <v>1998</v>
      </c>
      <c r="B2059" s="138">
        <f>'Cap Outlay Deprec 26'!L12</f>
        <v>13457</v>
      </c>
      <c r="C2059" s="2" t="s">
        <v>573</v>
      </c>
      <c r="D2059" s="2" t="str">
        <f t="shared" si="31"/>
        <v>Error?</v>
      </c>
    </row>
    <row r="2060" spans="1:4" x14ac:dyDescent="0.2">
      <c r="A2060" s="5">
        <v>1999</v>
      </c>
      <c r="B2060" s="138">
        <f>'Cap Outlay Deprec 26'!L13</f>
        <v>128253</v>
      </c>
      <c r="C2060" s="2" t="s">
        <v>573</v>
      </c>
      <c r="D2060" s="2" t="str">
        <f t="shared" si="31"/>
        <v>Error?</v>
      </c>
    </row>
    <row r="2061" spans="1:4" x14ac:dyDescent="0.2">
      <c r="A2061" s="5">
        <v>2000</v>
      </c>
      <c r="B2061" s="138">
        <f>'Cap Outlay Deprec 26'!L16</f>
        <v>1973257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238851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145277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22026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1011410</v>
      </c>
      <c r="C2551" s="2" t="s">
        <v>573</v>
      </c>
      <c r="D2551" s="2" t="str">
        <f t="shared" si="38"/>
        <v>Error?</v>
      </c>
    </row>
    <row r="2552" spans="1:4" x14ac:dyDescent="0.2">
      <c r="A2552" s="10">
        <v>2491</v>
      </c>
      <c r="D2552" s="2" t="str">
        <f t="shared" si="38"/>
        <v>OK</v>
      </c>
    </row>
    <row r="2553" spans="1:4" x14ac:dyDescent="0.2">
      <c r="A2553" s="5">
        <v>2492</v>
      </c>
      <c r="B2553" s="138">
        <f>'Acct Summary 7-8'!C6</f>
        <v>574852</v>
      </c>
      <c r="C2553" s="2" t="s">
        <v>573</v>
      </c>
      <c r="D2553" s="2" t="str">
        <f t="shared" si="38"/>
        <v>Error?</v>
      </c>
    </row>
    <row r="2554" spans="1:4" x14ac:dyDescent="0.2">
      <c r="A2554" s="5">
        <v>2493</v>
      </c>
      <c r="B2554" s="138">
        <f>'Acct Summary 7-8'!C7</f>
        <v>92486</v>
      </c>
      <c r="C2554" s="2" t="s">
        <v>573</v>
      </c>
      <c r="D2554" s="2" t="str">
        <f t="shared" si="38"/>
        <v>Error?</v>
      </c>
    </row>
    <row r="2555" spans="1:4" x14ac:dyDescent="0.2">
      <c r="A2555" s="5">
        <v>2494</v>
      </c>
      <c r="B2555" s="138">
        <f>'Acct Summary 7-8'!C8</f>
        <v>1678748</v>
      </c>
      <c r="C2555" s="2" t="s">
        <v>573</v>
      </c>
      <c r="D2555" s="2" t="str">
        <f t="shared" si="38"/>
        <v>Error?</v>
      </c>
    </row>
    <row r="2556" spans="1:4" x14ac:dyDescent="0.2">
      <c r="A2556" s="5">
        <v>2495</v>
      </c>
      <c r="B2556" s="138">
        <f>'Acct Summary 7-8'!C12</f>
        <v>1068703</v>
      </c>
      <c r="C2556" s="2" t="s">
        <v>573</v>
      </c>
      <c r="D2556" s="2" t="str">
        <f t="shared" si="38"/>
        <v>Error?</v>
      </c>
    </row>
    <row r="2557" spans="1:4" x14ac:dyDescent="0.2">
      <c r="A2557" s="5">
        <v>2496</v>
      </c>
      <c r="B2557" s="138">
        <f>'Acct Summary 7-8'!C13</f>
        <v>516920</v>
      </c>
      <c r="C2557" s="2" t="s">
        <v>573</v>
      </c>
      <c r="D2557" s="2" t="str">
        <f t="shared" si="38"/>
        <v>Error?</v>
      </c>
    </row>
    <row r="2558" spans="1:4" x14ac:dyDescent="0.2">
      <c r="A2558" s="5">
        <v>2497</v>
      </c>
      <c r="B2558" s="138">
        <f>'Acct Summary 7-8'!C14</f>
        <v>841</v>
      </c>
      <c r="C2558" s="2" t="s">
        <v>573</v>
      </c>
      <c r="D2558" s="2" t="str">
        <f t="shared" si="38"/>
        <v>Error?</v>
      </c>
    </row>
    <row r="2559" spans="1:4" x14ac:dyDescent="0.2">
      <c r="A2559" s="5">
        <v>2498</v>
      </c>
      <c r="B2559" s="138">
        <f>'Acct Summary 7-8'!C15</f>
        <v>238851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1825315</v>
      </c>
      <c r="C2561" s="2" t="s">
        <v>573</v>
      </c>
      <c r="D2561" s="2" t="str">
        <f t="shared" si="39"/>
        <v>Error?</v>
      </c>
    </row>
    <row r="2562" spans="1:4" x14ac:dyDescent="0.2">
      <c r="A2562" s="5">
        <v>2501</v>
      </c>
      <c r="B2562" s="138">
        <f>'Acct Summary 7-8'!C20</f>
        <v>-146567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144430</v>
      </c>
      <c r="C2564" s="2" t="s">
        <v>573</v>
      </c>
      <c r="D2564" s="2" t="str">
        <f t="shared" si="39"/>
        <v>Error?</v>
      </c>
    </row>
    <row r="2565" spans="1:4" x14ac:dyDescent="0.2">
      <c r="A2565" s="10">
        <v>2504</v>
      </c>
      <c r="D2565" s="2" t="str">
        <f t="shared" si="39"/>
        <v>OK</v>
      </c>
    </row>
    <row r="2566" spans="1:4" x14ac:dyDescent="0.2">
      <c r="A2566" s="5">
        <v>2505</v>
      </c>
      <c r="B2566" s="138">
        <f>'Acct Summary 7-8'!D6</f>
        <v>10823</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155253</v>
      </c>
      <c r="C2568" s="2" t="s">
        <v>573</v>
      </c>
      <c r="D2568" s="2" t="str">
        <f t="shared" si="39"/>
        <v>Error?</v>
      </c>
    </row>
    <row r="2569" spans="1:4" x14ac:dyDescent="0.2">
      <c r="A2569" s="5">
        <v>2508</v>
      </c>
      <c r="B2569" s="138">
        <f>'Acct Summary 7-8'!D13</f>
        <v>173558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173558</v>
      </c>
      <c r="C2573" s="2" t="s">
        <v>573</v>
      </c>
      <c r="D2573" s="2" t="str">
        <f t="shared" si="39"/>
        <v>Error?</v>
      </c>
    </row>
    <row r="2574" spans="1:4" x14ac:dyDescent="0.2">
      <c r="A2574" s="5">
        <v>2513</v>
      </c>
      <c r="B2574" s="138">
        <f>'Acct Summary 7-8'!D20</f>
        <v>-18305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19264</v>
      </c>
      <c r="C2591" s="2" t="s">
        <v>573</v>
      </c>
      <c r="D2591" s="2" t="str">
        <f t="shared" si="39"/>
        <v>Error?</v>
      </c>
    </row>
    <row r="2592" spans="1:4" x14ac:dyDescent="0.2">
      <c r="A2592" s="10">
        <v>2531</v>
      </c>
      <c r="D2592" s="2" t="str">
        <f t="shared" si="39"/>
        <v>OK</v>
      </c>
    </row>
    <row r="2593" spans="1:4" x14ac:dyDescent="0.2">
      <c r="A2593" s="5">
        <v>2532</v>
      </c>
      <c r="B2593" s="138">
        <f>'Acct Summary 7-8'!F6</f>
        <v>91158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110422</v>
      </c>
      <c r="C2595" s="2" t="s">
        <v>573</v>
      </c>
      <c r="D2595" s="2" t="str">
        <f t="shared" si="39"/>
        <v>Error?</v>
      </c>
    </row>
    <row r="2596" spans="1:4" x14ac:dyDescent="0.2">
      <c r="A2596" s="5">
        <v>2535</v>
      </c>
      <c r="B2596" s="138">
        <f>'Acct Summary 7-8'!F13</f>
        <v>211567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211567</v>
      </c>
      <c r="C2600" s="2" t="s">
        <v>573</v>
      </c>
      <c r="D2600" s="2" t="str">
        <f t="shared" si="39"/>
        <v>Error?</v>
      </c>
    </row>
    <row r="2601" spans="1:4" x14ac:dyDescent="0.2">
      <c r="A2601" s="5">
        <v>2540</v>
      </c>
      <c r="B2601" s="138">
        <f>'Acct Summary 7-8'!F20</f>
        <v>-101145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53157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53157</v>
      </c>
      <c r="C2606" s="2" t="s">
        <v>573</v>
      </c>
      <c r="D2606" s="2" t="str">
        <f t="shared" si="39"/>
        <v>Error?</v>
      </c>
    </row>
    <row r="2607" spans="1:4" x14ac:dyDescent="0.2">
      <c r="A2607" s="5">
        <v>2546</v>
      </c>
      <c r="B2607" s="138">
        <f>'Acct Summary 7-8'!G12</f>
        <v>20324</v>
      </c>
      <c r="C2607" s="2" t="s">
        <v>573</v>
      </c>
      <c r="D2607" s="2" t="str">
        <f t="shared" si="39"/>
        <v>Error?</v>
      </c>
    </row>
    <row r="2608" spans="1:4" x14ac:dyDescent="0.2">
      <c r="A2608" s="5">
        <v>2547</v>
      </c>
      <c r="B2608" s="138">
        <f>'Acct Summary 7-8'!G13</f>
        <v>33910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54234</v>
      </c>
      <c r="C2612" s="2" t="s">
        <v>573</v>
      </c>
      <c r="D2612" s="2" t="str">
        <f t="shared" si="39"/>
        <v>Error?</v>
      </c>
    </row>
    <row r="2613" spans="1:4" x14ac:dyDescent="0.2">
      <c r="A2613" s="5">
        <v>2552</v>
      </c>
      <c r="B2613" s="138">
        <f>'Acct Summary 7-8'!G20</f>
        <v>-1077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86995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86995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86175</v>
      </c>
      <c r="C2634" s="2" t="s">
        <v>573</v>
      </c>
      <c r="D2634" s="2" t="str">
        <f t="shared" si="40"/>
        <v>Error?</v>
      </c>
    </row>
    <row r="2635" spans="1:4" x14ac:dyDescent="0.2">
      <c r="A2635" s="5">
        <v>2574</v>
      </c>
      <c r="B2635" s="138">
        <f>'Acct Summary 7-8'!E17</f>
        <v>86175</v>
      </c>
      <c r="C2635" s="2" t="s">
        <v>573</v>
      </c>
      <c r="D2635" s="2" t="str">
        <f t="shared" si="40"/>
        <v>Error?</v>
      </c>
    </row>
    <row r="2636" spans="1:4" x14ac:dyDescent="0.2">
      <c r="A2636" s="5">
        <v>2575</v>
      </c>
      <c r="B2636" s="138">
        <f>'Acct Summary 7-8'!E20</f>
        <v>820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v>
      </c>
      <c r="C2658" s="2" t="s">
        <v>573</v>
      </c>
      <c r="D2658" s="2" t="str">
        <f t="shared" si="40"/>
        <v>Error?</v>
      </c>
    </row>
    <row r="2659" spans="1:4" x14ac:dyDescent="0.2">
      <c r="A2659" s="5">
        <v>2598</v>
      </c>
      <c r="B2659" s="138">
        <f>'Acct Summary 7-8'!H13</f>
        <v>19350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19350</v>
      </c>
      <c r="C2661" s="2" t="s">
        <v>573</v>
      </c>
      <c r="D2661" s="2" t="str">
        <f t="shared" si="40"/>
        <v>Error?</v>
      </c>
    </row>
    <row r="2662" spans="1:4" x14ac:dyDescent="0.2">
      <c r="A2662" s="5">
        <v>2601</v>
      </c>
      <c r="B2662" s="138">
        <f>'Acct Summary 7-8'!H20</f>
        <v>-19349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9835</v>
      </c>
      <c r="D2718" s="2" t="str">
        <f t="shared" si="41"/>
        <v>Error?</v>
      </c>
    </row>
    <row r="2719" spans="1:4" x14ac:dyDescent="0.2">
      <c r="A2719" s="5">
        <v>2658</v>
      </c>
      <c r="B2719" s="138">
        <f>'Expenditures 15-22'!D51</f>
        <v>1126</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10961</v>
      </c>
      <c r="C2724" s="2" t="s">
        <v>573</v>
      </c>
      <c r="D2724" s="2" t="str">
        <f t="shared" si="41"/>
        <v>Error?</v>
      </c>
    </row>
    <row r="2725" spans="1:4" x14ac:dyDescent="0.2">
      <c r="A2725" s="5">
        <v>2664</v>
      </c>
      <c r="B2725" s="138">
        <f>'Expenditures 15-22'!D247</f>
        <v>143</v>
      </c>
      <c r="D2725" s="2" t="str">
        <f t="shared" si="41"/>
        <v>Error?</v>
      </c>
    </row>
    <row r="2726" spans="1:4" x14ac:dyDescent="0.2">
      <c r="A2726" s="5">
        <v>2665</v>
      </c>
      <c r="B2726" s="138">
        <f>'Expenditures 15-22'!K247</f>
        <v>143</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238851</v>
      </c>
      <c r="C2789" s="2" t="s">
        <v>573</v>
      </c>
      <c r="D2789" s="2" t="str">
        <f t="shared" si="42"/>
        <v>Error?</v>
      </c>
    </row>
    <row r="2790" spans="1:4" x14ac:dyDescent="0.2">
      <c r="A2790" s="5">
        <v>2729</v>
      </c>
      <c r="B2790" s="138">
        <f>'Expenditures 15-22'!E102</f>
        <v>238851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300141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22515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300141</v>
      </c>
      <c r="D2912" s="2" t="str">
        <f t="shared" si="44"/>
        <v>Error?</v>
      </c>
    </row>
    <row r="2913" spans="1:4" x14ac:dyDescent="0.2">
      <c r="A2913" s="5">
        <v>2852</v>
      </c>
      <c r="B2913" s="138">
        <f>'Assets-Liab 5-6'!I41</f>
        <v>300141</v>
      </c>
      <c r="C2913" s="2" t="s">
        <v>573</v>
      </c>
      <c r="D2913" s="2" t="str">
        <f t="shared" si="44"/>
        <v>Error?</v>
      </c>
    </row>
    <row r="2914" spans="1:4" x14ac:dyDescent="0.2">
      <c r="A2914" s="5">
        <v>2853</v>
      </c>
      <c r="B2914" s="138">
        <f>'Assets-Liab 5-6'!L33</f>
        <v>22515</v>
      </c>
      <c r="D2914" s="2" t="str">
        <f t="shared" si="44"/>
        <v>Error?</v>
      </c>
    </row>
    <row r="2915" spans="1:4" x14ac:dyDescent="0.2">
      <c r="A2915" s="10">
        <v>2854</v>
      </c>
      <c r="D2915" s="2" t="str">
        <f t="shared" si="44"/>
        <v>OK</v>
      </c>
    </row>
    <row r="2916" spans="1:4" x14ac:dyDescent="0.2">
      <c r="A2916" s="5">
        <v>2855</v>
      </c>
      <c r="B2916" s="138">
        <f>'Assets-Liab 5-6'!L34</f>
        <v>22515</v>
      </c>
      <c r="C2916" s="2" t="s">
        <v>573</v>
      </c>
      <c r="D2916" s="2" t="str">
        <f t="shared" si="44"/>
        <v>Error?</v>
      </c>
    </row>
    <row r="2917" spans="1:4" x14ac:dyDescent="0.2">
      <c r="A2917" s="5">
        <v>2856</v>
      </c>
      <c r="B2917" s="138">
        <f>'Assets-Liab 5-6'!L41</f>
        <v>22515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238851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238851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37254</v>
      </c>
      <c r="D3055" s="2" t="str">
        <f t="shared" si="46"/>
        <v>Error?</v>
      </c>
    </row>
    <row r="3056" spans="1:4" x14ac:dyDescent="0.2">
      <c r="A3056" s="5">
        <v>2995</v>
      </c>
      <c r="B3056" s="138">
        <f>'Expenditures 15-22'!D10</f>
        <v>13951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110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51315</v>
      </c>
      <c r="C3062" s="2" t="s">
        <v>573</v>
      </c>
      <c r="D3062" s="2" t="str">
        <f t="shared" si="46"/>
        <v>Error?</v>
      </c>
    </row>
    <row r="3063" spans="1:4" x14ac:dyDescent="0.2">
      <c r="A3063" s="10">
        <v>3002</v>
      </c>
      <c r="D3063" s="2" t="str">
        <f t="shared" si="46"/>
        <v>OK</v>
      </c>
    </row>
    <row r="3064" spans="1:4" x14ac:dyDescent="0.2">
      <c r="A3064" s="5">
        <v>3003</v>
      </c>
      <c r="B3064" s="138">
        <f>'Expenditures 15-22'!D219</f>
        <v>540</v>
      </c>
      <c r="D3064" s="2" t="str">
        <f t="shared" si="46"/>
        <v>Error?</v>
      </c>
    </row>
    <row r="3065" spans="1:4" x14ac:dyDescent="0.2">
      <c r="A3065" s="5">
        <v>3004</v>
      </c>
      <c r="B3065" s="138">
        <f>'Expenditures 15-22'!K219</f>
        <v>540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12819</v>
      </c>
      <c r="C3225" s="2" t="s">
        <v>573</v>
      </c>
      <c r="D3225" s="2" t="str">
        <f t="shared" si="49"/>
        <v>Error?</v>
      </c>
    </row>
    <row r="3226" spans="1:4" x14ac:dyDescent="0.2">
      <c r="A3226" s="5">
        <v>3165</v>
      </c>
      <c r="B3226" s="138">
        <f>'Acct Summary 7-8'!I8</f>
        <v>12819</v>
      </c>
      <c r="C3226" s="2" t="s">
        <v>573</v>
      </c>
      <c r="D3226" s="2" t="str">
        <f t="shared" si="49"/>
        <v>Error?</v>
      </c>
    </row>
    <row r="3227" spans="1:4" x14ac:dyDescent="0.2">
      <c r="A3227" s="5">
        <v>3166</v>
      </c>
      <c r="B3227" s="138">
        <f>'Acct Summary 7-8'!I20</f>
        <v>12819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-146567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-18305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-101145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-1077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820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14000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14000</v>
      </c>
      <c r="C3299" s="2" t="s">
        <v>573</v>
      </c>
      <c r="D3299" s="2" t="str">
        <f t="shared" si="50"/>
        <v>Error?</v>
      </c>
    </row>
    <row r="3300" spans="1:4" x14ac:dyDescent="0.2">
      <c r="A3300" s="5">
        <v>3239</v>
      </c>
      <c r="B3300" s="138">
        <f>'Acct Summary 7-8'!H78</f>
        <v>-5349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14000</v>
      </c>
      <c r="C3318" s="2" t="s">
        <v>573</v>
      </c>
      <c r="D3318" s="2" t="str">
        <f t="shared" si="50"/>
        <v>Error?</v>
      </c>
    </row>
    <row r="3319" spans="1:4" x14ac:dyDescent="0.2">
      <c r="A3319" s="5">
        <v>3258</v>
      </c>
      <c r="B3319" s="138">
        <f>'Acct Summary 7-8'!I77</f>
        <v>-14000</v>
      </c>
      <c r="C3319" s="2" t="s">
        <v>573</v>
      </c>
      <c r="D3319" s="2" t="str">
        <f t="shared" si="50"/>
        <v>Error?</v>
      </c>
    </row>
    <row r="3320" spans="1:4" x14ac:dyDescent="0.2">
      <c r="A3320" s="5">
        <v>3259</v>
      </c>
      <c r="B3320" s="138">
        <f>'Acct Summary 7-8'!I78</f>
        <v>-1181</v>
      </c>
      <c r="C3320" s="2" t="s">
        <v>573</v>
      </c>
      <c r="D3320" s="2" t="str">
        <f t="shared" si="50"/>
        <v>Error?</v>
      </c>
    </row>
    <row r="3321" spans="1:4" x14ac:dyDescent="0.2">
      <c r="A3321" s="5">
        <v>3260</v>
      </c>
      <c r="B3321" s="138">
        <f>'Acct Summary 7-8'!I79</f>
        <v>301322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300141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143608</v>
      </c>
      <c r="D3366" s="2" t="str">
        <f t="shared" si="51"/>
        <v>Error?</v>
      </c>
    </row>
    <row r="3367" spans="1:4" x14ac:dyDescent="0.2">
      <c r="A3367" s="5">
        <v>3306</v>
      </c>
      <c r="B3367" s="138">
        <f>'Expenditures 15-22'!C19</f>
        <v>3756</v>
      </c>
      <c r="D3367" s="2" t="str">
        <f t="shared" si="51"/>
        <v>Error?</v>
      </c>
    </row>
    <row r="3368" spans="1:4" x14ac:dyDescent="0.2">
      <c r="A3368" s="5">
        <v>3307</v>
      </c>
      <c r="B3368" s="138">
        <f>'Expenditures 15-22'!D8</f>
        <v>11985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1214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2025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3028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161860</v>
      </c>
      <c r="C3380" s="2" t="s">
        <v>573</v>
      </c>
      <c r="D3380" s="2" t="str">
        <f t="shared" si="51"/>
        <v>Error?</v>
      </c>
    </row>
    <row r="3381" spans="1:4" x14ac:dyDescent="0.2">
      <c r="A3381" s="5">
        <v>3320</v>
      </c>
      <c r="B3381" s="138">
        <f>'Expenditures 15-22'!K19</f>
        <v>3756</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8578</v>
      </c>
      <c r="D3387" s="2" t="str">
        <f t="shared" si="51"/>
        <v>Error?</v>
      </c>
    </row>
    <row r="3388" spans="1:4" x14ac:dyDescent="0.2">
      <c r="A3388" s="5">
        <v>3327</v>
      </c>
      <c r="B3388" s="138">
        <f>'Expenditures 15-22'!D217</f>
        <v>6329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8578</v>
      </c>
      <c r="C3390" s="2" t="s">
        <v>573</v>
      </c>
      <c r="D3390" s="2" t="str">
        <f t="shared" si="51"/>
        <v>Error?</v>
      </c>
    </row>
    <row r="3391" spans="1:4" x14ac:dyDescent="0.2">
      <c r="A3391" s="5">
        <v>3330</v>
      </c>
      <c r="B3391" s="138">
        <f>'Expenditures 15-22'!K217</f>
        <v>6329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476835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33459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8419</v>
      </c>
      <c r="D3417" s="2" t="str">
        <f t="shared" si="52"/>
        <v>Error?</v>
      </c>
    </row>
    <row r="3418" spans="1:4" x14ac:dyDescent="0.2">
      <c r="A3418" s="10">
        <v>3357</v>
      </c>
      <c r="D3418" s="2" t="str">
        <f t="shared" si="52"/>
        <v>OK</v>
      </c>
    </row>
    <row r="3419" spans="1:4" x14ac:dyDescent="0.2">
      <c r="A3419" s="5">
        <v>3358</v>
      </c>
      <c r="B3419" s="138">
        <f>'Assets-Liab 5-6'!F4</f>
        <v>47566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22026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862</v>
      </c>
      <c r="D3425" s="2" t="str">
        <f t="shared" si="52"/>
        <v>Error?</v>
      </c>
    </row>
    <row r="3426" spans="1:4" x14ac:dyDescent="0.2">
      <c r="A3426" s="10">
        <v>3365</v>
      </c>
      <c r="D3426" s="2" t="str">
        <f t="shared" si="52"/>
        <v>OK</v>
      </c>
    </row>
    <row r="3427" spans="1:4" x14ac:dyDescent="0.2">
      <c r="A3427" s="5">
        <v>3366</v>
      </c>
      <c r="B3427" s="138">
        <f>'Assets-Liab 5-6'!I4</f>
        <v>300141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22515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v>
      </c>
      <c r="C3446" s="2" t="s">
        <v>573</v>
      </c>
      <c r="D3446" s="2" t="str">
        <f t="shared" si="52"/>
        <v>Error?</v>
      </c>
    </row>
    <row r="3447" spans="1:4" x14ac:dyDescent="0.2">
      <c r="A3447" s="5">
        <v>3386</v>
      </c>
      <c r="B3447" s="138">
        <f>'Tax Sched 23'!D16</f>
        <v>14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30000</v>
      </c>
      <c r="C3449" s="2" t="s">
        <v>573</v>
      </c>
      <c r="D3449" s="2" t="str">
        <f t="shared" si="52"/>
        <v>Error?</v>
      </c>
    </row>
    <row r="3450" spans="1:4" x14ac:dyDescent="0.2">
      <c r="A3450" s="5">
        <v>3389</v>
      </c>
      <c r="B3450" s="138">
        <f>'Tax Sched 23'!E16</f>
        <v>30000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246</v>
      </c>
      <c r="D3567" s="2" t="str">
        <f t="shared" si="54"/>
        <v>Error?</v>
      </c>
    </row>
    <row r="3568" spans="1:4" x14ac:dyDescent="0.2">
      <c r="A3568" s="5">
        <v>3507</v>
      </c>
      <c r="B3568" s="138">
        <f>'Assets-Liab 5-6'!K41</f>
        <v>246</v>
      </c>
      <c r="C3568" s="2" t="s">
        <v>573</v>
      </c>
      <c r="D3568" s="2" t="str">
        <f t="shared" si="54"/>
        <v>Error?</v>
      </c>
    </row>
    <row r="3569" spans="1:4" x14ac:dyDescent="0.2">
      <c r="A3569" s="5">
        <v>3508</v>
      </c>
      <c r="B3569" s="138">
        <f>'Acct Summary 7-8'!K4</f>
        <v>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v>
      </c>
      <c r="C3588" s="2" t="s">
        <v>573</v>
      </c>
      <c r="D3588" s="2" t="str">
        <f t="shared" si="55"/>
        <v>Error?</v>
      </c>
    </row>
    <row r="3589" spans="1:4" x14ac:dyDescent="0.2">
      <c r="A3589" s="5">
        <v>3528</v>
      </c>
      <c r="B3589" s="138">
        <f>'Acct Summary 7-8'!K79</f>
        <v>244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117247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1795995</v>
      </c>
      <c r="C4122" s="2" t="s">
        <v>573</v>
      </c>
      <c r="D4122" s="2" t="str">
        <f t="shared" si="63"/>
        <v>Error?</v>
      </c>
    </row>
    <row r="4123" spans="1:4" x14ac:dyDescent="0.2">
      <c r="A4123" s="5">
        <v>4062</v>
      </c>
      <c r="B4123" s="138">
        <f>'Acct Summary 7-8'!D10</f>
        <v>155253</v>
      </c>
      <c r="C4123" s="2" t="s">
        <v>573</v>
      </c>
      <c r="D4123" s="2" t="str">
        <f t="shared" si="63"/>
        <v>Error?</v>
      </c>
    </row>
    <row r="4124" spans="1:4" x14ac:dyDescent="0.2">
      <c r="A4124" s="5">
        <v>4063</v>
      </c>
      <c r="B4124" s="138">
        <f>'Acct Summary 7-8'!E10</f>
        <v>86995</v>
      </c>
      <c r="C4124" s="2" t="s">
        <v>573</v>
      </c>
      <c r="D4124" s="2" t="str">
        <f t="shared" si="63"/>
        <v>Error?</v>
      </c>
    </row>
    <row r="4125" spans="1:4" x14ac:dyDescent="0.2">
      <c r="A4125" s="5">
        <v>4064</v>
      </c>
      <c r="B4125" s="138">
        <f>'Acct Summary 7-8'!F10</f>
        <v>110422</v>
      </c>
      <c r="C4125" s="2" t="s">
        <v>573</v>
      </c>
      <c r="D4125" s="2" t="str">
        <f t="shared" si="63"/>
        <v>Error?</v>
      </c>
    </row>
    <row r="4126" spans="1:4" x14ac:dyDescent="0.2">
      <c r="A4126" s="5">
        <v>4065</v>
      </c>
      <c r="B4126" s="138">
        <f>'Acct Summary 7-8'!G10</f>
        <v>53157</v>
      </c>
      <c r="C4126" s="2" t="s">
        <v>573</v>
      </c>
      <c r="D4126" s="2" t="str">
        <f t="shared" si="63"/>
        <v>Error?</v>
      </c>
    </row>
    <row r="4127" spans="1:4" x14ac:dyDescent="0.2">
      <c r="A4127" s="5">
        <v>4066</v>
      </c>
      <c r="B4127" s="138">
        <f>'Acct Summary 7-8'!H10</f>
        <v>1</v>
      </c>
      <c r="C4127" s="2" t="s">
        <v>573</v>
      </c>
      <c r="D4127" s="2" t="str">
        <f t="shared" si="63"/>
        <v>Error?</v>
      </c>
    </row>
    <row r="4128" spans="1:4" x14ac:dyDescent="0.2">
      <c r="A4128" s="5">
        <v>4067</v>
      </c>
      <c r="B4128" s="138">
        <f>'Acct Summary 7-8'!I10</f>
        <v>12819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v>
      </c>
      <c r="C4130" s="2" t="s">
        <v>573</v>
      </c>
      <c r="D4130" s="2" t="str">
        <f t="shared" si="63"/>
        <v>Error?</v>
      </c>
    </row>
    <row r="4131" spans="1:4" x14ac:dyDescent="0.2">
      <c r="A4131" s="5">
        <v>4070</v>
      </c>
      <c r="B4131" s="138">
        <f>'Acct Summary 7-8'!C18</f>
        <v>117247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1942562</v>
      </c>
      <c r="C4136" s="2" t="s">
        <v>573</v>
      </c>
      <c r="D4136" s="2" t="str">
        <f t="shared" si="63"/>
        <v>Error?</v>
      </c>
    </row>
    <row r="4137" spans="1:4" x14ac:dyDescent="0.2">
      <c r="A4137" s="5">
        <v>4076</v>
      </c>
      <c r="B4137" s="138">
        <f>'Acct Summary 7-8'!D19</f>
        <v>173558</v>
      </c>
      <c r="C4137" s="2" t="s">
        <v>573</v>
      </c>
      <c r="D4137" s="2" t="str">
        <f t="shared" si="63"/>
        <v>Error?</v>
      </c>
    </row>
    <row r="4138" spans="1:4" x14ac:dyDescent="0.2">
      <c r="A4138" s="5">
        <v>4077</v>
      </c>
      <c r="B4138" s="138">
        <f>'Acct Summary 7-8'!E19</f>
        <v>86175</v>
      </c>
      <c r="C4138" s="2" t="s">
        <v>573</v>
      </c>
      <c r="D4138" s="2" t="str">
        <f t="shared" si="63"/>
        <v>Error?</v>
      </c>
    </row>
    <row r="4139" spans="1:4" x14ac:dyDescent="0.2">
      <c r="A4139" s="5">
        <v>4078</v>
      </c>
      <c r="B4139" s="138">
        <f>'Acct Summary 7-8'!F19</f>
        <v>211567</v>
      </c>
      <c r="C4139" s="2" t="s">
        <v>573</v>
      </c>
      <c r="D4139" s="2" t="str">
        <f t="shared" si="63"/>
        <v>Error?</v>
      </c>
    </row>
    <row r="4140" spans="1:4" x14ac:dyDescent="0.2">
      <c r="A4140" s="5">
        <v>4079</v>
      </c>
      <c r="B4140" s="138">
        <f>'Acct Summary 7-8'!G19</f>
        <v>54234</v>
      </c>
      <c r="C4140" s="2" t="s">
        <v>573</v>
      </c>
      <c r="D4140" s="2" t="str">
        <f t="shared" si="63"/>
        <v>Error?</v>
      </c>
    </row>
    <row r="4141" spans="1:4" x14ac:dyDescent="0.2">
      <c r="A4141" s="5">
        <v>4080</v>
      </c>
      <c r="B4141" s="138">
        <f>'Acct Summary 7-8'!H19</f>
        <v>19350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150000</v>
      </c>
      <c r="C4171" s="2" t="s">
        <v>573</v>
      </c>
      <c r="D4171" s="2" t="str">
        <f t="shared" si="64"/>
        <v>Error?</v>
      </c>
    </row>
    <row r="4172" spans="1:4" x14ac:dyDescent="0.2">
      <c r="A4172" s="5">
        <v>4111</v>
      </c>
      <c r="B4172" s="138">
        <f>'Short-Term Long-Term Debt 24'!J49</f>
        <v>141581</v>
      </c>
      <c r="C4172" s="2" t="s">
        <v>573</v>
      </c>
      <c r="D4172" s="2" t="str">
        <f t="shared" si="64"/>
        <v>Error?</v>
      </c>
    </row>
    <row r="4173" spans="1:4" x14ac:dyDescent="0.2">
      <c r="A4173" s="5">
        <v>4112</v>
      </c>
      <c r="B4173" s="138">
        <f>'Short-Term Long-Term Debt 24'!H49</f>
        <v>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2463.6999999999998</v>
      </c>
      <c r="C4265" s="2" t="s">
        <v>573</v>
      </c>
      <c r="D4265" s="2" t="str">
        <f t="shared" si="65"/>
        <v>Error?</v>
      </c>
      <c r="E4265" s="128"/>
    </row>
    <row r="4266" spans="1:5" x14ac:dyDescent="0.2">
      <c r="A4266" s="12">
        <v>4205</v>
      </c>
      <c r="B4266" s="138">
        <f>('FP Info 3'!F10)*100000</f>
        <v>318.44</v>
      </c>
      <c r="C4266" s="2" t="s">
        <v>573</v>
      </c>
      <c r="D4266" s="2" t="str">
        <f t="shared" si="65"/>
        <v>Error?</v>
      </c>
      <c r="E4266" s="128"/>
    </row>
    <row r="4267" spans="1:5" x14ac:dyDescent="0.2">
      <c r="A4267" s="12">
        <v>4206</v>
      </c>
      <c r="B4267" s="138">
        <f>('FP Info 3'!H10)*100000</f>
        <v>62.02</v>
      </c>
      <c r="C4267" s="2" t="s">
        <v>573</v>
      </c>
      <c r="D4267" s="2" t="str">
        <f t="shared" si="65"/>
        <v>Error?</v>
      </c>
      <c r="E4267" s="128"/>
    </row>
    <row r="4268" spans="1:5" x14ac:dyDescent="0.2">
      <c r="A4268" s="12">
        <v>4207</v>
      </c>
      <c r="B4268" s="138">
        <f>('FP Info 3'!J10)*100000</f>
        <v>2844</v>
      </c>
      <c r="C4268" s="2" t="s">
        <v>573</v>
      </c>
      <c r="D4268" s="2" t="str">
        <f t="shared" si="65"/>
        <v>Error?</v>
      </c>
    </row>
    <row r="4269" spans="1:5" x14ac:dyDescent="0.2">
      <c r="A4269" s="12">
        <v>4208</v>
      </c>
      <c r="B4269" s="138">
        <f>'FP Info 3'!J16</f>
        <v>858001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8417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25941</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25941</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2569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2056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36.880000000000003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1578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1236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29833229</v>
      </c>
      <c r="D4995" s="2" t="str">
        <f t="shared" si="77"/>
        <v>Error?</v>
      </c>
    </row>
    <row r="4996" spans="1:4" x14ac:dyDescent="0.2">
      <c r="A4996" s="12">
        <v>4935</v>
      </c>
      <c r="B4996" s="138">
        <f>'FP Info 3'!H31</f>
        <v>2058492.8010000002</v>
      </c>
      <c r="D4996" s="2" t="str">
        <f t="shared" si="77"/>
        <v>Error?</v>
      </c>
    </row>
    <row r="4997" spans="1:4" x14ac:dyDescent="0.2">
      <c r="A4997" s="12">
        <v>4936</v>
      </c>
      <c r="B4997" s="138">
        <f>'FP Info 3'!H37</f>
        <v>150000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715008</v>
      </c>
      <c r="D5061" s="2" t="str">
        <f t="shared" si="78"/>
        <v>Error?</v>
      </c>
    </row>
    <row r="5062" spans="1:4" x14ac:dyDescent="0.2">
      <c r="A5062" s="10">
        <v>5001</v>
      </c>
      <c r="D5062" s="2" t="str">
        <f t="shared" si="78"/>
        <v>OK</v>
      </c>
    </row>
    <row r="5063" spans="1:4" x14ac:dyDescent="0.2">
      <c r="A5063" s="5">
        <v>5002</v>
      </c>
      <c r="B5063" s="138">
        <f>'Revenues 9-14'!C7</f>
        <v>10997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726005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78162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78162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9900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9900</v>
      </c>
      <c r="C5087" s="2" t="s">
        <v>573</v>
      </c>
      <c r="D5087" s="2" t="str">
        <f t="shared" si="78"/>
        <v>Error?</v>
      </c>
    </row>
    <row r="5088" spans="1:4" x14ac:dyDescent="0.2">
      <c r="A5088" s="5">
        <v>5027</v>
      </c>
      <c r="B5088" s="138">
        <f>'Revenues 9-14'!C65</f>
        <v>3587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3587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810</v>
      </c>
      <c r="D5093" s="2" t="str">
        <f t="shared" si="78"/>
        <v>Error?</v>
      </c>
    </row>
    <row r="5094" spans="1:4" x14ac:dyDescent="0.2">
      <c r="A5094" s="5">
        <v>5033</v>
      </c>
      <c r="B5094" s="138">
        <f>'Revenues 9-14'!C73</f>
        <v>197</v>
      </c>
      <c r="D5094" s="2" t="str">
        <f t="shared" si="78"/>
        <v>Error?</v>
      </c>
    </row>
    <row r="5095" spans="1:4" x14ac:dyDescent="0.2">
      <c r="A5095" s="5">
        <v>5034</v>
      </c>
      <c r="B5095" s="138">
        <f>'Revenues 9-14'!C74</f>
        <v>128</v>
      </c>
      <c r="D5095" s="2" t="str">
        <f t="shared" si="78"/>
        <v>Error?</v>
      </c>
    </row>
    <row r="5096" spans="1:4" x14ac:dyDescent="0.2">
      <c r="A5096" s="5">
        <v>5035</v>
      </c>
      <c r="B5096" s="138">
        <f>'Revenues 9-14'!C75</f>
        <v>9802</v>
      </c>
      <c r="C5096" s="2" t="s">
        <v>573</v>
      </c>
      <c r="D5096" s="2" t="str">
        <f t="shared" si="78"/>
        <v>Error?</v>
      </c>
    </row>
    <row r="5097" spans="1:4" x14ac:dyDescent="0.2">
      <c r="A5097" s="5">
        <v>5036</v>
      </c>
      <c r="B5097" s="138">
        <f>'Revenues 9-14'!C77</f>
        <v>5545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6065</v>
      </c>
      <c r="C5102" s="2" t="s">
        <v>573</v>
      </c>
      <c r="D5102" s="2" t="str">
        <f t="shared" si="78"/>
        <v>Error?</v>
      </c>
    </row>
    <row r="5103" spans="1:4" x14ac:dyDescent="0.2">
      <c r="A5103" s="5">
        <v>5042</v>
      </c>
      <c r="B5103" s="138">
        <f>'Revenues 9-14'!C84</f>
        <v>4430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4430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173459</v>
      </c>
      <c r="D5119" s="2" t="str">
        <f t="shared" ref="D5119:D5182" si="79">IF(ISBLANK(B5119),"OK",IF(A5119-B5119=0,"OK","Error?"))</f>
        <v>Error?</v>
      </c>
    </row>
    <row r="5120" spans="1:4" x14ac:dyDescent="0.2">
      <c r="A5120" s="5">
        <v>5059</v>
      </c>
      <c r="B5120" s="138">
        <f>'Revenues 9-14'!C108</f>
        <v>173459</v>
      </c>
      <c r="C5120" s="2" t="s">
        <v>573</v>
      </c>
      <c r="D5120" s="2" t="str">
        <f t="shared" si="79"/>
        <v>Error?</v>
      </c>
    </row>
    <row r="5121" spans="1:4" x14ac:dyDescent="0.2">
      <c r="A5121" s="5">
        <v>5060</v>
      </c>
      <c r="B5121" s="138">
        <f>'Revenues 9-14'!C109</f>
        <v>1011410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478145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478145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569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94560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96707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574852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23879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6417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30296</v>
      </c>
      <c r="C5246" s="2" t="s">
        <v>573</v>
      </c>
      <c r="D5246" s="2" t="str">
        <f t="shared" si="80"/>
        <v>Error?</v>
      </c>
    </row>
    <row r="5247" spans="1:4" x14ac:dyDescent="0.2">
      <c r="A5247" s="5">
        <v>5186</v>
      </c>
      <c r="B5247" s="138">
        <f>'Revenues 9-14'!C200</f>
        <v>21971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2569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21971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92486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92486</v>
      </c>
      <c r="C5326" s="2" t="s">
        <v>573</v>
      </c>
      <c r="D5326" s="2" t="str">
        <f t="shared" si="82"/>
        <v>Error?</v>
      </c>
    </row>
    <row r="5327" spans="1:5" x14ac:dyDescent="0.2">
      <c r="A5327" s="5">
        <v>5266</v>
      </c>
      <c r="B5327" s="138">
        <f>'Revenues 9-14'!C268</f>
        <v>1678748</v>
      </c>
      <c r="C5327" s="2" t="s">
        <v>573</v>
      </c>
      <c r="D5327" s="2" t="str">
        <f t="shared" si="82"/>
        <v>Error?</v>
      </c>
    </row>
    <row r="5328" spans="1:5" x14ac:dyDescent="0.2">
      <c r="A5328" s="5">
        <v>5267</v>
      </c>
      <c r="B5328" s="138">
        <f>'Revenues 9-14'!D5</f>
        <v>79949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79949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12724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12724</v>
      </c>
      <c r="C5339" s="2" t="s">
        <v>573</v>
      </c>
      <c r="D5339" s="2" t="str">
        <f t="shared" si="82"/>
        <v>Error?</v>
      </c>
    </row>
    <row r="5340" spans="1:4" x14ac:dyDescent="0.2">
      <c r="A5340" s="5">
        <v>5279</v>
      </c>
      <c r="B5340" s="138">
        <f>'Revenues 9-14'!D65</f>
        <v>312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51445</v>
      </c>
      <c r="D5354" s="2" t="str">
        <f t="shared" si="82"/>
        <v>Error?</v>
      </c>
    </row>
    <row r="5355" spans="1:4" x14ac:dyDescent="0.2">
      <c r="A5355" s="5">
        <v>5294</v>
      </c>
      <c r="B5355" s="138">
        <f>'Revenues 9-14'!D108</f>
        <v>51445</v>
      </c>
      <c r="C5355" s="2" t="s">
        <v>573</v>
      </c>
      <c r="D5355" s="2" t="str">
        <f t="shared" si="82"/>
        <v>Error?</v>
      </c>
    </row>
    <row r="5356" spans="1:4" x14ac:dyDescent="0.2">
      <c r="A5356" s="5">
        <v>5295</v>
      </c>
      <c r="B5356" s="138">
        <f>'Revenues 9-14'!D109</f>
        <v>144430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10823</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10823</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10823</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155253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12000</v>
      </c>
      <c r="D5525" s="2" t="str">
        <f t="shared" si="85"/>
        <v>Error?</v>
      </c>
    </row>
    <row r="5526" spans="1:4" x14ac:dyDescent="0.2">
      <c r="A5526" s="5">
        <v>5465</v>
      </c>
      <c r="B5526" s="138">
        <f>'Revenues 9-14'!E108</f>
        <v>86995</v>
      </c>
      <c r="C5526" s="2" t="s">
        <v>573</v>
      </c>
      <c r="D5526" s="2" t="str">
        <f t="shared" si="85"/>
        <v>Error?</v>
      </c>
    </row>
    <row r="5527" spans="1:4" x14ac:dyDescent="0.2">
      <c r="A5527" s="5">
        <v>5466</v>
      </c>
      <c r="B5527" s="138">
        <f>'Revenues 9-14'!E109</f>
        <v>86995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86995</v>
      </c>
      <c r="C5552" s="2" t="s">
        <v>573</v>
      </c>
      <c r="D5552" s="2" t="str">
        <f t="shared" si="85"/>
        <v>Error?</v>
      </c>
    </row>
    <row r="5553" spans="1:4" x14ac:dyDescent="0.2">
      <c r="A5553" s="5">
        <v>5492</v>
      </c>
      <c r="B5553" s="138">
        <f>'Revenues 9-14'!F5</f>
        <v>18488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18488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491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285</v>
      </c>
      <c r="D5586" s="2" t="str">
        <f t="shared" si="86"/>
        <v>Error?</v>
      </c>
    </row>
    <row r="5587" spans="1:4" x14ac:dyDescent="0.2">
      <c r="A5587" s="5">
        <v>5526</v>
      </c>
      <c r="B5587" s="138">
        <f>'Revenues 9-14'!F108</f>
        <v>285</v>
      </c>
      <c r="C5587" s="2" t="s">
        <v>573</v>
      </c>
      <c r="D5587" s="2" t="str">
        <f t="shared" si="86"/>
        <v>Error?</v>
      </c>
    </row>
    <row r="5588" spans="1:4" x14ac:dyDescent="0.2">
      <c r="A5588" s="5">
        <v>5527</v>
      </c>
      <c r="B5588" s="138">
        <f>'Revenues 9-14'!F109</f>
        <v>19264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68965</v>
      </c>
      <c r="D5615" s="2" t="str">
        <f t="shared" si="86"/>
        <v>Error?</v>
      </c>
    </row>
    <row r="5616" spans="1:4" x14ac:dyDescent="0.2">
      <c r="A5616" s="10">
        <v>5555</v>
      </c>
      <c r="D5616" s="2" t="str">
        <f t="shared" si="86"/>
        <v>OK</v>
      </c>
    </row>
    <row r="5617" spans="1:5" x14ac:dyDescent="0.2">
      <c r="A5617" s="5">
        <v>5556</v>
      </c>
      <c r="B5617" s="138">
        <f>'Revenues 9-14'!F153</f>
        <v>13648</v>
      </c>
      <c r="D5617" s="2" t="str">
        <f t="shared" si="86"/>
        <v>Error?</v>
      </c>
    </row>
    <row r="5618" spans="1:5" x14ac:dyDescent="0.2">
      <c r="A5618" s="5">
        <v>5557</v>
      </c>
      <c r="B5618" s="138">
        <f>'Revenues 9-14'!F155</f>
        <v>82613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8545</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91158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91158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110422</v>
      </c>
      <c r="C5720" s="2" t="s">
        <v>573</v>
      </c>
      <c r="D5720" s="2" t="str">
        <f t="shared" si="88"/>
        <v>Error?</v>
      </c>
    </row>
    <row r="5721" spans="1:4" x14ac:dyDescent="0.2">
      <c r="A5721" s="5">
        <v>5660</v>
      </c>
      <c r="B5721" s="138">
        <f>'Revenues 9-14'!G5</f>
        <v>52956</v>
      </c>
      <c r="D5721" s="2" t="str">
        <f t="shared" si="88"/>
        <v>Error?</v>
      </c>
    </row>
    <row r="5722" spans="1:4" x14ac:dyDescent="0.2">
      <c r="A5722" s="5">
        <v>5661</v>
      </c>
      <c r="B5722" s="138">
        <f>'Revenues 9-14'!G7</f>
        <v>0</v>
      </c>
      <c r="D5722" s="2" t="str">
        <f t="shared" si="88"/>
        <v>Error?</v>
      </c>
    </row>
    <row r="5723" spans="1:4" x14ac:dyDescent="0.2">
      <c r="A5723" s="5">
        <v>5662</v>
      </c>
      <c r="B5723" s="138">
        <f>'Revenues 9-14'!G8</f>
        <v>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52970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187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53157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v>
      </c>
      <c r="C5915" s="2" t="s">
        <v>573</v>
      </c>
      <c r="D5915" s="2" t="str">
        <f t="shared" si="91"/>
        <v>Error?</v>
      </c>
    </row>
    <row r="5916" spans="1:4" x14ac:dyDescent="0.2">
      <c r="A5916" s="5">
        <v>5855</v>
      </c>
      <c r="B5916" s="138">
        <f>'Revenues 9-14'!I5</f>
        <v>10997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10997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1822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1822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12819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v>
      </c>
      <c r="C6023" s="2" t="s">
        <v>573</v>
      </c>
      <c r="D6023" s="2" t="str">
        <f t="shared" si="93"/>
        <v>Error?</v>
      </c>
    </row>
    <row r="6024" spans="1:5" x14ac:dyDescent="0.2">
      <c r="A6024" s="5">
        <v>5963</v>
      </c>
      <c r="B6024" s="138">
        <f>'Revenues 9-14'!G109</f>
        <v>53157</v>
      </c>
      <c r="C6024" s="2" t="s">
        <v>573</v>
      </c>
      <c r="D6024" s="2" t="str">
        <f t="shared" si="93"/>
        <v>Error?</v>
      </c>
    </row>
    <row r="6025" spans="1:5" x14ac:dyDescent="0.2">
      <c r="A6025" s="5">
        <v>5964</v>
      </c>
      <c r="B6025" s="138">
        <f>'Revenues 9-14'!H109</f>
        <v>1</v>
      </c>
      <c r="C6025" s="2" t="s">
        <v>573</v>
      </c>
      <c r="D6025" s="2" t="str">
        <f t="shared" si="93"/>
        <v>Error?</v>
      </c>
    </row>
    <row r="6026" spans="1:5" x14ac:dyDescent="0.2">
      <c r="A6026" s="5">
        <v>5965</v>
      </c>
      <c r="B6026" s="138">
        <f>'Revenues 9-14'!I109</f>
        <v>12819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8667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123.3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25662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25662</v>
      </c>
      <c r="D6215" s="2" t="str">
        <f t="shared" si="96"/>
        <v>Error?</v>
      </c>
      <c r="E6215" s="2" t="s">
        <v>190</v>
      </c>
    </row>
    <row r="6216" spans="1:5" x14ac:dyDescent="0.2">
      <c r="A6216">
        <v>6155</v>
      </c>
      <c r="B6216" s="138">
        <f>'Assets-Liab 5-6'!J41</f>
        <v>25662</v>
      </c>
      <c r="D6216" s="2" t="str">
        <f t="shared" si="96"/>
        <v>Error?</v>
      </c>
      <c r="E6216" s="2" t="s">
        <v>190</v>
      </c>
    </row>
    <row r="6217" spans="1:5" x14ac:dyDescent="0.2">
      <c r="A6217">
        <v>6156</v>
      </c>
      <c r="B6217" s="138">
        <f>'Assets-Liab 5-6'!J4</f>
        <v>25662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35978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35978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35978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35873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35873</v>
      </c>
      <c r="D6229" s="2" t="str">
        <f t="shared" si="96"/>
        <v>Error?</v>
      </c>
      <c r="E6229" s="2" t="s">
        <v>190</v>
      </c>
    </row>
    <row r="6230" spans="1:5" x14ac:dyDescent="0.2">
      <c r="A6230">
        <v>6169</v>
      </c>
      <c r="B6230" s="138">
        <f>'Acct Summary 7-8'!J20</f>
        <v>105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105</v>
      </c>
      <c r="D6263" s="2" t="str">
        <f t="shared" si="96"/>
        <v>Error?</v>
      </c>
      <c r="E6263" s="2" t="s">
        <v>190</v>
      </c>
    </row>
    <row r="6264" spans="1:5" x14ac:dyDescent="0.2">
      <c r="A6264">
        <v>6203</v>
      </c>
      <c r="B6264" s="138">
        <f>'Acct Summary 7-8'!J79</f>
        <v>25557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25662</v>
      </c>
      <c r="D6266" s="2" t="str">
        <f t="shared" si="96"/>
        <v>Error?</v>
      </c>
      <c r="E6266" s="2" t="s">
        <v>190</v>
      </c>
    </row>
    <row r="6267" spans="1:5" x14ac:dyDescent="0.2">
      <c r="A6267">
        <v>6206</v>
      </c>
      <c r="B6267" s="138">
        <f>'Acct Summary 7-8'!C82</f>
        <v>-146567</v>
      </c>
      <c r="D6267" s="2" t="str">
        <f t="shared" si="96"/>
        <v>Error?</v>
      </c>
      <c r="E6267" s="2" t="s">
        <v>190</v>
      </c>
    </row>
    <row r="6268" spans="1:5" x14ac:dyDescent="0.2">
      <c r="A6268">
        <v>6207</v>
      </c>
      <c r="B6268" s="138">
        <f>'Acct Summary 7-8'!D82</f>
        <v>-18305</v>
      </c>
      <c r="D6268" s="2" t="str">
        <f t="shared" si="96"/>
        <v>Error?</v>
      </c>
      <c r="E6268" s="2" t="s">
        <v>190</v>
      </c>
    </row>
    <row r="6269" spans="1:5" x14ac:dyDescent="0.2">
      <c r="A6269">
        <v>6208</v>
      </c>
      <c r="B6269" s="138">
        <f>'Acct Summary 7-8'!E82</f>
        <v>820</v>
      </c>
      <c r="D6269" s="2" t="str">
        <f t="shared" si="96"/>
        <v>Error?</v>
      </c>
      <c r="E6269" s="2" t="s">
        <v>190</v>
      </c>
    </row>
    <row r="6270" spans="1:5" x14ac:dyDescent="0.2">
      <c r="A6270">
        <v>6209</v>
      </c>
      <c r="B6270" s="138">
        <f>'Acct Summary 7-8'!F82</f>
        <v>-101145</v>
      </c>
      <c r="D6270" s="2" t="str">
        <f t="shared" si="96"/>
        <v>Error?</v>
      </c>
      <c r="E6270" s="2" t="s">
        <v>190</v>
      </c>
    </row>
    <row r="6271" spans="1:5" x14ac:dyDescent="0.2">
      <c r="A6271">
        <v>6210</v>
      </c>
      <c r="B6271" s="138">
        <f>'Acct Summary 7-8'!G82</f>
        <v>-1077</v>
      </c>
      <c r="D6271" s="2" t="str">
        <f t="shared" ref="D6271:D6334" si="97">IF(ISBLANK(B6271),"OK",IF(A6271-B6271=0,"OK","Error?"))</f>
        <v>Error?</v>
      </c>
      <c r="E6271" s="2" t="s">
        <v>190</v>
      </c>
    </row>
    <row r="6272" spans="1:5" x14ac:dyDescent="0.2">
      <c r="A6272">
        <v>6211</v>
      </c>
      <c r="B6272" s="138">
        <f>'Acct Summary 7-8'!H82</f>
        <v>-5349</v>
      </c>
      <c r="D6272" s="2" t="str">
        <f t="shared" si="97"/>
        <v>Error?</v>
      </c>
      <c r="E6272" s="2" t="s">
        <v>190</v>
      </c>
    </row>
    <row r="6273" spans="1:5" x14ac:dyDescent="0.2">
      <c r="A6273">
        <v>6212</v>
      </c>
      <c r="B6273" s="138">
        <f>'Acct Summary 7-8'!I82</f>
        <v>-1181</v>
      </c>
      <c r="D6273" s="2" t="str">
        <f t="shared" si="97"/>
        <v>Error?</v>
      </c>
      <c r="E6273" s="2" t="s">
        <v>190</v>
      </c>
    </row>
    <row r="6274" spans="1:5" x14ac:dyDescent="0.2">
      <c r="A6274">
        <v>6213</v>
      </c>
      <c r="B6274" s="138">
        <f>'Acct Summary 7-8'!J82</f>
        <v>105</v>
      </c>
      <c r="D6274" s="2" t="str">
        <f t="shared" si="97"/>
        <v>Error?</v>
      </c>
      <c r="E6274" s="2" t="s">
        <v>190</v>
      </c>
    </row>
    <row r="6275" spans="1:5" x14ac:dyDescent="0.2">
      <c r="A6275">
        <v>6214</v>
      </c>
      <c r="B6275" s="138">
        <f>'Acct Summary 7-8'!K82</f>
        <v>2</v>
      </c>
      <c r="D6275" s="2" t="str">
        <f t="shared" si="97"/>
        <v>Error?</v>
      </c>
      <c r="E6275" s="2" t="s">
        <v>190</v>
      </c>
    </row>
    <row r="6276" spans="1:5" x14ac:dyDescent="0.2">
      <c r="A6276">
        <v>6215</v>
      </c>
      <c r="B6276" s="138">
        <f>'Acct Summary 7-8'!C83</f>
        <v>-0.30737466838633909</v>
      </c>
      <c r="D6276" s="2" t="str">
        <f t="shared" si="97"/>
        <v>Error?</v>
      </c>
      <c r="E6276" s="2" t="s">
        <v>190</v>
      </c>
    </row>
    <row r="6277" spans="1:5" x14ac:dyDescent="0.2">
      <c r="A6277">
        <v>6216</v>
      </c>
      <c r="B6277" s="138">
        <f>'Acct Summary 7-8'!D83</f>
        <v>-0.54708748019964737</v>
      </c>
      <c r="D6277" s="2" t="str">
        <f t="shared" si="97"/>
        <v>Error?</v>
      </c>
      <c r="E6277" s="2" t="s">
        <v>190</v>
      </c>
    </row>
    <row r="6278" spans="1:5" x14ac:dyDescent="0.2">
      <c r="A6278">
        <v>6217</v>
      </c>
      <c r="B6278" s="138">
        <f>'Acct Summary 7-8'!E83</f>
        <v>9.7398740943104883E-2</v>
      </c>
      <c r="D6278" s="2" t="str">
        <f t="shared" si="97"/>
        <v>Error?</v>
      </c>
      <c r="E6278" s="2" t="s">
        <v>190</v>
      </c>
    </row>
    <row r="6279" spans="1:5" x14ac:dyDescent="0.2">
      <c r="A6279">
        <v>6218</v>
      </c>
      <c r="B6279" s="138">
        <f>'Acct Summary 7-8'!F83</f>
        <v>-2.1264138250010514</v>
      </c>
      <c r="D6279" s="2" t="str">
        <f t="shared" si="97"/>
        <v>Error?</v>
      </c>
      <c r="E6279" s="2" t="s">
        <v>190</v>
      </c>
    </row>
    <row r="6280" spans="1:5" x14ac:dyDescent="0.2">
      <c r="A6280">
        <v>6219</v>
      </c>
      <c r="B6280" s="138">
        <f>'Acct Summary 7-8'!G83</f>
        <v>-4.8896758376464178E-2</v>
      </c>
      <c r="D6280" s="2" t="str">
        <f t="shared" si="97"/>
        <v>Error?</v>
      </c>
      <c r="E6280" s="2" t="s">
        <v>190</v>
      </c>
    </row>
    <row r="6281" spans="1:5" x14ac:dyDescent="0.2">
      <c r="A6281">
        <v>6220</v>
      </c>
      <c r="B6281" s="138">
        <f>'Acct Summary 7-8'!H83</f>
        <v>-6.2053364269141529</v>
      </c>
      <c r="D6281" s="2" t="str">
        <f t="shared" si="97"/>
        <v>Error?</v>
      </c>
      <c r="E6281" s="2" t="s">
        <v>190</v>
      </c>
    </row>
    <row r="6282" spans="1:5" x14ac:dyDescent="0.2">
      <c r="A6282">
        <v>6221</v>
      </c>
      <c r="B6282" s="138">
        <f>'Acct Summary 7-8'!I83</f>
        <v>-3.9348173025344751E-3</v>
      </c>
      <c r="D6282" s="2" t="str">
        <f t="shared" si="97"/>
        <v>Error?</v>
      </c>
      <c r="E6282" s="2" t="s">
        <v>190</v>
      </c>
    </row>
    <row r="6283" spans="1:5" x14ac:dyDescent="0.2">
      <c r="A6283">
        <v>6222</v>
      </c>
      <c r="B6283" s="138">
        <f>'Acct Summary 7-8'!J83</f>
        <v>4.0916530278232409E-3</v>
      </c>
      <c r="D6283" s="2" t="str">
        <f t="shared" si="97"/>
        <v>Error?</v>
      </c>
      <c r="E6283" s="2" t="s">
        <v>190</v>
      </c>
    </row>
    <row r="6284" spans="1:5" x14ac:dyDescent="0.2">
      <c r="A6284">
        <v>6223</v>
      </c>
      <c r="B6284" s="138">
        <f>'Acct Summary 7-8'!K83</f>
        <v>8.130081300813009E-3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35978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35978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35978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67405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82641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35873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35978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2752</v>
      </c>
      <c r="D7073" s="2" t="str">
        <f t="shared" si="109"/>
        <v>Error?</v>
      </c>
    </row>
    <row r="7074" spans="1:4" x14ac:dyDescent="0.2">
      <c r="A7074">
        <v>7013</v>
      </c>
      <c r="B7074" s="138">
        <f>'Expenditures 15-22'!K216</f>
        <v>2752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9329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9329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5226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5226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21318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21318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35873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35873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35873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35873</v>
      </c>
      <c r="D7224" s="2" t="str">
        <f t="shared" si="111"/>
        <v>Error?</v>
      </c>
    </row>
    <row r="7225" spans="1:4" x14ac:dyDescent="0.2">
      <c r="A7225">
        <v>7164</v>
      </c>
      <c r="B7225" s="138">
        <f>'Expenditures 15-22'!K343</f>
        <v>105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9363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3202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2671</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112731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74995</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74995</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10997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6175</v>
      </c>
      <c r="D7724" s="2" t="str">
        <f t="shared" si="126"/>
        <v>Error?</v>
      </c>
      <c r="E7724" s="2" t="s">
        <v>827</v>
      </c>
      <c r="F7724" s="2"/>
    </row>
    <row r="7725" spans="1:6" x14ac:dyDescent="0.2">
      <c r="A7725">
        <v>7664</v>
      </c>
      <c r="B7725" s="138">
        <f>'Rest Tax Levies-Tort Im 25'!J19</f>
        <v>68820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74995</v>
      </c>
      <c r="D7727" s="2" t="str">
        <f t="shared" si="126"/>
        <v>Error?</v>
      </c>
      <c r="E7727" s="2" t="s">
        <v>827</v>
      </c>
    </row>
    <row r="7728" spans="1:6" x14ac:dyDescent="0.2">
      <c r="A7728">
        <v>7667</v>
      </c>
      <c r="B7728" s="138">
        <f>'Revenues 9-14'!E103</f>
        <v>74995</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74995</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14000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12328</v>
      </c>
      <c r="D7797" s="2" t="str">
        <f t="shared" si="127"/>
        <v>Error?</v>
      </c>
      <c r="E7797" s="4" t="s">
        <v>1903</v>
      </c>
    </row>
    <row r="7798" spans="1:5" x14ac:dyDescent="0.2">
      <c r="A7798">
        <v>7737</v>
      </c>
      <c r="B7798" s="138" t="e">
        <f>'Contracts Paid in CY 29'!F141</f>
        <v>#REF!</v>
      </c>
      <c r="D7798" s="2" t="e">
        <f t="shared" si="127"/>
        <v>#REF!</v>
      </c>
      <c r="E7798" s="4" t="s">
        <v>1903</v>
      </c>
    </row>
    <row r="7799" spans="1:5" x14ac:dyDescent="0.2">
      <c r="A7799">
        <v>7738</v>
      </c>
      <c r="B7799" s="138" t="e">
        <f>'Contracts Paid in CY 29'!G141</f>
        <v>#REF!</v>
      </c>
      <c r="D7799" s="2" t="e">
        <f t="shared" si="127"/>
        <v>#REF!</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1987</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Odell Community Consolidated Grade School</v>
      </c>
      <c r="B7" s="2384"/>
      <c r="C7" s="2384"/>
      <c r="D7" s="2421"/>
      <c r="E7" s="2422">
        <f>COVER!A13</f>
        <v>17053435004</v>
      </c>
      <c r="F7" s="2423"/>
      <c r="G7" s="2390" t="str">
        <f>COVER!T23</f>
        <v>066-005100</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Mack &amp; Associates, P.C.</v>
      </c>
      <c r="H9" s="2397"/>
      <c r="I9" s="2397"/>
      <c r="J9" s="2397"/>
      <c r="K9" s="2397"/>
      <c r="L9" s="2398"/>
    </row>
    <row r="10" spans="1:29" ht="13.5" customHeight="1" x14ac:dyDescent="0.2">
      <c r="A10" s="2380" t="str">
        <f>COVER!A38</f>
        <v>Mark Hettmansberger</v>
      </c>
      <c r="B10" s="2381"/>
      <c r="C10" s="2381"/>
      <c r="D10" s="2381"/>
      <c r="E10" s="2381"/>
      <c r="F10" s="2382"/>
      <c r="G10" s="2396" t="str">
        <f>COVER!T17</f>
        <v>116 E. Washington St., Suite One</v>
      </c>
      <c r="H10" s="2409"/>
      <c r="I10" s="2409"/>
      <c r="J10" s="2409"/>
      <c r="K10" s="2409"/>
      <c r="L10" s="2410"/>
    </row>
    <row r="11" spans="1:29" ht="13.5" customHeight="1" x14ac:dyDescent="0.2">
      <c r="A11" s="1184" t="s">
        <v>1519</v>
      </c>
      <c r="B11" s="1185"/>
      <c r="C11" s="1186"/>
      <c r="D11" s="1191"/>
      <c r="E11" s="1186"/>
      <c r="F11" s="1190"/>
      <c r="G11" s="2396" t="str">
        <f>COVER!T19</f>
        <v>Morris</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tmack@mackcpas.com</v>
      </c>
      <c r="J13" s="2418"/>
      <c r="K13" s="2418"/>
      <c r="L13" s="2419"/>
    </row>
    <row r="14" spans="1:29" ht="13.5" customHeight="1" x14ac:dyDescent="0.2">
      <c r="A14" s="2396" t="str">
        <f>COVER!A19</f>
        <v>2032 N. East Street</v>
      </c>
      <c r="B14" s="2409"/>
      <c r="C14" s="2409"/>
      <c r="D14" s="2409"/>
      <c r="E14" s="2409"/>
      <c r="F14" s="2410"/>
      <c r="G14" s="1195" t="s">
        <v>1185</v>
      </c>
      <c r="H14" s="1193"/>
      <c r="I14" s="1193"/>
      <c r="J14" s="1193"/>
      <c r="K14" s="1193"/>
      <c r="L14" s="1194"/>
    </row>
    <row r="15" spans="1:29" ht="13.5" customHeight="1" x14ac:dyDescent="0.2">
      <c r="A15" s="2396" t="str">
        <f>COVER!A21</f>
        <v>Odell</v>
      </c>
      <c r="B15" s="2409"/>
      <c r="C15" s="2409"/>
      <c r="D15" s="2409"/>
      <c r="E15" s="2409"/>
      <c r="F15" s="2410"/>
      <c r="G15" s="2406" t="str">
        <f>COVER!T15</f>
        <v>Tawnya Mack, CPA</v>
      </c>
      <c r="H15" s="2407"/>
      <c r="I15" s="2407"/>
      <c r="J15" s="2407"/>
      <c r="K15" s="2407"/>
      <c r="L15" s="2408"/>
    </row>
    <row r="16" spans="1:29" ht="12.2" customHeight="1" x14ac:dyDescent="0.2">
      <c r="A16" s="2386">
        <f>COVER!A25</f>
        <v>60460</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815-942-3306</v>
      </c>
      <c r="H18" s="2384"/>
      <c r="I18" s="2384"/>
      <c r="J18" s="2384"/>
      <c r="K18" s="2383" t="str">
        <f>COVER!X21</f>
        <v>815-942-9430</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Odell Community Consolidated Grade School</v>
      </c>
      <c r="B1" s="2420"/>
      <c r="C1" s="2420"/>
      <c r="D1" s="2420"/>
    </row>
    <row r="2" spans="1:11" s="1212" customFormat="1" ht="12.75" x14ac:dyDescent="0.2">
      <c r="A2" s="2425">
        <f>'Single Audit Cover'!E7</f>
        <v>17053435004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Odell Community Consolidated Grade School</v>
      </c>
      <c r="B1" s="2428"/>
      <c r="C1" s="2428"/>
      <c r="D1" s="2428"/>
      <c r="E1" s="2428"/>
    </row>
    <row r="2" spans="1:5" x14ac:dyDescent="0.2">
      <c r="A2" s="2429">
        <f>'Single Audit Cover'!E7</f>
        <v>17053435004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92486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92486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92486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92486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Odell Community Consolidated Grade School</v>
      </c>
      <c r="C1" s="2432"/>
      <c r="D1" s="2432"/>
      <c r="E1" s="2432"/>
      <c r="F1" s="2432"/>
      <c r="G1" s="2432"/>
      <c r="H1" s="2432"/>
      <c r="I1" s="2432"/>
      <c r="J1" s="2432"/>
      <c r="K1" s="2432"/>
      <c r="L1" s="2432"/>
      <c r="M1" s="2432"/>
    </row>
    <row r="2" spans="2:14" ht="15" x14ac:dyDescent="0.2">
      <c r="B2" s="2433">
        <f>'Single Audit Cover'!E7</f>
        <v>17053435004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Odell Community Consolidated Grade School</v>
      </c>
      <c r="B1" s="2437"/>
      <c r="C1" s="2437"/>
      <c r="D1" s="2437"/>
      <c r="E1" s="2437"/>
      <c r="F1" s="2437"/>
    </row>
    <row r="2" spans="1:7" ht="13.5" customHeight="1" x14ac:dyDescent="0.2">
      <c r="A2" s="2433">
        <f>'Single Audit Cover'!E7</f>
        <v>17053435004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110" zoomScaleNormal="110" workbookViewId="0">
      <selection activeCell="H128" sqref="H12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2073</v>
      </c>
      <c r="C53" s="179">
        <v>22</v>
      </c>
      <c r="D53" s="247" t="s">
        <v>1462</v>
      </c>
      <c r="E53" s="248"/>
      <c r="F53" s="249"/>
      <c r="G53" s="249" t="s">
        <v>1461</v>
      </c>
      <c r="H53" s="250">
        <v>36526</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2064</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2082</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Odell Community Consolidated Grade School</v>
      </c>
      <c r="C1" s="2453"/>
      <c r="D1" s="2453"/>
      <c r="E1" s="2453"/>
      <c r="F1" s="2453"/>
      <c r="G1" s="2453"/>
      <c r="H1" s="2453"/>
      <c r="I1" s="2453"/>
      <c r="J1" s="1406"/>
    </row>
    <row r="2" spans="2:10" s="317" customFormat="1" ht="12.75" customHeight="1" x14ac:dyDescent="0.2">
      <c r="B2" s="2454">
        <f>'Single Audit Cover'!E7</f>
        <v>17053435004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2062</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Odell Community Consolidated Grade School</v>
      </c>
      <c r="C1" s="2452"/>
      <c r="D1" s="2452"/>
      <c r="E1" s="2452"/>
      <c r="F1" s="2452"/>
      <c r="G1" s="2452"/>
      <c r="H1" s="2452"/>
      <c r="I1" s="2452"/>
      <c r="J1" s="2452"/>
      <c r="K1" s="2452"/>
      <c r="L1" s="1371"/>
      <c r="M1" s="1371"/>
    </row>
    <row r="2" spans="1:13" ht="12" customHeight="1" x14ac:dyDescent="0.2">
      <c r="B2" s="2454">
        <f>'Single Audit Cover'!E7</f>
        <v>17053435004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Odell Community Consolidated Grade School</v>
      </c>
      <c r="C1" s="2479"/>
      <c r="D1" s="2479"/>
      <c r="E1" s="2479"/>
      <c r="F1" s="2479"/>
      <c r="G1" s="2479"/>
      <c r="H1" s="2479"/>
      <c r="I1" s="2479"/>
      <c r="J1" s="2479"/>
      <c r="K1" s="2479"/>
      <c r="L1" s="1449"/>
    </row>
    <row r="2" spans="1:12" ht="12.75" customHeight="1" x14ac:dyDescent="0.2">
      <c r="B2" s="2480">
        <f>'Single Audit Cover'!E7</f>
        <v>17053435004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Odell Community Consolidated Grade School</v>
      </c>
      <c r="C1" s="2452"/>
      <c r="D1" s="2452"/>
      <c r="E1" s="1469"/>
    </row>
    <row r="2" spans="2:5" s="1279" customFormat="1" ht="12.75" customHeight="1" x14ac:dyDescent="0.2">
      <c r="B2" s="2454">
        <f>'Single Audit Cover'!E7</f>
        <v>17053435004</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6" colorId="8" zoomScale="110" zoomScaleNormal="110" workbookViewId="0">
      <selection activeCell="J36" sqref="J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29833229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2.4636999999999999E-2</v>
      </c>
      <c r="E10" s="356" t="s">
        <v>1005</v>
      </c>
      <c r="F10" s="355">
        <v>3.1844E-3</v>
      </c>
      <c r="G10" s="356" t="s">
        <v>1005</v>
      </c>
      <c r="H10" s="355">
        <v>6.202E-4</v>
      </c>
      <c r="I10" s="356" t="s">
        <v>1006</v>
      </c>
      <c r="J10" s="1732">
        <f>ROUND(D10+F10+H10,5)</f>
        <v>2.844E-2</v>
      </c>
      <c r="K10" s="222"/>
      <c r="L10" s="355">
        <v>3.6880000000000002E-4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1957242</v>
      </c>
      <c r="E16" s="356"/>
      <c r="F16" s="1733">
        <f>SUM('Acct Summary 7-8'!C17,'Acct Summary 7-8'!D17,'Acct Summary 7-8'!F17)</f>
        <v>2210440</v>
      </c>
      <c r="G16" s="356"/>
      <c r="H16" s="1733">
        <f>SUM(D16-F16)</f>
        <v>-253198</v>
      </c>
      <c r="I16" s="222"/>
      <c r="J16" s="1733">
        <f>SUM('Acct Summary 7-8'!C81,'Acct Summary 7-8'!D81,'Acct Summary 7-8'!F81,'Acct Summary 7-8'!I81)</f>
        <v>858001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586</v>
      </c>
      <c r="D31" s="237" t="s">
        <v>1072</v>
      </c>
      <c r="E31" s="222"/>
      <c r="F31" s="222"/>
      <c r="G31" s="363"/>
      <c r="H31" s="1735">
        <f>IF(B31="X",(J7*0.069),IF(B32="X",(J7*0.138),"Enter x in a.or b."))</f>
        <v>2058492.8010000002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Odell Community Consolidated Grade School</v>
      </c>
      <c r="E7" s="391"/>
      <c r="G7" s="252"/>
      <c r="H7" s="387"/>
      <c r="I7" s="387"/>
      <c r="J7" s="387"/>
      <c r="K7" s="387"/>
      <c r="L7" s="329"/>
      <c r="M7" s="329"/>
      <c r="N7" s="329"/>
      <c r="O7" s="329"/>
      <c r="P7" s="329"/>
    </row>
    <row r="8" spans="1:18" ht="12.75" x14ac:dyDescent="0.2">
      <c r="A8" s="329"/>
      <c r="B8" s="329"/>
      <c r="C8" s="389" t="s">
        <v>1125</v>
      </c>
      <c r="D8" s="392">
        <f>COVER!A13</f>
        <v>17053435004</v>
      </c>
      <c r="E8" s="393"/>
      <c r="G8" s="329"/>
      <c r="H8" s="329"/>
      <c r="I8" s="329"/>
      <c r="J8" s="329"/>
      <c r="K8" s="329"/>
      <c r="L8" s="329"/>
      <c r="M8" s="329"/>
      <c r="N8" s="329"/>
      <c r="O8" s="329"/>
      <c r="P8" s="329"/>
    </row>
    <row r="9" spans="1:18" ht="12.75" x14ac:dyDescent="0.2">
      <c r="A9" s="329"/>
      <c r="B9" s="329"/>
      <c r="C9" s="389" t="s">
        <v>713</v>
      </c>
      <c r="D9" s="394" t="str">
        <f>COVER!A15</f>
        <v xml:space="preserve">Livingston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858001</v>
      </c>
      <c r="I12" s="404"/>
      <c r="J12" s="404"/>
      <c r="K12" s="405">
        <f>TRUNC((H12/H13*100000),5)/100000</f>
        <v>0.43837246489999998</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1957242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2210440</v>
      </c>
      <c r="I17" s="404"/>
      <c r="J17" s="416"/>
      <c r="K17" s="405">
        <f>TRUNC((H17/H18*100000),5)/100000</f>
        <v>1.1293646876000001</v>
      </c>
      <c r="L17" s="406"/>
      <c r="M17" s="417" t="s">
        <v>1171</v>
      </c>
      <c r="O17" s="418" t="str">
        <f>IF(AND(O16="2", J20 &gt; 2),"1",IF(AND(O16 = "1", J20 &gt; 2),"2",IF(AND(O16="1", J20 &gt;1),"1","0")))</f>
        <v>1</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1957242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2.6156477999999996</v>
      </c>
      <c r="K20" s="405">
        <f>IF(K17&lt;=1,"0",IF(AND(O16="2", J20 &gt; 2),TRUNC(((K12-0.1)/(K17-1)*100),5)/100,IF(AND(O16 = "1", J20 &gt; 2),TRUNC(((K12-0.1)/(K17-1)*100),5)/100,IF(AND(O16="1", J20 &gt;1),TRUNC(((K12-0.1)/(K17-1)*100),5)/100,""))))</f>
        <v>2.6156477999999996</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858001</v>
      </c>
      <c r="I24" s="422"/>
      <c r="J24" s="422"/>
      <c r="K24" s="423">
        <f>TRUNC(((H24/H25*100000)/100000),2)</f>
        <v>139.72999999999999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6140.1111099999998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721188.47785000002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150000</v>
      </c>
      <c r="I32" s="420"/>
      <c r="J32" s="420"/>
      <c r="K32" s="423">
        <f>TRUNC(100-((((H32/H33*100))*100)/100),2)</f>
        <v>92.71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2058492.8010000002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3"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476835</v>
      </c>
      <c r="D4" s="466">
        <v>33459</v>
      </c>
      <c r="E4" s="466">
        <v>8419</v>
      </c>
      <c r="F4" s="466">
        <v>47566</v>
      </c>
      <c r="G4" s="466">
        <v>22026</v>
      </c>
      <c r="H4" s="466">
        <v>862</v>
      </c>
      <c r="I4" s="466">
        <v>300141</v>
      </c>
      <c r="J4" s="467">
        <v>25662</v>
      </c>
      <c r="K4" s="466">
        <v>246</v>
      </c>
      <c r="L4" s="466">
        <v>22515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476835</v>
      </c>
      <c r="D13" s="1737">
        <f t="shared" ref="D13:L13" si="0">SUM(D4:D12)</f>
        <v>33459</v>
      </c>
      <c r="E13" s="1737">
        <f t="shared" si="0"/>
        <v>8419</v>
      </c>
      <c r="F13" s="1737">
        <f t="shared" si="0"/>
        <v>47566</v>
      </c>
      <c r="G13" s="1737">
        <f t="shared" si="0"/>
        <v>22026</v>
      </c>
      <c r="H13" s="1737">
        <f t="shared" si="0"/>
        <v>862</v>
      </c>
      <c r="I13" s="1737">
        <f t="shared" si="0"/>
        <v>300141</v>
      </c>
      <c r="J13" s="1737">
        <f t="shared" si="0"/>
        <v>25662</v>
      </c>
      <c r="K13" s="1737">
        <f t="shared" si="0"/>
        <v>246</v>
      </c>
      <c r="L13" s="1737">
        <f t="shared" si="0"/>
        <v>22515</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61564</v>
      </c>
      <c r="N16" s="484"/>
    </row>
    <row r="17" spans="1:14" s="485" customFormat="1" ht="12.75" customHeight="1" x14ac:dyDescent="0.2">
      <c r="A17" s="482" t="s">
        <v>1403</v>
      </c>
      <c r="B17" s="483">
        <v>230</v>
      </c>
      <c r="C17" s="477"/>
      <c r="D17" s="477"/>
      <c r="E17" s="477"/>
      <c r="F17" s="477"/>
      <c r="G17" s="477"/>
      <c r="H17" s="477"/>
      <c r="I17" s="477"/>
      <c r="J17" s="477"/>
      <c r="K17" s="477"/>
      <c r="L17" s="477"/>
      <c r="M17" s="467">
        <v>1751013</v>
      </c>
      <c r="N17" s="484"/>
    </row>
    <row r="18" spans="1:14" s="485" customFormat="1" ht="12.75" customHeight="1" x14ac:dyDescent="0.2">
      <c r="A18" s="482" t="s">
        <v>1404</v>
      </c>
      <c r="B18" s="483">
        <v>240</v>
      </c>
      <c r="C18" s="477"/>
      <c r="D18" s="477"/>
      <c r="E18" s="477"/>
      <c r="F18" s="477"/>
      <c r="G18" s="477"/>
      <c r="H18" s="477"/>
      <c r="I18" s="477"/>
      <c r="J18" s="477"/>
      <c r="K18" s="477"/>
      <c r="L18" s="477"/>
      <c r="M18" s="467">
        <v>18970</v>
      </c>
      <c r="N18" s="484"/>
    </row>
    <row r="19" spans="1:14" s="485" customFormat="1" ht="12.75" customHeight="1" x14ac:dyDescent="0.2">
      <c r="A19" s="482" t="s">
        <v>1405</v>
      </c>
      <c r="B19" s="483">
        <v>250</v>
      </c>
      <c r="C19" s="477"/>
      <c r="D19" s="477"/>
      <c r="E19" s="477"/>
      <c r="F19" s="477"/>
      <c r="G19" s="477"/>
      <c r="H19" s="477"/>
      <c r="I19" s="477"/>
      <c r="J19" s="477"/>
      <c r="K19" s="477"/>
      <c r="L19" s="477"/>
      <c r="M19" s="467">
        <v>141709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8419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141581</v>
      </c>
    </row>
    <row r="23" spans="1:14" ht="13.5" customHeight="1" thickBot="1" x14ac:dyDescent="0.25">
      <c r="A23" s="1736" t="s">
        <v>643</v>
      </c>
      <c r="B23" s="1741"/>
      <c r="C23" s="468"/>
      <c r="D23" s="468"/>
      <c r="E23" s="468"/>
      <c r="F23" s="468"/>
      <c r="G23" s="468"/>
      <c r="H23" s="468"/>
      <c r="I23" s="468"/>
      <c r="J23" s="468"/>
      <c r="K23" s="468"/>
      <c r="L23" s="468"/>
      <c r="M23" s="1688">
        <f>SUM(M15:M22)</f>
        <v>1973256</v>
      </c>
      <c r="N23" s="1688">
        <f>SUM(N21:N22)</f>
        <v>150000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22515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22515</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150000</v>
      </c>
    </row>
    <row r="37" spans="1:14" ht="13.5" thickBot="1" x14ac:dyDescent="0.25">
      <c r="A37" s="1736" t="s">
        <v>653</v>
      </c>
      <c r="B37" s="1741"/>
      <c r="C37" s="477"/>
      <c r="D37" s="477"/>
      <c r="E37" s="477"/>
      <c r="F37" s="477"/>
      <c r="G37" s="477"/>
      <c r="H37" s="477"/>
      <c r="I37" s="477"/>
      <c r="J37" s="477"/>
      <c r="K37" s="477"/>
      <c r="L37" s="480"/>
      <c r="M37" s="468"/>
      <c r="N37" s="1688">
        <f>SUM(N36:N36)</f>
        <v>150000</v>
      </c>
    </row>
    <row r="38" spans="1:14" s="329" customFormat="1" ht="13.5" customHeight="1" thickTop="1" x14ac:dyDescent="0.2">
      <c r="A38" s="496" t="s">
        <v>420</v>
      </c>
      <c r="B38" s="483">
        <v>714</v>
      </c>
      <c r="C38" s="466">
        <v>145277</v>
      </c>
      <c r="D38" s="466"/>
      <c r="E38" s="466"/>
      <c r="F38" s="466"/>
      <c r="G38" s="466">
        <v>22026</v>
      </c>
      <c r="H38" s="466"/>
      <c r="I38" s="466"/>
      <c r="J38" s="467"/>
      <c r="K38" s="466"/>
      <c r="L38" s="481"/>
      <c r="M38" s="497"/>
      <c r="N38" s="497"/>
    </row>
    <row r="39" spans="1:14" s="329" customFormat="1" ht="13.5" customHeight="1" x14ac:dyDescent="0.2">
      <c r="A39" s="496" t="s">
        <v>342</v>
      </c>
      <c r="B39" s="483">
        <v>730</v>
      </c>
      <c r="C39" s="466">
        <v>331558</v>
      </c>
      <c r="D39" s="466">
        <v>33459</v>
      </c>
      <c r="E39" s="466">
        <v>8419</v>
      </c>
      <c r="F39" s="466">
        <v>47566</v>
      </c>
      <c r="G39" s="466"/>
      <c r="H39" s="466">
        <v>862</v>
      </c>
      <c r="I39" s="466">
        <v>300141</v>
      </c>
      <c r="J39" s="467">
        <v>25662</v>
      </c>
      <c r="K39" s="466">
        <v>246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1973256</v>
      </c>
      <c r="N40" s="497"/>
    </row>
    <row r="41" spans="1:14" ht="13.5" customHeight="1" thickBot="1" x14ac:dyDescent="0.25">
      <c r="A41" s="1736" t="s">
        <v>655</v>
      </c>
      <c r="B41" s="1706"/>
      <c r="C41" s="1688">
        <f>(SUM(C34,C37,C38,C39))</f>
        <v>476835</v>
      </c>
      <c r="D41" s="1688">
        <f t="shared" ref="D41:L41" si="2">SUM(D34,D37,D38:D39)</f>
        <v>33459</v>
      </c>
      <c r="E41" s="1688">
        <f t="shared" si="2"/>
        <v>8419</v>
      </c>
      <c r="F41" s="1688">
        <f t="shared" si="2"/>
        <v>47566</v>
      </c>
      <c r="G41" s="1688">
        <f t="shared" si="2"/>
        <v>22026</v>
      </c>
      <c r="H41" s="1688">
        <f t="shared" si="2"/>
        <v>862</v>
      </c>
      <c r="I41" s="1688">
        <f t="shared" si="2"/>
        <v>300141</v>
      </c>
      <c r="J41" s="1688">
        <f t="shared" si="2"/>
        <v>25662</v>
      </c>
      <c r="K41" s="1688">
        <f t="shared" si="2"/>
        <v>246</v>
      </c>
      <c r="L41" s="1688">
        <f t="shared" si="2"/>
        <v>22515</v>
      </c>
      <c r="M41" s="1688">
        <f>SUM(M40)</f>
        <v>1973256</v>
      </c>
      <c r="N41" s="1688">
        <f>SUM(N37)</f>
        <v>150000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57" activePane="bottomLeft" state="frozen"/>
      <selection pane="bottomLeft" activeCell="H26" sqref="H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1011410</v>
      </c>
      <c r="D4" s="1742">
        <f>'Revenues 9-14'!D109</f>
        <v>144430</v>
      </c>
      <c r="E4" s="1742">
        <f>'Revenues 9-14'!E109</f>
        <v>86995</v>
      </c>
      <c r="F4" s="1742">
        <f>'Revenues 9-14'!F109</f>
        <v>19264</v>
      </c>
      <c r="G4" s="1742">
        <f>'Revenues 9-14'!G109</f>
        <v>53157</v>
      </c>
      <c r="H4" s="1742">
        <f>'Revenues 9-14'!H109</f>
        <v>1</v>
      </c>
      <c r="I4" s="1742">
        <f>'Revenues 9-14'!I109</f>
        <v>12819</v>
      </c>
      <c r="J4" s="1742">
        <f>'Revenues 9-14'!J109</f>
        <v>35978</v>
      </c>
      <c r="K4" s="1742">
        <f>'Revenues 9-14'!K109</f>
        <v>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574852</v>
      </c>
      <c r="D6" s="1743">
        <f>'Revenues 9-14'!D170</f>
        <v>10823</v>
      </c>
      <c r="E6" s="1743">
        <f>'Revenues 9-14'!E170</f>
        <v>0</v>
      </c>
      <c r="F6" s="1743">
        <f>'Revenues 9-14'!F170</f>
        <v>91158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92486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1678748</v>
      </c>
      <c r="D8" s="1688">
        <f t="shared" ref="D8:K8" si="0">SUM(D4:D7)</f>
        <v>155253</v>
      </c>
      <c r="E8" s="1688">
        <f t="shared" si="0"/>
        <v>86995</v>
      </c>
      <c r="F8" s="1688">
        <f t="shared" si="0"/>
        <v>110422</v>
      </c>
      <c r="G8" s="1688">
        <f t="shared" si="0"/>
        <v>53157</v>
      </c>
      <c r="H8" s="1688">
        <f t="shared" si="0"/>
        <v>1</v>
      </c>
      <c r="I8" s="1688">
        <f t="shared" si="0"/>
        <v>12819</v>
      </c>
      <c r="J8" s="1688">
        <f t="shared" si="0"/>
        <v>35978</v>
      </c>
      <c r="K8" s="1688">
        <f t="shared" si="0"/>
        <v>2</v>
      </c>
      <c r="L8" s="347"/>
    </row>
    <row r="9" spans="1:13" ht="15.75" thickTop="1" x14ac:dyDescent="0.2">
      <c r="A9" s="514" t="s">
        <v>1653</v>
      </c>
      <c r="B9" s="515">
        <v>3998</v>
      </c>
      <c r="C9" s="481">
        <v>117247</v>
      </c>
      <c r="D9" s="516"/>
      <c r="E9" s="481"/>
      <c r="F9" s="481"/>
      <c r="G9" s="517"/>
      <c r="H9" s="481"/>
      <c r="I9" s="509" t="s">
        <v>1169</v>
      </c>
      <c r="J9" s="478"/>
      <c r="K9" s="481"/>
      <c r="L9" s="347"/>
    </row>
    <row r="10" spans="1:13" s="519" customFormat="1" ht="13.5" thickBot="1" x14ac:dyDescent="0.25">
      <c r="A10" s="1736" t="s">
        <v>1173</v>
      </c>
      <c r="B10" s="1709"/>
      <c r="C10" s="1688">
        <f>SUM(C8:C9)</f>
        <v>1795995</v>
      </c>
      <c r="D10" s="1688">
        <f t="shared" ref="D10:K10" si="1">SUM(D8:D9)</f>
        <v>155253</v>
      </c>
      <c r="E10" s="1688">
        <f t="shared" si="1"/>
        <v>86995</v>
      </c>
      <c r="F10" s="1688">
        <f t="shared" si="1"/>
        <v>110422</v>
      </c>
      <c r="G10" s="1688">
        <f t="shared" si="1"/>
        <v>53157</v>
      </c>
      <c r="H10" s="1688">
        <f t="shared" si="1"/>
        <v>1</v>
      </c>
      <c r="I10" s="1688">
        <f t="shared" si="1"/>
        <v>12819</v>
      </c>
      <c r="J10" s="1688">
        <f t="shared" si="1"/>
        <v>35978</v>
      </c>
      <c r="K10" s="1688">
        <f t="shared" si="1"/>
        <v>2</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1068703</v>
      </c>
      <c r="D12" s="520" t="s">
        <v>1169</v>
      </c>
      <c r="E12" s="468" t="s">
        <v>1169</v>
      </c>
      <c r="F12" s="468" t="s">
        <v>1169</v>
      </c>
      <c r="G12" s="1742">
        <f>'Expenditures 15-22'!K229</f>
        <v>20324</v>
      </c>
      <c r="H12" s="521"/>
      <c r="I12" s="468" t="s">
        <v>1169</v>
      </c>
      <c r="J12" s="468" t="s">
        <v>1169</v>
      </c>
      <c r="K12" s="521" t="s">
        <v>1169</v>
      </c>
      <c r="L12" s="347"/>
    </row>
    <row r="13" spans="1:13" ht="15.75" customHeight="1" x14ac:dyDescent="0.2">
      <c r="A13" s="1576" t="s">
        <v>457</v>
      </c>
      <c r="B13" s="1578">
        <v>2000</v>
      </c>
      <c r="C13" s="1743">
        <f>'Expenditures 15-22'!K74</f>
        <v>516920</v>
      </c>
      <c r="D13" s="1743">
        <f>'Expenditures 15-22'!K129</f>
        <v>173558</v>
      </c>
      <c r="E13" s="469" t="s">
        <v>1169</v>
      </c>
      <c r="F13" s="1743">
        <f>'Expenditures 15-22'!K184</f>
        <v>211567</v>
      </c>
      <c r="G13" s="1743">
        <f>'Expenditures 15-22'!K279</f>
        <v>33910</v>
      </c>
      <c r="H13" s="1743">
        <f>'Expenditures 15-22'!K303</f>
        <v>19350</v>
      </c>
      <c r="I13" s="468" t="s">
        <v>1169</v>
      </c>
      <c r="J13" s="1743">
        <f>'Expenditures 15-22'!K330</f>
        <v>35873</v>
      </c>
      <c r="K13" s="1747">
        <f>'Expenditures 15-22'!K352</f>
        <v>0</v>
      </c>
      <c r="L13" s="347"/>
    </row>
    <row r="14" spans="1:13" ht="15.75" customHeight="1" x14ac:dyDescent="0.2">
      <c r="A14" s="1576" t="s">
        <v>449</v>
      </c>
      <c r="B14" s="1578">
        <v>3000</v>
      </c>
      <c r="C14" s="1743">
        <f>'Expenditures 15-22'!K75</f>
        <v>841</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238851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86175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1825315</v>
      </c>
      <c r="D17" s="1688">
        <f t="shared" si="2"/>
        <v>173558</v>
      </c>
      <c r="E17" s="1688">
        <f t="shared" si="2"/>
        <v>86175</v>
      </c>
      <c r="F17" s="1688">
        <f t="shared" si="2"/>
        <v>211567</v>
      </c>
      <c r="G17" s="1688">
        <f t="shared" si="2"/>
        <v>54234</v>
      </c>
      <c r="H17" s="1688">
        <f t="shared" si="2"/>
        <v>19350</v>
      </c>
      <c r="I17" s="468"/>
      <c r="J17" s="1688">
        <f>SUM(J12:J16)</f>
        <v>35873</v>
      </c>
      <c r="K17" s="1688">
        <f>SUM(K12:K16)</f>
        <v>0</v>
      </c>
      <c r="L17" s="347"/>
    </row>
    <row r="18" spans="1:12" ht="15" customHeight="1" thickTop="1" x14ac:dyDescent="0.2">
      <c r="A18" s="1744" t="s">
        <v>1654</v>
      </c>
      <c r="B18" s="1745">
        <v>4180</v>
      </c>
      <c r="C18" s="1742">
        <f t="shared" ref="C18:H18" si="3">C9</f>
        <v>117247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1942562</v>
      </c>
      <c r="D19" s="1688">
        <f t="shared" si="4"/>
        <v>173558</v>
      </c>
      <c r="E19" s="1688">
        <f t="shared" si="4"/>
        <v>86175</v>
      </c>
      <c r="F19" s="1688">
        <f t="shared" si="4"/>
        <v>211567</v>
      </c>
      <c r="G19" s="1688">
        <f t="shared" si="4"/>
        <v>54234</v>
      </c>
      <c r="H19" s="1688">
        <f t="shared" si="4"/>
        <v>19350</v>
      </c>
      <c r="I19" s="468"/>
      <c r="J19" s="1688">
        <f>SUM(J17:J18)</f>
        <v>35873</v>
      </c>
      <c r="K19" s="1688">
        <f>SUM(K17:K18)</f>
        <v>0</v>
      </c>
      <c r="L19" s="347"/>
    </row>
    <row r="20" spans="1:12" ht="16.5" thickTop="1" thickBot="1" x14ac:dyDescent="0.25">
      <c r="A20" s="2125" t="s">
        <v>1655</v>
      </c>
      <c r="B20" s="2126"/>
      <c r="C20" s="1746">
        <f>C8-C17</f>
        <v>-146567</v>
      </c>
      <c r="D20" s="1746">
        <f t="shared" ref="D20:K20" si="5">D8-D17</f>
        <v>-18305</v>
      </c>
      <c r="E20" s="1746">
        <f t="shared" si="5"/>
        <v>820</v>
      </c>
      <c r="F20" s="1746">
        <f t="shared" si="5"/>
        <v>-101145</v>
      </c>
      <c r="G20" s="1746">
        <f t="shared" si="5"/>
        <v>-1077</v>
      </c>
      <c r="H20" s="1746">
        <f t="shared" si="5"/>
        <v>-19349</v>
      </c>
      <c r="I20" s="1746">
        <f t="shared" si="5"/>
        <v>12819</v>
      </c>
      <c r="J20" s="1746">
        <f t="shared" si="5"/>
        <v>105</v>
      </c>
      <c r="K20" s="1746">
        <f t="shared" si="5"/>
        <v>2</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v>14000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14000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14000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14000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14000</v>
      </c>
      <c r="I77" s="1703">
        <f t="shared" si="8"/>
        <v>-14000</v>
      </c>
      <c r="J77" s="1703">
        <f t="shared" si="8"/>
        <v>0</v>
      </c>
      <c r="K77" s="1703">
        <f t="shared" si="8"/>
        <v>0</v>
      </c>
      <c r="L77" s="347"/>
    </row>
    <row r="78" spans="1:12" ht="21.75" customHeight="1" thickTop="1" thickBot="1" x14ac:dyDescent="0.25">
      <c r="A78" s="2121" t="s">
        <v>597</v>
      </c>
      <c r="B78" s="2122"/>
      <c r="C78" s="1702">
        <f t="shared" ref="C78:K78" si="9">C20+C77</f>
        <v>-146567</v>
      </c>
      <c r="D78" s="1702">
        <f t="shared" si="9"/>
        <v>-18305</v>
      </c>
      <c r="E78" s="1702">
        <f t="shared" si="9"/>
        <v>820</v>
      </c>
      <c r="F78" s="1702">
        <f t="shared" si="9"/>
        <v>-101145</v>
      </c>
      <c r="G78" s="1702">
        <f t="shared" si="9"/>
        <v>-1077</v>
      </c>
      <c r="H78" s="1702">
        <f t="shared" si="9"/>
        <v>-5349</v>
      </c>
      <c r="I78" s="1702">
        <f t="shared" si="9"/>
        <v>-1181</v>
      </c>
      <c r="J78" s="1702">
        <f t="shared" si="9"/>
        <v>105</v>
      </c>
      <c r="K78" s="1702">
        <f t="shared" si="9"/>
        <v>2</v>
      </c>
      <c r="L78" s="533"/>
    </row>
    <row r="79" spans="1:12" ht="13.5" thickTop="1" x14ac:dyDescent="0.2">
      <c r="A79" s="1494" t="s">
        <v>1947</v>
      </c>
      <c r="B79" s="534"/>
      <c r="C79" s="478">
        <v>623402</v>
      </c>
      <c r="D79" s="535">
        <v>51764</v>
      </c>
      <c r="E79" s="535">
        <v>7599</v>
      </c>
      <c r="F79" s="535">
        <v>148711</v>
      </c>
      <c r="G79" s="535">
        <v>23103</v>
      </c>
      <c r="H79" s="535">
        <v>6211</v>
      </c>
      <c r="I79" s="535">
        <v>301322</v>
      </c>
      <c r="J79" s="535">
        <v>25557</v>
      </c>
      <c r="K79" s="535">
        <v>244</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1948</v>
      </c>
      <c r="B81" s="2120"/>
      <c r="C81" s="1688">
        <f>(SUM(C78:C80))</f>
        <v>476835</v>
      </c>
      <c r="D81" s="1688">
        <f>SUM(D78:D80)</f>
        <v>33459</v>
      </c>
      <c r="E81" s="1688">
        <f t="shared" ref="E81:K81" si="10">SUM(E78:E80)</f>
        <v>8419</v>
      </c>
      <c r="F81" s="1688">
        <f t="shared" si="10"/>
        <v>47566</v>
      </c>
      <c r="G81" s="1688">
        <f t="shared" si="10"/>
        <v>22026</v>
      </c>
      <c r="H81" s="1688">
        <f t="shared" si="10"/>
        <v>862</v>
      </c>
      <c r="I81" s="1688">
        <f t="shared" si="10"/>
        <v>300141</v>
      </c>
      <c r="J81" s="1688">
        <f t="shared" si="10"/>
        <v>25662</v>
      </c>
      <c r="K81" s="1688">
        <f t="shared" si="10"/>
        <v>246</v>
      </c>
      <c r="L81" s="347"/>
    </row>
    <row r="82" spans="1:12" ht="0.75" customHeight="1" thickTop="1" thickBot="1" x14ac:dyDescent="0.25">
      <c r="A82" s="536" t="s">
        <v>343</v>
      </c>
      <c r="B82" s="537"/>
      <c r="C82" s="538">
        <f>(C81-C79)</f>
        <v>-146567</v>
      </c>
      <c r="D82" s="538">
        <f t="shared" ref="D82:K82" si="11">(D81-D79)</f>
        <v>-18305</v>
      </c>
      <c r="E82" s="538">
        <f t="shared" si="11"/>
        <v>820</v>
      </c>
      <c r="F82" s="538">
        <f t="shared" si="11"/>
        <v>-101145</v>
      </c>
      <c r="G82" s="538">
        <f t="shared" si="11"/>
        <v>-1077</v>
      </c>
      <c r="H82" s="538">
        <f t="shared" si="11"/>
        <v>-5349</v>
      </c>
      <c r="I82" s="538">
        <f t="shared" si="11"/>
        <v>-1181</v>
      </c>
      <c r="J82" s="538">
        <f t="shared" si="11"/>
        <v>105</v>
      </c>
      <c r="K82" s="538">
        <f t="shared" si="11"/>
        <v>2</v>
      </c>
    </row>
    <row r="83" spans="1:12" ht="14.25" hidden="1" thickTop="1" thickBot="1" x14ac:dyDescent="0.25">
      <c r="A83" s="539" t="s">
        <v>344</v>
      </c>
      <c r="B83" s="464"/>
      <c r="C83" s="540">
        <f>C82/C81</f>
        <v>-0.30737466838633909</v>
      </c>
      <c r="D83" s="540">
        <f t="shared" ref="D83:K83" si="12">D82/D81</f>
        <v>-0.54708748019964737</v>
      </c>
      <c r="E83" s="540">
        <f t="shared" si="12"/>
        <v>9.7398740943104883E-2</v>
      </c>
      <c r="F83" s="540">
        <f t="shared" si="12"/>
        <v>-2.1264138250010514</v>
      </c>
      <c r="G83" s="540">
        <f t="shared" si="12"/>
        <v>-4.8896758376464178E-2</v>
      </c>
      <c r="H83" s="540">
        <f t="shared" si="12"/>
        <v>-6.2053364269141529</v>
      </c>
      <c r="I83" s="540">
        <f t="shared" si="12"/>
        <v>-3.9348173025344751E-3</v>
      </c>
      <c r="J83" s="540">
        <f t="shared" si="12"/>
        <v>4.0916530278232409E-3</v>
      </c>
      <c r="K83" s="540">
        <f t="shared" si="12"/>
        <v>8.130081300813009E-3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3" activePane="bottomLeft" state="frozen"/>
      <selection pane="bottomLeft" activeCell="G8" sqref="G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715008</v>
      </c>
      <c r="D5" s="481">
        <v>79949</v>
      </c>
      <c r="E5" s="466"/>
      <c r="F5" s="548">
        <v>18488</v>
      </c>
      <c r="G5" s="466">
        <f>24986+27970</f>
        <v>52956</v>
      </c>
      <c r="H5" s="466"/>
      <c r="I5" s="466">
        <v>10997</v>
      </c>
      <c r="J5" s="467">
        <v>35978</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10997</v>
      </c>
      <c r="D7" s="466"/>
      <c r="E7" s="468"/>
      <c r="F7" s="467"/>
      <c r="G7" s="467"/>
      <c r="H7" s="467"/>
      <c r="I7" s="468"/>
      <c r="J7" s="468"/>
      <c r="K7" s="468"/>
    </row>
    <row r="8" spans="1:12" x14ac:dyDescent="0.2">
      <c r="A8" s="463" t="s">
        <v>413</v>
      </c>
      <c r="B8" s="470">
        <v>1150</v>
      </c>
      <c r="C8" s="475"/>
      <c r="D8" s="475"/>
      <c r="E8" s="477"/>
      <c r="F8" s="477"/>
      <c r="G8" s="481">
        <v>14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726005</v>
      </c>
      <c r="D12" s="1707">
        <f t="shared" si="0"/>
        <v>79949</v>
      </c>
      <c r="E12" s="1707">
        <f t="shared" si="0"/>
        <v>0</v>
      </c>
      <c r="F12" s="1707">
        <f t="shared" si="0"/>
        <v>18488</v>
      </c>
      <c r="G12" s="1707">
        <f t="shared" si="0"/>
        <v>52970</v>
      </c>
      <c r="H12" s="1707">
        <f t="shared" si="0"/>
        <v>0</v>
      </c>
      <c r="I12" s="1707">
        <f t="shared" si="0"/>
        <v>10997</v>
      </c>
      <c r="J12" s="1707">
        <f t="shared" si="0"/>
        <v>35978</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78162</v>
      </c>
      <c r="D16" s="466">
        <v>12724</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78162</v>
      </c>
      <c r="D18" s="1710">
        <f t="shared" ref="D18:K18" si="1">SUM(D14:D17)</f>
        <v>12724</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9900</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9900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3587</v>
      </c>
      <c r="D65" s="466">
        <v>312</v>
      </c>
      <c r="E65" s="466"/>
      <c r="F65" s="467">
        <v>491</v>
      </c>
      <c r="G65" s="466">
        <v>187</v>
      </c>
      <c r="H65" s="466">
        <v>1</v>
      </c>
      <c r="I65" s="466">
        <v>1822</v>
      </c>
      <c r="J65" s="467"/>
      <c r="K65" s="466">
        <v>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3587</v>
      </c>
      <c r="D67" s="1688">
        <f t="shared" ref="D67:K67" si="2">SUM(D65:D66)</f>
        <v>312</v>
      </c>
      <c r="E67" s="1688">
        <f t="shared" si="2"/>
        <v>0</v>
      </c>
      <c r="F67" s="1688">
        <f t="shared" si="2"/>
        <v>491</v>
      </c>
      <c r="G67" s="1688">
        <f t="shared" si="2"/>
        <v>187</v>
      </c>
      <c r="H67" s="1688">
        <f t="shared" si="2"/>
        <v>1</v>
      </c>
      <c r="I67" s="1688">
        <f t="shared" si="2"/>
        <v>1822</v>
      </c>
      <c r="J67" s="1688">
        <f t="shared" si="2"/>
        <v>0</v>
      </c>
      <c r="K67" s="1688">
        <f t="shared" si="2"/>
        <v>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8667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810</v>
      </c>
      <c r="D72" s="468"/>
      <c r="E72" s="468"/>
      <c r="F72" s="468"/>
      <c r="G72" s="468"/>
      <c r="H72" s="468"/>
      <c r="I72" s="468"/>
      <c r="J72" s="468"/>
      <c r="K72" s="468"/>
    </row>
    <row r="73" spans="1:11" ht="12.75" customHeight="1" x14ac:dyDescent="0.2">
      <c r="A73" s="463" t="s">
        <v>998</v>
      </c>
      <c r="B73" s="470">
        <v>1620</v>
      </c>
      <c r="C73" s="551">
        <v>197</v>
      </c>
      <c r="D73" s="468"/>
      <c r="E73" s="468"/>
      <c r="F73" s="468"/>
      <c r="G73" s="468"/>
      <c r="H73" s="468"/>
      <c r="I73" s="468"/>
      <c r="J73" s="468"/>
      <c r="K73" s="468"/>
    </row>
    <row r="74" spans="1:11" ht="12.75" customHeight="1" x14ac:dyDescent="0.2">
      <c r="A74" s="463" t="s">
        <v>25</v>
      </c>
      <c r="B74" s="470">
        <v>1690</v>
      </c>
      <c r="C74" s="551">
        <v>128</v>
      </c>
      <c r="D74" s="468"/>
      <c r="E74" s="468"/>
      <c r="F74" s="468"/>
      <c r="G74" s="468"/>
      <c r="H74" s="468"/>
      <c r="I74" s="468"/>
      <c r="J74" s="468"/>
      <c r="K74" s="468"/>
    </row>
    <row r="75" spans="1:11" ht="12.75" customHeight="1" thickBot="1" x14ac:dyDescent="0.25">
      <c r="A75" s="1708" t="s">
        <v>548</v>
      </c>
      <c r="B75" s="1709"/>
      <c r="C75" s="1688">
        <f>SUM(C69:C74)</f>
        <v>9802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5545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520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6065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4430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4430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74995</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173459</v>
      </c>
      <c r="D107" s="466">
        <v>51445</v>
      </c>
      <c r="E107" s="466">
        <v>12000</v>
      </c>
      <c r="F107" s="466">
        <v>285</v>
      </c>
      <c r="G107" s="466"/>
      <c r="H107" s="466"/>
      <c r="I107" s="466"/>
      <c r="J107" s="467"/>
      <c r="K107" s="466"/>
    </row>
    <row r="108" spans="1:12" ht="12.75" customHeight="1" thickBot="1" x14ac:dyDescent="0.25">
      <c r="A108" s="1708" t="s">
        <v>487</v>
      </c>
      <c r="B108" s="1712"/>
      <c r="C108" s="1707">
        <f>SUM(C95:C107)</f>
        <v>173459</v>
      </c>
      <c r="D108" s="1707">
        <f t="shared" ref="D108:K108" si="3">SUM(D95:D107)</f>
        <v>51445</v>
      </c>
      <c r="E108" s="1707">
        <f t="shared" si="3"/>
        <v>86995</v>
      </c>
      <c r="F108" s="1707">
        <f t="shared" si="3"/>
        <v>285</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1011410</v>
      </c>
      <c r="D109" s="1715">
        <f t="shared" si="4"/>
        <v>144430</v>
      </c>
      <c r="E109" s="1715">
        <f t="shared" si="4"/>
        <v>86995</v>
      </c>
      <c r="F109" s="1715">
        <f t="shared" si="4"/>
        <v>19264</v>
      </c>
      <c r="G109" s="1715">
        <f t="shared" si="4"/>
        <v>53157</v>
      </c>
      <c r="H109" s="1715">
        <f t="shared" si="4"/>
        <v>1</v>
      </c>
      <c r="I109" s="1715">
        <f t="shared" si="4"/>
        <v>12819</v>
      </c>
      <c r="J109" s="1715">
        <f t="shared" si="4"/>
        <v>35978</v>
      </c>
      <c r="K109" s="1702">
        <f t="shared" si="4"/>
        <v>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478145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478145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569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68965</v>
      </c>
      <c r="G152" s="467"/>
      <c r="H152" s="468"/>
      <c r="I152" s="468"/>
      <c r="J152" s="468"/>
      <c r="K152" s="468"/>
    </row>
    <row r="153" spans="1:11" ht="12.75" customHeight="1" x14ac:dyDescent="0.2">
      <c r="A153" s="463" t="s">
        <v>1057</v>
      </c>
      <c r="B153" s="562">
        <v>3510</v>
      </c>
      <c r="C153" s="551"/>
      <c r="D153" s="466"/>
      <c r="E153" s="561"/>
      <c r="F153" s="466">
        <v>13648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82613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94560</v>
      </c>
      <c r="D159" s="578">
        <v>10823</v>
      </c>
      <c r="E159" s="561"/>
      <c r="F159" s="576">
        <v>8545</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1578</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96707</v>
      </c>
      <c r="D169" s="1722">
        <f t="shared" si="6"/>
        <v>10823</v>
      </c>
      <c r="E169" s="1722">
        <f t="shared" si="6"/>
        <v>0</v>
      </c>
      <c r="F169" s="1722">
        <f t="shared" si="6"/>
        <v>91158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574852</v>
      </c>
      <c r="D170" s="1715">
        <f t="shared" si="7"/>
        <v>10823</v>
      </c>
      <c r="E170" s="1715">
        <f t="shared" si="7"/>
        <v>0</v>
      </c>
      <c r="F170" s="1715">
        <f t="shared" si="7"/>
        <v>91158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25941</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25941</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23879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6417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30296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21971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21971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2569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2569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2056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8417</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1236</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92486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92486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1678748</v>
      </c>
      <c r="D268" s="1715">
        <f t="shared" si="12"/>
        <v>155253</v>
      </c>
      <c r="E268" s="1715">
        <f t="shared" si="12"/>
        <v>86995</v>
      </c>
      <c r="F268" s="1715">
        <f t="shared" si="12"/>
        <v>110422</v>
      </c>
      <c r="G268" s="1715">
        <f t="shared" si="12"/>
        <v>53157</v>
      </c>
      <c r="H268" s="1715">
        <f t="shared" si="12"/>
        <v>1</v>
      </c>
      <c r="I268" s="1715">
        <f t="shared" si="12"/>
        <v>12819</v>
      </c>
      <c r="J268" s="1715">
        <f t="shared" si="12"/>
        <v>35978</v>
      </c>
      <c r="K268" s="1702">
        <f t="shared" si="12"/>
        <v>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110" activePane="bottomLeft" state="frozen"/>
      <selection pane="bottomLeft" activeCell="L323" sqref="L32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586978</v>
      </c>
      <c r="D5" s="466">
        <v>86766</v>
      </c>
      <c r="E5" s="466"/>
      <c r="F5" s="466">
        <v>27296</v>
      </c>
      <c r="G5" s="466"/>
      <c r="H5" s="466">
        <v>2652</v>
      </c>
      <c r="I5" s="467"/>
      <c r="J5" s="467"/>
      <c r="K5" s="1671">
        <f>SUM(C5:J5)</f>
        <v>703692</v>
      </c>
      <c r="L5" s="466">
        <v>762800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67405</v>
      </c>
      <c r="D7" s="467">
        <v>9363</v>
      </c>
      <c r="E7" s="467"/>
      <c r="F7" s="467">
        <v>3202</v>
      </c>
      <c r="G7" s="467"/>
      <c r="H7" s="467">
        <v>2671</v>
      </c>
      <c r="I7" s="467"/>
      <c r="J7" s="467"/>
      <c r="K7" s="1671">
        <f t="shared" ref="K7:K32" si="0">SUM(C7:J7)</f>
        <v>82641</v>
      </c>
      <c r="L7" s="466">
        <v>81750</v>
      </c>
    </row>
    <row r="8" spans="1:14" x14ac:dyDescent="0.2">
      <c r="A8" s="1504" t="s">
        <v>164</v>
      </c>
      <c r="B8" s="614">
        <v>1200</v>
      </c>
      <c r="C8" s="466">
        <v>143608</v>
      </c>
      <c r="D8" s="466">
        <v>11985</v>
      </c>
      <c r="E8" s="466">
        <v>1214</v>
      </c>
      <c r="F8" s="466">
        <v>2025</v>
      </c>
      <c r="G8" s="466"/>
      <c r="H8" s="466">
        <v>3028</v>
      </c>
      <c r="I8" s="467"/>
      <c r="J8" s="467"/>
      <c r="K8" s="1671">
        <f t="shared" si="0"/>
        <v>161860</v>
      </c>
      <c r="L8" s="466">
        <v>181825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37254</v>
      </c>
      <c r="D10" s="466">
        <v>13951</v>
      </c>
      <c r="E10" s="466"/>
      <c r="F10" s="466">
        <v>110</v>
      </c>
      <c r="G10" s="466"/>
      <c r="H10" s="466"/>
      <c r="I10" s="467"/>
      <c r="J10" s="467"/>
      <c r="K10" s="1671">
        <f t="shared" si="0"/>
        <v>51315</v>
      </c>
      <c r="L10" s="466">
        <v>57875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32313</v>
      </c>
      <c r="D14" s="466">
        <v>1264</v>
      </c>
      <c r="E14" s="466">
        <v>7931</v>
      </c>
      <c r="F14" s="466">
        <v>8409</v>
      </c>
      <c r="G14" s="466"/>
      <c r="H14" s="466">
        <v>2778</v>
      </c>
      <c r="I14" s="467"/>
      <c r="J14" s="467"/>
      <c r="K14" s="1671">
        <f t="shared" si="0"/>
        <v>52695</v>
      </c>
      <c r="L14" s="466">
        <v>52700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v>11555</v>
      </c>
      <c r="D16" s="466"/>
      <c r="E16" s="466"/>
      <c r="F16" s="466">
        <v>1189</v>
      </c>
      <c r="G16" s="466"/>
      <c r="H16" s="466"/>
      <c r="I16" s="467"/>
      <c r="J16" s="467"/>
      <c r="K16" s="1671">
        <f t="shared" si="0"/>
        <v>12744</v>
      </c>
      <c r="L16" s="466">
        <v>12250</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v>3756</v>
      </c>
      <c r="D19" s="466"/>
      <c r="E19" s="466"/>
      <c r="F19" s="466"/>
      <c r="G19" s="466"/>
      <c r="H19" s="466"/>
      <c r="I19" s="467"/>
      <c r="J19" s="467"/>
      <c r="K19" s="1671">
        <f t="shared" si="0"/>
        <v>3756</v>
      </c>
      <c r="L19" s="466">
        <v>3000</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882869</v>
      </c>
      <c r="D33" s="1670">
        <f t="shared" ref="D33:L33" si="1">SUM(D5:D32)</f>
        <v>123329</v>
      </c>
      <c r="E33" s="1670">
        <f t="shared" si="1"/>
        <v>9145</v>
      </c>
      <c r="F33" s="1670">
        <f t="shared" si="1"/>
        <v>42231</v>
      </c>
      <c r="G33" s="1670">
        <f t="shared" si="1"/>
        <v>0</v>
      </c>
      <c r="H33" s="1670">
        <f t="shared" si="1"/>
        <v>11129</v>
      </c>
      <c r="I33" s="1670">
        <f t="shared" si="1"/>
        <v>0</v>
      </c>
      <c r="J33" s="1670">
        <f t="shared" si="1"/>
        <v>0</v>
      </c>
      <c r="K33" s="1670">
        <f t="shared" si="1"/>
        <v>1068703</v>
      </c>
      <c r="L33" s="1670">
        <f t="shared" si="1"/>
        <v>1152200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24164</v>
      </c>
      <c r="D38" s="466"/>
      <c r="E38" s="466"/>
      <c r="F38" s="466">
        <v>356</v>
      </c>
      <c r="G38" s="466"/>
      <c r="H38" s="466"/>
      <c r="I38" s="467"/>
      <c r="J38" s="467"/>
      <c r="K38" s="1671">
        <f t="shared" si="2"/>
        <v>24520</v>
      </c>
      <c r="L38" s="466">
        <v>26300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54599</v>
      </c>
      <c r="D40" s="466">
        <v>15515</v>
      </c>
      <c r="E40" s="466"/>
      <c r="F40" s="466">
        <v>102</v>
      </c>
      <c r="G40" s="466"/>
      <c r="H40" s="466"/>
      <c r="I40" s="467"/>
      <c r="J40" s="467"/>
      <c r="K40" s="1671">
        <f t="shared" si="2"/>
        <v>70216</v>
      </c>
      <c r="L40" s="466">
        <v>70265</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78763</v>
      </c>
      <c r="D42" s="1670">
        <f t="shared" ref="D42:L42" si="3">SUM(D36:D41)</f>
        <v>15515</v>
      </c>
      <c r="E42" s="1670">
        <f t="shared" si="3"/>
        <v>0</v>
      </c>
      <c r="F42" s="1670">
        <f t="shared" si="3"/>
        <v>458</v>
      </c>
      <c r="G42" s="1670">
        <f t="shared" si="3"/>
        <v>0</v>
      </c>
      <c r="H42" s="1670">
        <f t="shared" si="3"/>
        <v>0</v>
      </c>
      <c r="I42" s="1670">
        <f t="shared" si="3"/>
        <v>0</v>
      </c>
      <c r="J42" s="1670">
        <f t="shared" si="3"/>
        <v>0</v>
      </c>
      <c r="K42" s="1670">
        <f t="shared" si="3"/>
        <v>94736</v>
      </c>
      <c r="L42" s="1670">
        <f t="shared" si="3"/>
        <v>96565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3080</v>
      </c>
      <c r="D44" s="481">
        <v>245</v>
      </c>
      <c r="E44" s="481">
        <v>1557</v>
      </c>
      <c r="F44" s="481"/>
      <c r="G44" s="481"/>
      <c r="H44" s="481"/>
      <c r="I44" s="467"/>
      <c r="J44" s="467"/>
      <c r="K44" s="1672">
        <f>SUM(C44:J44)</f>
        <v>4882</v>
      </c>
      <c r="L44" s="481">
        <v>10600</v>
      </c>
    </row>
    <row r="45" spans="1:14" x14ac:dyDescent="0.2">
      <c r="A45" s="1504" t="s">
        <v>815</v>
      </c>
      <c r="B45" s="614">
        <v>2220</v>
      </c>
      <c r="C45" s="466">
        <v>14099</v>
      </c>
      <c r="D45" s="466">
        <v>247</v>
      </c>
      <c r="E45" s="466">
        <v>4469</v>
      </c>
      <c r="F45" s="466">
        <v>25057</v>
      </c>
      <c r="G45" s="466"/>
      <c r="H45" s="466">
        <v>24503</v>
      </c>
      <c r="I45" s="467"/>
      <c r="J45" s="467"/>
      <c r="K45" s="1672">
        <f>SUM(C45:J45)</f>
        <v>68375</v>
      </c>
      <c r="L45" s="466">
        <v>75750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17179</v>
      </c>
      <c r="D47" s="1670">
        <f t="shared" ref="D47:K47" si="4">SUM(D44:D46)</f>
        <v>492</v>
      </c>
      <c r="E47" s="1670">
        <f t="shared" si="4"/>
        <v>6026</v>
      </c>
      <c r="F47" s="1670">
        <f t="shared" si="4"/>
        <v>25057</v>
      </c>
      <c r="G47" s="1670">
        <f t="shared" si="4"/>
        <v>0</v>
      </c>
      <c r="H47" s="1670">
        <f t="shared" si="4"/>
        <v>24503</v>
      </c>
      <c r="I47" s="1670">
        <f t="shared" si="4"/>
        <v>0</v>
      </c>
      <c r="J47" s="1670">
        <f t="shared" si="4"/>
        <v>0</v>
      </c>
      <c r="K47" s="1670">
        <f t="shared" si="4"/>
        <v>73257</v>
      </c>
      <c r="L47" s="1670">
        <f>SUM(L44:L46)</f>
        <v>86350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53070</v>
      </c>
      <c r="F49" s="481">
        <v>12440</v>
      </c>
      <c r="G49" s="481"/>
      <c r="H49" s="481">
        <v>6400</v>
      </c>
      <c r="I49" s="467"/>
      <c r="J49" s="467"/>
      <c r="K49" s="1672">
        <f>SUM(C49:J49)</f>
        <v>71910</v>
      </c>
      <c r="L49" s="481">
        <v>88550</v>
      </c>
    </row>
    <row r="50" spans="1:14" x14ac:dyDescent="0.2">
      <c r="A50" s="1504" t="s">
        <v>818</v>
      </c>
      <c r="B50" s="614">
        <v>2320</v>
      </c>
      <c r="C50" s="466">
        <v>83436</v>
      </c>
      <c r="D50" s="466">
        <v>15850</v>
      </c>
      <c r="E50" s="466">
        <v>3174</v>
      </c>
      <c r="F50" s="466">
        <v>9286</v>
      </c>
      <c r="G50" s="466"/>
      <c r="H50" s="466">
        <v>4376</v>
      </c>
      <c r="I50" s="467"/>
      <c r="J50" s="467"/>
      <c r="K50" s="1672">
        <f>SUM(C50:J50)</f>
        <v>116122</v>
      </c>
      <c r="L50" s="466">
        <v>113360</v>
      </c>
    </row>
    <row r="51" spans="1:14" x14ac:dyDescent="0.2">
      <c r="A51" s="1504" t="s">
        <v>42</v>
      </c>
      <c r="B51" s="614">
        <v>2330</v>
      </c>
      <c r="C51" s="466">
        <v>9835</v>
      </c>
      <c r="D51" s="466">
        <v>1126</v>
      </c>
      <c r="E51" s="466"/>
      <c r="F51" s="466"/>
      <c r="G51" s="466"/>
      <c r="H51" s="466"/>
      <c r="I51" s="467"/>
      <c r="J51" s="467"/>
      <c r="K51" s="1672">
        <f>SUM(C51:J51)</f>
        <v>10961</v>
      </c>
      <c r="L51" s="466">
        <v>11015</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93271</v>
      </c>
      <c r="D53" s="1670">
        <f t="shared" ref="D53:L53" si="5">SUM(D49:D52)</f>
        <v>16976</v>
      </c>
      <c r="E53" s="1670">
        <f t="shared" si="5"/>
        <v>56244</v>
      </c>
      <c r="F53" s="1670">
        <f t="shared" si="5"/>
        <v>21726</v>
      </c>
      <c r="G53" s="1670">
        <f t="shared" si="5"/>
        <v>0</v>
      </c>
      <c r="H53" s="1670">
        <f t="shared" si="5"/>
        <v>10776</v>
      </c>
      <c r="I53" s="1670">
        <f t="shared" si="5"/>
        <v>0</v>
      </c>
      <c r="J53" s="1670">
        <f t="shared" si="5"/>
        <v>0</v>
      </c>
      <c r="K53" s="1670">
        <f t="shared" si="5"/>
        <v>198993</v>
      </c>
      <c r="L53" s="1670">
        <f t="shared" si="5"/>
        <v>212925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55673</v>
      </c>
      <c r="D55" s="481">
        <v>11997</v>
      </c>
      <c r="E55" s="481"/>
      <c r="F55" s="481">
        <v>1307</v>
      </c>
      <c r="G55" s="481"/>
      <c r="H55" s="481"/>
      <c r="I55" s="467"/>
      <c r="J55" s="467"/>
      <c r="K55" s="1672">
        <f>SUM(C55:J55)</f>
        <v>68977</v>
      </c>
      <c r="L55" s="481">
        <v>71000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55673</v>
      </c>
      <c r="D57" s="1674">
        <f t="shared" ref="D57:K57" si="6">SUM(D55:D56)</f>
        <v>11997</v>
      </c>
      <c r="E57" s="1674">
        <f t="shared" si="6"/>
        <v>0</v>
      </c>
      <c r="F57" s="1674">
        <f t="shared" si="6"/>
        <v>1307</v>
      </c>
      <c r="G57" s="1674">
        <f t="shared" si="6"/>
        <v>0</v>
      </c>
      <c r="H57" s="1674">
        <f t="shared" si="6"/>
        <v>0</v>
      </c>
      <c r="I57" s="1674">
        <f t="shared" si="6"/>
        <v>0</v>
      </c>
      <c r="J57" s="1674">
        <f t="shared" si="6"/>
        <v>0</v>
      </c>
      <c r="K57" s="1674">
        <f t="shared" si="6"/>
        <v>68977</v>
      </c>
      <c r="L57" s="1670">
        <f>SUM(L55:L56)</f>
        <v>71000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26208</v>
      </c>
      <c r="D60" s="466"/>
      <c r="E60" s="466">
        <v>1442</v>
      </c>
      <c r="F60" s="466"/>
      <c r="G60" s="466"/>
      <c r="H60" s="466"/>
      <c r="I60" s="467"/>
      <c r="J60" s="467"/>
      <c r="K60" s="1672">
        <f t="shared" si="7"/>
        <v>27650</v>
      </c>
      <c r="L60" s="466">
        <v>27800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24069</v>
      </c>
      <c r="D63" s="466">
        <v>2817</v>
      </c>
      <c r="E63" s="466">
        <v>714</v>
      </c>
      <c r="F63" s="466">
        <v>25659</v>
      </c>
      <c r="G63" s="466"/>
      <c r="H63" s="466">
        <v>48</v>
      </c>
      <c r="I63" s="467"/>
      <c r="J63" s="467"/>
      <c r="K63" s="1672">
        <f t="shared" si="7"/>
        <v>53307</v>
      </c>
      <c r="L63" s="466">
        <v>61650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50277</v>
      </c>
      <c r="D65" s="1670">
        <f t="shared" ref="D65:L65" si="8">SUM(D59:D64)</f>
        <v>2817</v>
      </c>
      <c r="E65" s="1670">
        <f t="shared" si="8"/>
        <v>2156</v>
      </c>
      <c r="F65" s="1670">
        <f t="shared" si="8"/>
        <v>25659</v>
      </c>
      <c r="G65" s="1670">
        <f t="shared" si="8"/>
        <v>0</v>
      </c>
      <c r="H65" s="1670">
        <f t="shared" si="8"/>
        <v>48</v>
      </c>
      <c r="I65" s="1670">
        <f t="shared" si="8"/>
        <v>0</v>
      </c>
      <c r="J65" s="1670">
        <f t="shared" si="8"/>
        <v>0</v>
      </c>
      <c r="K65" s="1670">
        <f t="shared" si="8"/>
        <v>80957</v>
      </c>
      <c r="L65" s="1670">
        <f t="shared" si="8"/>
        <v>89450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295163</v>
      </c>
      <c r="D74" s="1677">
        <f t="shared" ref="D74:K74" si="10">SUM(D42,D47,D53,D57,D65,D72,D73)</f>
        <v>47797</v>
      </c>
      <c r="E74" s="1677">
        <f t="shared" si="10"/>
        <v>64426</v>
      </c>
      <c r="F74" s="1677">
        <f t="shared" si="10"/>
        <v>74207</v>
      </c>
      <c r="G74" s="1677">
        <f t="shared" si="10"/>
        <v>0</v>
      </c>
      <c r="H74" s="1677">
        <f t="shared" si="10"/>
        <v>35327</v>
      </c>
      <c r="I74" s="1677">
        <f t="shared" si="10"/>
        <v>0</v>
      </c>
      <c r="J74" s="1677">
        <f t="shared" si="10"/>
        <v>0</v>
      </c>
      <c r="K74" s="1677">
        <f t="shared" si="10"/>
        <v>516920</v>
      </c>
      <c r="L74" s="1677">
        <f>SUM(L42,L47,L53,L57,L65,L72,L73)</f>
        <v>556290</v>
      </c>
    </row>
    <row r="75" spans="1:14" s="259" customFormat="1" ht="15.75" customHeight="1" thickTop="1" thickBot="1" x14ac:dyDescent="0.25">
      <c r="A75" s="1610" t="s">
        <v>47</v>
      </c>
      <c r="B75" s="1611" t="s">
        <v>575</v>
      </c>
      <c r="C75" s="573"/>
      <c r="D75" s="573"/>
      <c r="E75" s="573"/>
      <c r="F75" s="573">
        <v>841</v>
      </c>
      <c r="G75" s="573"/>
      <c r="H75" s="573"/>
      <c r="I75" s="531"/>
      <c r="J75" s="531"/>
      <c r="K75" s="1670">
        <f>SUM(C75:J75)</f>
        <v>841</v>
      </c>
      <c r="L75" s="576">
        <v>1050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238851</v>
      </c>
      <c r="F79" s="616"/>
      <c r="G79" s="616"/>
      <c r="H79" s="466"/>
      <c r="I79" s="477"/>
      <c r="J79" s="477"/>
      <c r="K79" s="1671">
        <f t="shared" si="11"/>
        <v>238851</v>
      </c>
      <c r="L79" s="466">
        <v>294500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238851</v>
      </c>
      <c r="F84" s="616"/>
      <c r="G84" s="616"/>
      <c r="H84" s="1670">
        <f>SUM(H78:H83)</f>
        <v>0</v>
      </c>
      <c r="I84" s="477"/>
      <c r="J84" s="477"/>
      <c r="K84" s="1670">
        <f>SUM(K78:K83)</f>
        <v>238851</v>
      </c>
      <c r="L84" s="1670">
        <f>SUM(L78:L83)</f>
        <v>294500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238851</v>
      </c>
      <c r="F102" s="616"/>
      <c r="G102" s="616"/>
      <c r="H102" s="1677">
        <f>SUM(H84,H92,H100,H101)</f>
        <v>0</v>
      </c>
      <c r="I102" s="477"/>
      <c r="J102" s="477"/>
      <c r="K102" s="1677">
        <f>SUM(K84,K92,K100,K101)</f>
        <v>238851</v>
      </c>
      <c r="L102" s="1677">
        <f>SUM(L84,L92,L100,L101)</f>
        <v>294500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5000</v>
      </c>
      <c r="M113" s="613"/>
      <c r="N113" s="613"/>
    </row>
    <row r="114" spans="1:14" ht="12.75" customHeight="1" thickTop="1" thickBot="1" x14ac:dyDescent="0.25">
      <c r="A114" s="1668" t="s">
        <v>48</v>
      </c>
      <c r="B114" s="1682"/>
      <c r="C114" s="1670">
        <f>SUM(C33,C74,C75,C102,C112,C113)</f>
        <v>1178032</v>
      </c>
      <c r="D114" s="1670">
        <f t="shared" ref="D114:K114" si="13">SUM(D33,D74,D75,D102,D112,D113)</f>
        <v>171126</v>
      </c>
      <c r="E114" s="1670">
        <f t="shared" si="13"/>
        <v>312422</v>
      </c>
      <c r="F114" s="1670">
        <f t="shared" si="13"/>
        <v>117279</v>
      </c>
      <c r="G114" s="1670">
        <f t="shared" si="13"/>
        <v>0</v>
      </c>
      <c r="H114" s="1670">
        <f>SUM(H33,H74,H75,H102,H112,H113)</f>
        <v>46456</v>
      </c>
      <c r="I114" s="1670">
        <f t="shared" si="13"/>
        <v>0</v>
      </c>
      <c r="J114" s="1670">
        <f t="shared" si="13"/>
        <v>0</v>
      </c>
      <c r="K114" s="1670">
        <f t="shared" si="13"/>
        <v>1825315</v>
      </c>
      <c r="L114" s="1670">
        <f>SUM(L33,L74,L75,L102,L112,L113)</f>
        <v>2009040</v>
      </c>
    </row>
    <row r="115" spans="1:14" ht="13.5" thickTop="1" x14ac:dyDescent="0.2">
      <c r="A115" s="2155" t="s">
        <v>996</v>
      </c>
      <c r="B115" s="2156"/>
      <c r="C115" s="618"/>
      <c r="D115" s="618"/>
      <c r="E115" s="618"/>
      <c r="F115" s="618"/>
      <c r="G115" s="618"/>
      <c r="H115" s="618"/>
      <c r="I115" s="618"/>
      <c r="J115" s="618"/>
      <c r="K115" s="1684">
        <f>'Revenues 9-14'!C268-'Expenditures 15-22'!K114</f>
        <v>-146567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58668</v>
      </c>
      <c r="D124" s="466">
        <v>6830</v>
      </c>
      <c r="E124" s="466">
        <v>53876</v>
      </c>
      <c r="F124" s="466">
        <v>51780</v>
      </c>
      <c r="G124" s="466"/>
      <c r="H124" s="466">
        <v>2404</v>
      </c>
      <c r="I124" s="467"/>
      <c r="J124" s="467"/>
      <c r="K124" s="1670">
        <f>SUM(C124:J124)</f>
        <v>173558</v>
      </c>
      <c r="L124" s="466">
        <v>195350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58668</v>
      </c>
      <c r="D127" s="1670">
        <f t="shared" ref="D127:L127" si="14">SUM(D122:D126)</f>
        <v>6830</v>
      </c>
      <c r="E127" s="1670">
        <f t="shared" si="14"/>
        <v>53876</v>
      </c>
      <c r="F127" s="1670">
        <f t="shared" si="14"/>
        <v>51780</v>
      </c>
      <c r="G127" s="1670">
        <f t="shared" si="14"/>
        <v>0</v>
      </c>
      <c r="H127" s="1670">
        <f t="shared" si="14"/>
        <v>2404</v>
      </c>
      <c r="I127" s="1670">
        <f t="shared" si="14"/>
        <v>0</v>
      </c>
      <c r="J127" s="1670">
        <f t="shared" si="14"/>
        <v>0</v>
      </c>
      <c r="K127" s="1670">
        <f t="shared" si="14"/>
        <v>173558</v>
      </c>
      <c r="L127" s="1670">
        <f t="shared" si="14"/>
        <v>195350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58668</v>
      </c>
      <c r="D129" s="1677">
        <f t="shared" ref="D129:L129" si="15">SUM(D120,D127,D128)</f>
        <v>6830</v>
      </c>
      <c r="E129" s="1677">
        <f t="shared" si="15"/>
        <v>53876</v>
      </c>
      <c r="F129" s="1677">
        <f t="shared" si="15"/>
        <v>51780</v>
      </c>
      <c r="G129" s="1677">
        <f t="shared" si="15"/>
        <v>0</v>
      </c>
      <c r="H129" s="1677">
        <f t="shared" si="15"/>
        <v>2404</v>
      </c>
      <c r="I129" s="1677">
        <f t="shared" si="15"/>
        <v>0</v>
      </c>
      <c r="J129" s="1677">
        <f t="shared" si="15"/>
        <v>0</v>
      </c>
      <c r="K129" s="1677">
        <f t="shared" si="15"/>
        <v>173558</v>
      </c>
      <c r="L129" s="1677">
        <f t="shared" si="15"/>
        <v>195350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58668</v>
      </c>
      <c r="D151" s="1670">
        <f t="shared" ref="D151:K151" si="16">SUM(D129,D130,D139,D149,D150)</f>
        <v>6830</v>
      </c>
      <c r="E151" s="1670">
        <f t="shared" si="16"/>
        <v>53876</v>
      </c>
      <c r="F151" s="1670">
        <f t="shared" si="16"/>
        <v>51780</v>
      </c>
      <c r="G151" s="1670">
        <f t="shared" si="16"/>
        <v>0</v>
      </c>
      <c r="H151" s="1670">
        <f t="shared" si="16"/>
        <v>2404</v>
      </c>
      <c r="I151" s="1670">
        <f t="shared" si="16"/>
        <v>0</v>
      </c>
      <c r="J151" s="1670">
        <f t="shared" si="16"/>
        <v>0</v>
      </c>
      <c r="K151" s="1670">
        <f t="shared" si="16"/>
        <v>173558</v>
      </c>
      <c r="L151" s="1670">
        <f>SUM(L129,L130,L139,L149,L150)</f>
        <v>195350</v>
      </c>
    </row>
    <row r="152" spans="1:14" ht="12.75" customHeight="1" thickTop="1" x14ac:dyDescent="0.2">
      <c r="A152" s="2175" t="s">
        <v>1178</v>
      </c>
      <c r="B152" s="2176"/>
      <c r="C152" s="618"/>
      <c r="D152" s="618"/>
      <c r="E152" s="618"/>
      <c r="F152" s="618"/>
      <c r="G152" s="618"/>
      <c r="H152" s="618"/>
      <c r="I152" s="618"/>
      <c r="J152" s="616"/>
      <c r="K152" s="1684">
        <f>'Revenues 9-14'!D268-'Expenditures 15-22'!K151</f>
        <v>-18305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6175</v>
      </c>
      <c r="I169" s="616"/>
      <c r="J169" s="616"/>
      <c r="K169" s="1671">
        <f>SUM(C169:H169)</f>
        <v>6175</v>
      </c>
      <c r="L169" s="656">
        <v>6175</v>
      </c>
    </row>
    <row r="170" spans="1:14" ht="33.75" customHeight="1" x14ac:dyDescent="0.2">
      <c r="A170" s="669" t="s">
        <v>1670</v>
      </c>
      <c r="B170" s="671" t="s">
        <v>31</v>
      </c>
      <c r="C170" s="616"/>
      <c r="D170" s="616"/>
      <c r="E170" s="616"/>
      <c r="F170" s="616"/>
      <c r="G170" s="616"/>
      <c r="H170" s="569">
        <v>80000</v>
      </c>
      <c r="I170" s="616"/>
      <c r="J170" s="616"/>
      <c r="K170" s="1671">
        <f>SUM(C170:J170)</f>
        <v>80000</v>
      </c>
      <c r="L170" s="569">
        <v>80000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86175</v>
      </c>
      <c r="I172" s="638"/>
      <c r="J172" s="616"/>
      <c r="K172" s="1677">
        <f>SUM(K168,K169,K170,K171)</f>
        <v>86175</v>
      </c>
      <c r="L172" s="1677">
        <f>SUM(L168,L169,L170,L171)</f>
        <v>86175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86175</v>
      </c>
      <c r="I174" s="638"/>
      <c r="J174" s="616"/>
      <c r="K174" s="1677">
        <f>SUM(K160,K172,K173)</f>
        <v>86175</v>
      </c>
      <c r="L174" s="1677">
        <f>SUM(L160,L172,L173)</f>
        <v>86175</v>
      </c>
    </row>
    <row r="175" spans="1:14" ht="13.5" thickTop="1" x14ac:dyDescent="0.2">
      <c r="A175" s="2155" t="s">
        <v>996</v>
      </c>
      <c r="B175" s="2156"/>
      <c r="C175" s="616"/>
      <c r="D175" s="616"/>
      <c r="E175" s="616"/>
      <c r="F175" s="616"/>
      <c r="G175" s="616"/>
      <c r="H175" s="618"/>
      <c r="I175" s="616"/>
      <c r="J175" s="616"/>
      <c r="K175" s="1684">
        <f>'Revenues 9-14'!E268-'Expenditures 15-22'!K174</f>
        <v>820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93516</v>
      </c>
      <c r="D182" s="466">
        <v>1969</v>
      </c>
      <c r="E182" s="466">
        <v>12573</v>
      </c>
      <c r="F182" s="466">
        <v>16432</v>
      </c>
      <c r="G182" s="466">
        <v>86547</v>
      </c>
      <c r="H182" s="466">
        <v>530</v>
      </c>
      <c r="I182" s="467"/>
      <c r="J182" s="467"/>
      <c r="K182" s="1671">
        <f>SUM(C182:J182)</f>
        <v>211567</v>
      </c>
      <c r="L182" s="466">
        <v>219865</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93516</v>
      </c>
      <c r="D184" s="1677">
        <f t="shared" ref="D184:J184" si="17">SUM(D180,D182,D183)</f>
        <v>1969</v>
      </c>
      <c r="E184" s="1677">
        <f t="shared" si="17"/>
        <v>12573</v>
      </c>
      <c r="F184" s="1677">
        <f t="shared" si="17"/>
        <v>16432</v>
      </c>
      <c r="G184" s="1677">
        <f t="shared" si="17"/>
        <v>86547</v>
      </c>
      <c r="H184" s="1677">
        <f t="shared" si="17"/>
        <v>530</v>
      </c>
      <c r="I184" s="1677">
        <f t="shared" si="17"/>
        <v>0</v>
      </c>
      <c r="J184" s="1677">
        <f t="shared" si="17"/>
        <v>0</v>
      </c>
      <c r="K184" s="1677">
        <f>SUM(K180,K182,K183)</f>
        <v>211567</v>
      </c>
      <c r="L184" s="1677">
        <f>SUM(L180, L182:L183)</f>
        <v>219865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93516</v>
      </c>
      <c r="D210" s="1670">
        <f>SUM(D184,D185)</f>
        <v>1969</v>
      </c>
      <c r="E210" s="1670">
        <f>SUM(E184,E185,E196)</f>
        <v>12573</v>
      </c>
      <c r="F210" s="1670">
        <f>SUM(F184,F185)</f>
        <v>16432</v>
      </c>
      <c r="G210" s="1670">
        <f>SUM(G184,G185)</f>
        <v>86547</v>
      </c>
      <c r="H210" s="1670">
        <f>SUM(H184,H185,H196,H208,H209)</f>
        <v>530</v>
      </c>
      <c r="I210" s="1670">
        <f>SUM(I184,I185)</f>
        <v>0</v>
      </c>
      <c r="J210" s="1670">
        <f>SUM(J184,J185)</f>
        <v>0</v>
      </c>
      <c r="K210" s="1671">
        <f>SUM(K184,K185,K196,K208,K209)</f>
        <v>211567</v>
      </c>
      <c r="L210" s="1670">
        <f>SUM(L184,L185,L196,L208,L209)</f>
        <v>219865</v>
      </c>
    </row>
    <row r="211" spans="1:14" ht="13.5" thickTop="1" x14ac:dyDescent="0.2">
      <c r="A211" s="2155" t="s">
        <v>996</v>
      </c>
      <c r="B211" s="2156"/>
      <c r="C211" s="618"/>
      <c r="D211" s="618"/>
      <c r="E211" s="618"/>
      <c r="F211" s="618"/>
      <c r="G211" s="618"/>
      <c r="H211" s="618"/>
      <c r="I211" s="616"/>
      <c r="J211" s="616"/>
      <c r="K211" s="1684">
        <f>'Revenues 9-14'!F268-'Expenditures 15-22'!K210</f>
        <v>-101145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8578</v>
      </c>
      <c r="E215" s="616"/>
      <c r="F215" s="616"/>
      <c r="G215" s="616"/>
      <c r="H215" s="616"/>
      <c r="I215" s="616"/>
      <c r="J215" s="616"/>
      <c r="K215" s="1671">
        <f>D215</f>
        <v>8578</v>
      </c>
      <c r="L215" s="466">
        <v>8500</v>
      </c>
    </row>
    <row r="216" spans="1:14" x14ac:dyDescent="0.2">
      <c r="A216" s="1504" t="s">
        <v>163</v>
      </c>
      <c r="B216" s="614" t="s">
        <v>967</v>
      </c>
      <c r="C216" s="616"/>
      <c r="D216" s="467">
        <v>2752</v>
      </c>
      <c r="E216" s="616"/>
      <c r="F216" s="616"/>
      <c r="G216" s="616"/>
      <c r="H216" s="616"/>
      <c r="I216" s="616"/>
      <c r="J216" s="616"/>
      <c r="K216" s="1671">
        <f t="shared" ref="K216:K228" si="19">D216</f>
        <v>2752</v>
      </c>
      <c r="L216" s="466">
        <v>3500</v>
      </c>
    </row>
    <row r="217" spans="1:14" x14ac:dyDescent="0.2">
      <c r="A217" s="1504" t="s">
        <v>164</v>
      </c>
      <c r="B217" s="614">
        <v>1200</v>
      </c>
      <c r="C217" s="616"/>
      <c r="D217" s="466">
        <v>6329</v>
      </c>
      <c r="E217" s="616"/>
      <c r="F217" s="616"/>
      <c r="G217" s="616"/>
      <c r="H217" s="616"/>
      <c r="I217" s="616"/>
      <c r="J217" s="616"/>
      <c r="K217" s="1671">
        <f t="shared" si="19"/>
        <v>6329</v>
      </c>
      <c r="L217" s="466">
        <v>6850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540</v>
      </c>
      <c r="E219" s="616"/>
      <c r="F219" s="616"/>
      <c r="G219" s="616"/>
      <c r="H219" s="616"/>
      <c r="I219" s="616"/>
      <c r="J219" s="616"/>
      <c r="K219" s="1671">
        <f t="shared" si="19"/>
        <v>540</v>
      </c>
      <c r="L219" s="466">
        <v>550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1957</v>
      </c>
      <c r="E223" s="616"/>
      <c r="F223" s="616"/>
      <c r="G223" s="616"/>
      <c r="H223" s="616"/>
      <c r="I223" s="616"/>
      <c r="J223" s="616"/>
      <c r="K223" s="1671">
        <f t="shared" si="19"/>
        <v>1957</v>
      </c>
      <c r="L223" s="466">
        <v>2385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v>168</v>
      </c>
      <c r="E225" s="616"/>
      <c r="F225" s="616"/>
      <c r="G225" s="616"/>
      <c r="H225" s="616"/>
      <c r="I225" s="616"/>
      <c r="J225" s="616"/>
      <c r="K225" s="1671">
        <f t="shared" si="19"/>
        <v>168</v>
      </c>
      <c r="L225" s="466">
        <v>150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20324</v>
      </c>
      <c r="E229" s="616"/>
      <c r="F229" s="616"/>
      <c r="G229" s="616"/>
      <c r="H229" s="616"/>
      <c r="I229" s="616"/>
      <c r="J229" s="616"/>
      <c r="K229" s="1670">
        <f>SUM(K215:K228)</f>
        <v>20324</v>
      </c>
      <c r="L229" s="1670">
        <f>SUM(L215:L228)</f>
        <v>21935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3024</v>
      </c>
      <c r="E234" s="616"/>
      <c r="F234" s="616"/>
      <c r="G234" s="616"/>
      <c r="H234" s="616"/>
      <c r="I234" s="616"/>
      <c r="J234" s="616"/>
      <c r="K234" s="1671">
        <f t="shared" si="20"/>
        <v>3024</v>
      </c>
      <c r="L234" s="466">
        <v>3550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769</v>
      </c>
      <c r="E236" s="616"/>
      <c r="F236" s="616"/>
      <c r="G236" s="616"/>
      <c r="H236" s="616"/>
      <c r="I236" s="616"/>
      <c r="J236" s="616"/>
      <c r="K236" s="1671">
        <f t="shared" si="20"/>
        <v>769</v>
      </c>
      <c r="L236" s="466">
        <v>800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3793</v>
      </c>
      <c r="E238" s="616"/>
      <c r="F238" s="616"/>
      <c r="G238" s="616"/>
      <c r="H238" s="616"/>
      <c r="I238" s="616"/>
      <c r="J238" s="616"/>
      <c r="K238" s="1670">
        <f>SUM(K232:K237)</f>
        <v>3793</v>
      </c>
      <c r="L238" s="1670">
        <f>SUM(L232:L237)</f>
        <v>4350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45</v>
      </c>
      <c r="E240" s="616"/>
      <c r="F240" s="616"/>
      <c r="G240" s="616"/>
      <c r="H240" s="616"/>
      <c r="I240" s="616"/>
      <c r="J240" s="616"/>
      <c r="K240" s="1672">
        <f>D240</f>
        <v>45</v>
      </c>
      <c r="L240" s="481">
        <v>115</v>
      </c>
    </row>
    <row r="241" spans="1:12" x14ac:dyDescent="0.2">
      <c r="A241" s="1504" t="s">
        <v>815</v>
      </c>
      <c r="B241" s="614">
        <v>2220</v>
      </c>
      <c r="C241" s="616"/>
      <c r="D241" s="466">
        <v>1518</v>
      </c>
      <c r="E241" s="616"/>
      <c r="F241" s="616"/>
      <c r="G241" s="616"/>
      <c r="H241" s="616"/>
      <c r="I241" s="616"/>
      <c r="J241" s="616"/>
      <c r="K241" s="1672">
        <f>D241</f>
        <v>1518</v>
      </c>
      <c r="L241" s="466">
        <v>1890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1563</v>
      </c>
      <c r="E243" s="616"/>
      <c r="F243" s="616"/>
      <c r="G243" s="616"/>
      <c r="H243" s="616"/>
      <c r="I243" s="616"/>
      <c r="J243" s="616"/>
      <c r="K243" s="1670">
        <f>SUM(K240:K242)</f>
        <v>1563</v>
      </c>
      <c r="L243" s="1670">
        <f>SUM(L240:L242)</f>
        <v>2005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266</v>
      </c>
      <c r="E245" s="616"/>
      <c r="F245" s="616"/>
      <c r="G245" s="616"/>
      <c r="H245" s="616"/>
      <c r="I245" s="616"/>
      <c r="J245" s="616"/>
      <c r="K245" s="1672">
        <f>D245</f>
        <v>266</v>
      </c>
      <c r="L245" s="481">
        <v>295</v>
      </c>
    </row>
    <row r="246" spans="1:12" x14ac:dyDescent="0.2">
      <c r="A246" s="1504" t="s">
        <v>818</v>
      </c>
      <c r="B246" s="614">
        <v>2320</v>
      </c>
      <c r="C246" s="616"/>
      <c r="D246" s="466">
        <v>2889</v>
      </c>
      <c r="E246" s="616"/>
      <c r="F246" s="616"/>
      <c r="G246" s="616"/>
      <c r="H246" s="616"/>
      <c r="I246" s="616"/>
      <c r="J246" s="616"/>
      <c r="K246" s="1672">
        <f t="shared" ref="K246:K256" si="21">D246</f>
        <v>2889</v>
      </c>
      <c r="L246" s="466">
        <v>3080</v>
      </c>
    </row>
    <row r="247" spans="1:12" x14ac:dyDescent="0.2">
      <c r="A247" s="1504" t="s">
        <v>819</v>
      </c>
      <c r="B247" s="614">
        <v>2330</v>
      </c>
      <c r="C247" s="616"/>
      <c r="D247" s="466">
        <v>143</v>
      </c>
      <c r="E247" s="616"/>
      <c r="F247" s="616"/>
      <c r="G247" s="616"/>
      <c r="H247" s="616"/>
      <c r="I247" s="616"/>
      <c r="J247" s="616"/>
      <c r="K247" s="1672">
        <f t="shared" si="21"/>
        <v>143</v>
      </c>
      <c r="L247" s="466">
        <v>150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3298</v>
      </c>
      <c r="E257" s="616"/>
      <c r="F257" s="616"/>
      <c r="G257" s="616"/>
      <c r="H257" s="616"/>
      <c r="I257" s="616"/>
      <c r="J257" s="616"/>
      <c r="K257" s="1670">
        <f>SUM(K245:K256)</f>
        <v>3298</v>
      </c>
      <c r="L257" s="1670">
        <f>SUM(L245:L256)</f>
        <v>3525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3512</v>
      </c>
      <c r="E259" s="616"/>
      <c r="F259" s="616"/>
      <c r="G259" s="616"/>
      <c r="H259" s="616"/>
      <c r="I259" s="616"/>
      <c r="J259" s="616"/>
      <c r="K259" s="1672">
        <f>D259</f>
        <v>3512</v>
      </c>
      <c r="L259" s="481">
        <v>4025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3512</v>
      </c>
      <c r="E261" s="616"/>
      <c r="F261" s="616"/>
      <c r="G261" s="616"/>
      <c r="H261" s="616"/>
      <c r="I261" s="616"/>
      <c r="J261" s="616"/>
      <c r="K261" s="1670">
        <f>SUM(K259:K260)</f>
        <v>3512</v>
      </c>
      <c r="L261" s="1670">
        <f>SUM(L259:L260)</f>
        <v>4025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3266</v>
      </c>
      <c r="E264" s="616"/>
      <c r="F264" s="616"/>
      <c r="G264" s="616"/>
      <c r="H264" s="616"/>
      <c r="I264" s="616"/>
      <c r="J264" s="616"/>
      <c r="K264" s="1672">
        <f t="shared" ref="K264:K269" si="22">D264</f>
        <v>3266</v>
      </c>
      <c r="L264" s="466">
        <v>3350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6943</v>
      </c>
      <c r="E266" s="616"/>
      <c r="F266" s="616"/>
      <c r="G266" s="616"/>
      <c r="H266" s="616"/>
      <c r="I266" s="616"/>
      <c r="J266" s="616"/>
      <c r="K266" s="1672">
        <f t="shared" si="22"/>
        <v>6943</v>
      </c>
      <c r="L266" s="466">
        <v>7350</v>
      </c>
    </row>
    <row r="267" spans="1:14" x14ac:dyDescent="0.2">
      <c r="A267" s="1504" t="s">
        <v>953</v>
      </c>
      <c r="B267" s="614">
        <v>2550</v>
      </c>
      <c r="C267" s="616"/>
      <c r="D267" s="466">
        <v>8831</v>
      </c>
      <c r="E267" s="616"/>
      <c r="F267" s="616"/>
      <c r="G267" s="616"/>
      <c r="H267" s="616"/>
      <c r="I267" s="616"/>
      <c r="J267" s="616"/>
      <c r="K267" s="1672">
        <f t="shared" si="22"/>
        <v>8831</v>
      </c>
      <c r="L267" s="466">
        <v>9275</v>
      </c>
    </row>
    <row r="268" spans="1:14" x14ac:dyDescent="0.2">
      <c r="A268" s="1504" t="s">
        <v>100</v>
      </c>
      <c r="B268" s="614">
        <v>2560</v>
      </c>
      <c r="C268" s="616"/>
      <c r="D268" s="466">
        <v>2704</v>
      </c>
      <c r="E268" s="616"/>
      <c r="F268" s="616"/>
      <c r="G268" s="616"/>
      <c r="H268" s="616"/>
      <c r="I268" s="616"/>
      <c r="J268" s="616"/>
      <c r="K268" s="1672">
        <f t="shared" si="22"/>
        <v>2704</v>
      </c>
      <c r="L268" s="466">
        <v>2850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21744</v>
      </c>
      <c r="E270" s="616"/>
      <c r="F270" s="616"/>
      <c r="G270" s="616"/>
      <c r="H270" s="616"/>
      <c r="I270" s="616"/>
      <c r="J270" s="616"/>
      <c r="K270" s="1670">
        <f>SUM(K263:K269)</f>
        <v>21744</v>
      </c>
      <c r="L270" s="1670">
        <f>SUM(L263:L269)</f>
        <v>22825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33910</v>
      </c>
      <c r="E279" s="616"/>
      <c r="F279" s="616"/>
      <c r="G279" s="616"/>
      <c r="H279" s="616"/>
      <c r="I279" s="616"/>
      <c r="J279" s="616"/>
      <c r="K279" s="1677">
        <f>SUM(K238,K243,K257,K261,K270,K277,K278)</f>
        <v>33910</v>
      </c>
      <c r="L279" s="1677">
        <f>SUM(L238,L243,L257,L261,L270,L277,L278)</f>
        <v>36730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54234</v>
      </c>
      <c r="E295" s="616"/>
      <c r="F295" s="616"/>
      <c r="G295" s="616"/>
      <c r="H295" s="1670">
        <f>H293</f>
        <v>0</v>
      </c>
      <c r="I295" s="616"/>
      <c r="J295" s="616"/>
      <c r="K295" s="1670">
        <f>SUM(K229,K279,K280,K285,K293,K294)</f>
        <v>54234</v>
      </c>
      <c r="L295" s="1670">
        <f>SUM(L229,L279,L280,L285,L293,L294)</f>
        <v>58665</v>
      </c>
    </row>
    <row r="296" spans="1:14" ht="13.5" thickTop="1" x14ac:dyDescent="0.2">
      <c r="A296" s="2155" t="s">
        <v>996</v>
      </c>
      <c r="B296" s="2156"/>
      <c r="C296" s="616"/>
      <c r="D296" s="618"/>
      <c r="E296" s="616"/>
      <c r="F296" s="616"/>
      <c r="G296" s="616"/>
      <c r="H296" s="687"/>
      <c r="I296" s="616"/>
      <c r="J296" s="616"/>
      <c r="K296" s="1684">
        <f>'Revenues 9-14'!G268-'Expenditures 15-22'!K295</f>
        <v>-1077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v>19350</v>
      </c>
      <c r="I301" s="467"/>
      <c r="J301" s="467"/>
      <c r="K301" s="1671">
        <f>SUM(C301:J301)</f>
        <v>19350</v>
      </c>
      <c r="L301" s="467">
        <v>20000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19350</v>
      </c>
      <c r="I303" s="1677">
        <f t="shared" si="23"/>
        <v>0</v>
      </c>
      <c r="J303" s="1677">
        <f t="shared" si="23"/>
        <v>0</v>
      </c>
      <c r="K303" s="1677">
        <f t="shared" si="23"/>
        <v>19350</v>
      </c>
      <c r="L303" s="1677">
        <f t="shared" si="23"/>
        <v>20000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19350</v>
      </c>
      <c r="I312" s="1670">
        <f>SUM(I303)</f>
        <v>0</v>
      </c>
      <c r="J312" s="1670">
        <f>SUM(J303)</f>
        <v>0</v>
      </c>
      <c r="K312" s="1670">
        <f>SUM(K303,K310,K311)</f>
        <v>19350</v>
      </c>
      <c r="L312" s="1670">
        <f>SUM(L303,L310,L311)</f>
        <v>20000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-19349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9329</v>
      </c>
      <c r="F320" s="467"/>
      <c r="G320" s="467"/>
      <c r="H320" s="467"/>
      <c r="I320" s="467"/>
      <c r="J320" s="467"/>
      <c r="K320" s="1671">
        <f t="shared" ref="K320:K327" si="24">SUM(C320:J320)</f>
        <v>9329</v>
      </c>
      <c r="L320" s="467">
        <v>9500</v>
      </c>
      <c r="M320" s="665"/>
      <c r="N320" s="665"/>
    </row>
    <row r="321" spans="1:14" s="674" customFormat="1" x14ac:dyDescent="0.2">
      <c r="A321" s="1519" t="s">
        <v>300</v>
      </c>
      <c r="B321" s="697" t="s">
        <v>283</v>
      </c>
      <c r="C321" s="467"/>
      <c r="D321" s="467"/>
      <c r="E321" s="467">
        <v>5226</v>
      </c>
      <c r="F321" s="467"/>
      <c r="G321" s="467"/>
      <c r="H321" s="467"/>
      <c r="I321" s="467"/>
      <c r="J321" s="467"/>
      <c r="K321" s="1671">
        <f t="shared" si="24"/>
        <v>5226</v>
      </c>
      <c r="L321" s="467">
        <v>6000</v>
      </c>
      <c r="M321" s="665"/>
      <c r="N321" s="665"/>
    </row>
    <row r="322" spans="1:14" s="674" customFormat="1" x14ac:dyDescent="0.2">
      <c r="A322" s="1519" t="s">
        <v>238</v>
      </c>
      <c r="B322" s="697" t="s">
        <v>284</v>
      </c>
      <c r="C322" s="467"/>
      <c r="D322" s="467"/>
      <c r="E322" s="467">
        <v>21318</v>
      </c>
      <c r="F322" s="467"/>
      <c r="G322" s="467"/>
      <c r="H322" s="467"/>
      <c r="I322" s="467"/>
      <c r="J322" s="467"/>
      <c r="K322" s="1671">
        <f t="shared" si="24"/>
        <v>21318</v>
      </c>
      <c r="L322" s="467">
        <v>21250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35873</v>
      </c>
      <c r="F330" s="1670">
        <f t="shared" si="25"/>
        <v>0</v>
      </c>
      <c r="G330" s="1670">
        <f t="shared" si="25"/>
        <v>0</v>
      </c>
      <c r="H330" s="1670">
        <f t="shared" si="25"/>
        <v>0</v>
      </c>
      <c r="I330" s="1670">
        <f t="shared" si="25"/>
        <v>0</v>
      </c>
      <c r="J330" s="1670">
        <f t="shared" si="25"/>
        <v>0</v>
      </c>
      <c r="K330" s="1670">
        <f>SUM(K319:K329)</f>
        <v>35873</v>
      </c>
      <c r="L330" s="1670">
        <f>SUM(L319:L329)</f>
        <v>36750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35873</v>
      </c>
      <c r="F342" s="1670">
        <f>SUM(F330)</f>
        <v>0</v>
      </c>
      <c r="G342" s="1670">
        <f>SUM(G330)</f>
        <v>0</v>
      </c>
      <c r="H342" s="1670">
        <f>SUM(H330,H334,H340)</f>
        <v>0</v>
      </c>
      <c r="I342" s="1670">
        <f>SUM(I330)</f>
        <v>0</v>
      </c>
      <c r="J342" s="1670">
        <f>SUM(J330)</f>
        <v>0</v>
      </c>
      <c r="K342" s="1670">
        <f>SUM(K330,K334,K340)</f>
        <v>35873</v>
      </c>
      <c r="L342" s="1677">
        <f>SUM(L330,L340,L341)</f>
        <v>36750</v>
      </c>
    </row>
    <row r="343" spans="1:14" ht="12.75" customHeight="1" thickTop="1" x14ac:dyDescent="0.2">
      <c r="A343" s="2168" t="s">
        <v>996</v>
      </c>
      <c r="B343" s="2169"/>
      <c r="C343" s="616"/>
      <c r="D343" s="616"/>
      <c r="E343" s="616"/>
      <c r="F343" s="616"/>
      <c r="G343" s="616"/>
      <c r="H343" s="616"/>
      <c r="I343" s="616"/>
      <c r="J343" s="616"/>
      <c r="K343" s="1684">
        <f>'Revenues 9-14'!J268-'Expenditures 15-22'!K342</f>
        <v>105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5" t="s">
        <v>996</v>
      </c>
      <c r="B368" s="2156"/>
      <c r="C368" s="654"/>
      <c r="D368" s="654"/>
      <c r="E368" s="626"/>
      <c r="F368" s="626"/>
      <c r="G368" s="626"/>
      <c r="H368" s="626"/>
      <c r="I368" s="626"/>
      <c r="J368" s="623"/>
      <c r="K368" s="1671">
        <f>'Revenues 9-14'!K268-'Expenditures 15-22'!K367</f>
        <v>2</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openxmlformats.org/package/2006/metadata/core-properties"/>
    <ds:schemaRef ds:uri="http://schemas.microsoft.com/office/2006/metadata/properties"/>
    <ds:schemaRef ds:uri="http://purl.org/dc/dcmitype/"/>
    <ds:schemaRef ds:uri="http://purl.org/dc/elements/1.1/"/>
    <ds:schemaRef ds:uri="4d435f69-8686-490b-bd6d-b153bf22ab50"/>
    <ds:schemaRef ds:uri="http://purl.org/dc/terms/"/>
    <ds:schemaRef ds:uri="http://schemas.microsoft.com/sharepoint/v3"/>
    <ds:schemaRef ds:uri="http://schemas.microsoft.com/office/2006/documentManagement/types"/>
    <ds:schemaRef ds:uri="http://schemas.microsoft.com/office/infopath/2007/PartnerControls"/>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2019-09-11T17:48:37Z</cp:lastPrinted>
  <dcterms:created xsi:type="dcterms:W3CDTF">2003-10-29T19:06:34Z</dcterms:created>
  <dcterms:modified xsi:type="dcterms:W3CDTF">2019-09-16T17:17:10Z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1f7db94b-e9e7-4389-bf50-c23a00f4da4f</vt:lpwstr>
  </property>
</Properties>
</file>