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BCE9F8A-83FA-489D-BF2F-5C1F47FE0CB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7" r:id="rId29"/>
    <sheet name="SEFA NOTES" sheetId="173" r:id="rId30"/>
    <sheet name="SF&amp;QC Sec-1" sheetId="174" r:id="rId31"/>
    <sheet name="Finding 2019-001" sheetId="175" r:id="rId32"/>
    <sheet name="SF&amp;QC Sec-3 Finding 2019-002" sheetId="176" r:id="rId33"/>
    <sheet name="SF&amp;QC Sec-3 Finding 2019-003" sheetId="189" r:id="rId34"/>
    <sheet name="SSPAF" sheetId="177" r:id="rId35"/>
    <sheet name="CAP 2019-001" sheetId="185" r:id="rId36"/>
    <sheet name="CAP 2019-002" sheetId="188" r:id="rId37"/>
    <sheet name="CAP 2019-003" sheetId="190" r:id="rId38"/>
  </sheets>
  <definedNames>
    <definedName name="goof" localSheetId="36">#REF!</definedName>
    <definedName name="goof" localSheetId="37">#REF!</definedName>
    <definedName name="goof" localSheetId="28">#REF!</definedName>
    <definedName name="goof" localSheetId="33">#REF!</definedName>
    <definedName name="goof">#REF!</definedName>
    <definedName name="oops" localSheetId="37">#REF!</definedName>
    <definedName name="oops" localSheetId="28">#REF!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19'!$A$1:$S$95</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 Finding 2019-002'!$A$1:$K$48</definedName>
    <definedName name="_xlnm.Print_Area" localSheetId="33">'SF&amp;QC Sec-3 Finding 2019-003'!$A$1:$K$52</definedName>
    <definedName name="_xlnm.Print_Area" localSheetId="25">'Single Audit Checklist'!$A$1:$D$124</definedName>
    <definedName name="_xlnm.Print_Area" localSheetId="24">'Single Audit Cover'!$A$1:$L$51</definedName>
    <definedName name="Print_Area_MI" localSheetId="28">'SEFA 19'!$B$14:$S$82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19'!$A:$B,'SEFA 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37">#REF!</definedName>
    <definedName name="SCHADDRS" localSheetId="21">#REF!</definedName>
    <definedName name="SCHADDRS" localSheetId="4">#REF!</definedName>
    <definedName name="SCHADDRS" localSheetId="31">#REF!</definedName>
    <definedName name="SCHADDRS" localSheetId="28">#REF!</definedName>
    <definedName name="SCHADDRS" localSheetId="29">#REF!</definedName>
    <definedName name="SCHADDRS" localSheetId="26">#REF!</definedName>
    <definedName name="SCHADDRS" localSheetId="30">#REF!</definedName>
    <definedName name="SCHADDRS" localSheetId="32">#REF!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37">#REF!</definedName>
    <definedName name="SCHCTY" localSheetId="21">#REF!</definedName>
    <definedName name="SCHCTY" localSheetId="4">#REF!</definedName>
    <definedName name="SCHCTY" localSheetId="31">#REF!</definedName>
    <definedName name="SCHCTY" localSheetId="28">#REF!</definedName>
    <definedName name="SCHCTY" localSheetId="29">#REF!</definedName>
    <definedName name="SCHCTY" localSheetId="26">#REF!</definedName>
    <definedName name="SCHCTY" localSheetId="30">#REF!</definedName>
    <definedName name="SCHCTY" localSheetId="32">#REF!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37">#REF!</definedName>
    <definedName name="SCHNMBR" localSheetId="21">#REF!</definedName>
    <definedName name="SCHNMBR" localSheetId="4">#REF!</definedName>
    <definedName name="SCHNMBR" localSheetId="31">#REF!</definedName>
    <definedName name="SCHNMBR" localSheetId="28">#REF!</definedName>
    <definedName name="SCHNMBR" localSheetId="29">#REF!</definedName>
    <definedName name="SCHNMBR" localSheetId="26">#REF!</definedName>
    <definedName name="SCHNMBR" localSheetId="30">#REF!</definedName>
    <definedName name="SCHNMBR" localSheetId="32">#REF!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37">#REF!</definedName>
    <definedName name="SCHNME" localSheetId="21">#REF!</definedName>
    <definedName name="SCHNME" localSheetId="4">#REF!</definedName>
    <definedName name="SCHNME" localSheetId="31">#REF!</definedName>
    <definedName name="SCHNME" localSheetId="28">#REF!</definedName>
    <definedName name="SCHNME" localSheetId="29">#REF!</definedName>
    <definedName name="SCHNME" localSheetId="26">#REF!</definedName>
    <definedName name="SCHNME" localSheetId="30">#REF!</definedName>
    <definedName name="SCHNME" localSheetId="32">#REF!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37">#REF!</definedName>
    <definedName name="SUPT" localSheetId="21">#REF!</definedName>
    <definedName name="SUPT" localSheetId="4">#REF!</definedName>
    <definedName name="SUPT" localSheetId="31">#REF!</definedName>
    <definedName name="SUPT" localSheetId="28">#REF!</definedName>
    <definedName name="SUPT" localSheetId="29">#REF!</definedName>
    <definedName name="SUPT" localSheetId="26">#REF!</definedName>
    <definedName name="SUPT" localSheetId="30">#REF!</definedName>
    <definedName name="SUPT" localSheetId="32">#REF!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8" i="190" l="1"/>
  <c r="B2" i="188" l="1"/>
  <c r="B13" i="190" s="1"/>
  <c r="B1" i="188"/>
  <c r="B11" i="190" s="1"/>
  <c r="H13" i="145" l="1"/>
  <c r="H12" i="145"/>
  <c r="J6" i="12" l="1"/>
  <c r="J8" i="12"/>
  <c r="S86" i="187" l="1"/>
  <c r="S84" i="187"/>
  <c r="O78" i="187"/>
  <c r="O86" i="187" s="1"/>
  <c r="M78" i="187"/>
  <c r="M86" i="187" s="1"/>
  <c r="K78" i="187"/>
  <c r="K86" i="187" s="1"/>
  <c r="I78" i="187"/>
  <c r="I86" i="187" s="1"/>
  <c r="G78" i="187"/>
  <c r="G86" i="187" s="1"/>
  <c r="Q76" i="187"/>
  <c r="Q75" i="187"/>
  <c r="O67" i="187"/>
  <c r="M67" i="187"/>
  <c r="K67" i="187"/>
  <c r="I67" i="187"/>
  <c r="G67" i="187"/>
  <c r="Q66" i="187"/>
  <c r="Q65" i="187"/>
  <c r="Q63" i="187"/>
  <c r="Q61" i="187"/>
  <c r="Q60" i="187"/>
  <c r="Q58" i="187"/>
  <c r="Q57" i="187"/>
  <c r="O54" i="187"/>
  <c r="M54" i="187"/>
  <c r="K54" i="187"/>
  <c r="I54" i="187"/>
  <c r="G54" i="187"/>
  <c r="Q53" i="187"/>
  <c r="Q52" i="187"/>
  <c r="Q50" i="187"/>
  <c r="Q49" i="187"/>
  <c r="O47" i="187"/>
  <c r="O55" i="187" s="1"/>
  <c r="O69" i="187" s="1"/>
  <c r="M47" i="187"/>
  <c r="M55" i="187" s="1"/>
  <c r="M69" i="187" s="1"/>
  <c r="K47" i="187"/>
  <c r="I47" i="187"/>
  <c r="I55" i="187" s="1"/>
  <c r="I69" i="187" s="1"/>
  <c r="G47" i="187"/>
  <c r="Q46" i="187"/>
  <c r="Q45" i="187"/>
  <c r="Q47" i="187" s="1"/>
  <c r="O36" i="187"/>
  <c r="O38" i="187" s="1"/>
  <c r="M36" i="187"/>
  <c r="K36" i="187"/>
  <c r="I36" i="187"/>
  <c r="G36" i="187"/>
  <c r="Q35" i="187"/>
  <c r="Q34" i="187"/>
  <c r="Q32" i="187"/>
  <c r="Q31" i="187"/>
  <c r="Q28" i="187"/>
  <c r="Q27" i="187"/>
  <c r="Q25" i="187"/>
  <c r="Q24" i="187"/>
  <c r="M22" i="187"/>
  <c r="K22" i="187"/>
  <c r="I22" i="187"/>
  <c r="G22" i="187"/>
  <c r="Q21" i="187"/>
  <c r="Q20" i="187"/>
  <c r="M18" i="187"/>
  <c r="K18" i="187"/>
  <c r="I18" i="187"/>
  <c r="G18" i="187"/>
  <c r="Q17" i="187"/>
  <c r="Q16" i="187"/>
  <c r="M9" i="187"/>
  <c r="K9" i="187"/>
  <c r="M8" i="187"/>
  <c r="Q36" i="187" l="1"/>
  <c r="K38" i="187"/>
  <c r="K84" i="187" s="1"/>
  <c r="K88" i="187" s="1"/>
  <c r="M38" i="187"/>
  <c r="M80" i="187" s="1"/>
  <c r="G55" i="187"/>
  <c r="G69" i="187" s="1"/>
  <c r="Q18" i="187"/>
  <c r="Q54" i="187"/>
  <c r="Q55" i="187" s="1"/>
  <c r="Q69" i="187" s="1"/>
  <c r="G38" i="187"/>
  <c r="G84" i="187" s="1"/>
  <c r="G88" i="187" s="1"/>
  <c r="I38" i="187"/>
  <c r="I84" i="187" s="1"/>
  <c r="I88" i="187" s="1"/>
  <c r="Q22" i="187"/>
  <c r="M84" i="187"/>
  <c r="M88" i="187" s="1"/>
  <c r="K55" i="187"/>
  <c r="K69" i="187" s="1"/>
  <c r="K80" i="187" s="1"/>
  <c r="Q67" i="187"/>
  <c r="Q78" i="187"/>
  <c r="Q86" i="187" s="1"/>
  <c r="O84" i="187"/>
  <c r="O88" i="187" s="1"/>
  <c r="O80" i="187"/>
  <c r="Q38" i="187" l="1"/>
  <c r="Q84" i="187"/>
  <c r="Q88" i="187" s="1"/>
  <c r="Q80" i="187"/>
  <c r="I80" i="187"/>
  <c r="G80" i="18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B7795" i="106" l="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2" i="189" s="1"/>
  <c r="B1" i="175"/>
  <c r="B1" i="185" s="1"/>
  <c r="B1" i="177"/>
  <c r="A1" i="170"/>
  <c r="A2" i="171"/>
  <c r="A1" i="173"/>
  <c r="B1" i="174"/>
  <c r="B2" i="175"/>
  <c r="B2" i="185" s="1"/>
  <c r="B1" i="176"/>
  <c r="B1" i="189" s="1"/>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6" i="127"/>
  <c r="B67"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F115" i="34"/>
  <c r="C116" i="34"/>
  <c r="D116" i="34"/>
  <c r="F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5" i="5"/>
  <c r="B4373" i="106" s="1"/>
  <c r="D4373" i="106" s="1"/>
  <c r="J252" i="5"/>
  <c r="J266" i="5" s="1"/>
  <c r="B7041" i="106" s="1"/>
  <c r="D7041" i="106" s="1"/>
  <c r="K252" i="5"/>
  <c r="D7" i="118"/>
  <c r="D8" i="118"/>
  <c r="D9" i="118"/>
  <c r="H28" i="118"/>
  <c r="H33" i="118"/>
  <c r="D22" i="37"/>
  <c r="J22" i="37"/>
  <c r="L5" i="11"/>
  <c r="B2056" i="106" s="1"/>
  <c r="D2056" i="106" s="1"/>
  <c r="J49" i="8" l="1"/>
  <c r="B4172" i="106" s="1"/>
  <c r="D4172" i="106" s="1"/>
  <c r="D24" i="37"/>
  <c r="B4270" i="106" s="1"/>
  <c r="D4270" i="106" s="1"/>
  <c r="D11" i="37"/>
  <c r="D31" i="36"/>
  <c r="F19" i="7"/>
  <c r="B1807" i="106" s="1"/>
  <c r="D1807" i="106" s="1"/>
  <c r="H29" i="118"/>
  <c r="K28" i="118" s="1"/>
  <c r="O27" i="118" s="1"/>
  <c r="O29" i="118" s="1"/>
  <c r="N22" i="3"/>
  <c r="B283" i="106" s="1"/>
  <c r="D283" i="106" s="1"/>
  <c r="L22" i="37"/>
  <c r="L13" i="11"/>
  <c r="B2060" i="106" s="1"/>
  <c r="D2060" i="106" s="1"/>
  <c r="I24" i="12"/>
  <c r="F21" i="8"/>
  <c r="K24" i="12"/>
  <c r="I267" i="5"/>
  <c r="B4435" i="106" s="1"/>
  <c r="D4435"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I7" i="4" l="1"/>
  <c r="B4444" i="106" s="1"/>
  <c r="D4444" i="106" s="1"/>
  <c r="L16" i="11"/>
  <c r="B2061" i="106" s="1"/>
  <c r="D2061" i="106" s="1"/>
  <c r="B1996" i="106"/>
  <c r="D1996" i="106" s="1"/>
  <c r="I26" i="12"/>
  <c r="B7741" i="106" s="1"/>
  <c r="D7741"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11" i="106" l="1"/>
  <c r="D7811" i="106" s="1"/>
  <c r="B7815" i="106"/>
  <c r="D7815" i="106" s="1"/>
  <c r="B7810" i="106"/>
  <c r="D7810" i="106" s="1"/>
  <c r="B7812" i="106"/>
  <c r="D7812" i="106" s="1"/>
  <c r="B7814" i="106"/>
  <c r="D7814" i="106" s="1"/>
  <c r="B7816" i="106"/>
  <c r="D7816" i="106" s="1"/>
  <c r="F167" i="34" l="1"/>
  <c r="B7813" i="106"/>
  <c r="D7813" i="106" s="1"/>
  <c r="F166" i="34"/>
  <c r="B7809" i="106"/>
  <c r="D7809" i="106" s="1"/>
  <c r="L334" i="29" l="1"/>
  <c r="K355" i="29" l="1"/>
  <c r="B7793" i="106"/>
  <c r="D7793" i="106" s="1"/>
  <c r="B7237" i="106"/>
  <c r="D7237" i="106" s="1"/>
  <c r="B7783" i="106"/>
  <c r="D7783" i="106" s="1"/>
  <c r="K282" i="29"/>
  <c r="B7775" i="106"/>
  <c r="D7775" i="106" s="1"/>
  <c r="H334" i="29"/>
  <c r="B7789" i="106" s="1"/>
  <c r="D7789" i="106" s="1"/>
  <c r="B7785" i="106"/>
  <c r="D7785" i="106" s="1"/>
  <c r="K332" i="29"/>
  <c r="B7774" i="106"/>
  <c r="D7774" i="106" s="1"/>
  <c r="K133" i="29"/>
  <c r="K158" i="29"/>
  <c r="B7780" i="106" s="1"/>
  <c r="D7780" i="106" s="1"/>
  <c r="B7779" i="106"/>
  <c r="D7779" i="106" s="1"/>
  <c r="B7787" i="106"/>
  <c r="D7787" i="106" s="1"/>
  <c r="K333" i="29"/>
  <c r="B7788" i="106" s="1"/>
  <c r="D7788" i="106" s="1"/>
  <c r="K159" i="29"/>
  <c r="B7782" i="106" s="1"/>
  <c r="D7782" i="106" s="1"/>
  <c r="B7781" i="106"/>
  <c r="D7781" i="106" s="1"/>
  <c r="B7791" i="106"/>
  <c r="D7791" i="106" s="1"/>
  <c r="K354" i="29"/>
  <c r="B7236" i="106"/>
  <c r="D7236" i="106" s="1"/>
  <c r="B7784" i="106" l="1"/>
  <c r="D7784" i="106" s="1"/>
  <c r="B7786" i="106"/>
  <c r="D7786" i="106" s="1"/>
  <c r="K334" i="29"/>
  <c r="B7776" i="106"/>
  <c r="D7776" i="106" s="1"/>
  <c r="B7792" i="106"/>
  <c r="D7792" i="106" s="1"/>
  <c r="B3673" i="106"/>
  <c r="D3673" i="106" s="1"/>
  <c r="B7794" i="106"/>
  <c r="D7794" i="106" s="1"/>
  <c r="B3674" i="106"/>
  <c r="D3674" i="106" s="1"/>
  <c r="F74" i="34" l="1"/>
  <c r="B7790" i="106"/>
  <c r="D7790" i="106" s="1"/>
  <c r="J15" i="4"/>
  <c r="B7796" i="106" s="1"/>
  <c r="D7796"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0" i="106"/>
  <c r="D5330"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4" i="106"/>
  <c r="D5724"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6299" i="106"/>
  <c r="D6299" i="106" s="1"/>
  <c r="B5875" i="106"/>
  <c r="D5875" i="106" s="1"/>
  <c r="B5876" i="106"/>
  <c r="D5876" i="106" s="1"/>
  <c r="B5877" i="106"/>
  <c r="D5877" i="106" s="1"/>
  <c r="B5888" i="106"/>
  <c r="D5888" i="106" s="1"/>
  <c r="B7806" i="106"/>
  <c r="D7806"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7753" i="106"/>
  <c r="D775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85"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57" i="29" l="1"/>
  <c r="F57" i="29"/>
  <c r="B911" i="106" s="1"/>
  <c r="D911" i="106" s="1"/>
  <c r="B909" i="106"/>
  <c r="D909" i="106" s="1"/>
  <c r="B718" i="106"/>
  <c r="D718" i="106" s="1"/>
  <c r="K14" i="29"/>
  <c r="B1106" i="106" s="1"/>
  <c r="D1106" i="106" s="1"/>
  <c r="B7251" i="106"/>
  <c r="D7251" i="106" s="1"/>
  <c r="K134" i="29"/>
  <c r="B4199" i="106"/>
  <c r="D4199" i="106" s="1"/>
  <c r="E137" i="29"/>
  <c r="B5431" i="106"/>
  <c r="D5431" i="106" s="1"/>
  <c r="D204" i="5"/>
  <c r="B5444" i="106" s="1"/>
  <c r="D5444" i="106" s="1"/>
  <c r="B5347" i="106"/>
  <c r="D5347" i="106" s="1"/>
  <c r="K328" i="29"/>
  <c r="B7696" i="106" s="1"/>
  <c r="D7696" i="106" s="1"/>
  <c r="B7688" i="106"/>
  <c r="D7688" i="106" s="1"/>
  <c r="B7136" i="106"/>
  <c r="D7136" i="106" s="1"/>
  <c r="K321" i="29"/>
  <c r="B7144" i="106" s="1"/>
  <c r="D7144" i="106" s="1"/>
  <c r="L149" i="29"/>
  <c r="L147" i="29"/>
  <c r="L340" i="29"/>
  <c r="H34" i="3"/>
  <c r="B6130" i="106"/>
  <c r="D6130" i="106" s="1"/>
  <c r="B6132" i="106"/>
  <c r="D6132" i="106" s="1"/>
  <c r="L92" i="29"/>
  <c r="B1537" i="106"/>
  <c r="D1537" i="106" s="1"/>
  <c r="F303" i="29"/>
  <c r="K111" i="29"/>
  <c r="B7017" i="106" s="1"/>
  <c r="D7017" i="106" s="1"/>
  <c r="B7016" i="106"/>
  <c r="D7016"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E47" i="29"/>
  <c r="B847" i="106" s="1"/>
  <c r="D847" i="106" s="1"/>
  <c r="B844" i="106"/>
  <c r="D844" i="106" s="1"/>
  <c r="B837" i="106"/>
  <c r="D837" i="106" s="1"/>
  <c r="E42" i="29"/>
  <c r="K27" i="29"/>
  <c r="B6890" i="106"/>
  <c r="D6890" i="106" s="1"/>
  <c r="B6845" i="106"/>
  <c r="D6845" i="106" s="1"/>
  <c r="J33" i="29"/>
  <c r="D78" i="36"/>
  <c r="B4113" i="106"/>
  <c r="D4113" i="106" s="1"/>
  <c r="C18" i="4"/>
  <c r="B4131" i="106" s="1"/>
  <c r="D4131" i="106" s="1"/>
  <c r="B6720" i="106"/>
  <c r="D6720" i="106" s="1"/>
  <c r="F144" i="34"/>
  <c r="B6666" i="106"/>
  <c r="D6666" i="106" s="1"/>
  <c r="F139" i="34"/>
  <c r="K363" i="29"/>
  <c r="B7241" i="106" s="1"/>
  <c r="D7241" i="106" s="1"/>
  <c r="B7240" i="106"/>
  <c r="D7240" i="106" s="1"/>
  <c r="B3638" i="106"/>
  <c r="D3638" i="106" s="1"/>
  <c r="F350" i="29"/>
  <c r="B5988" i="106"/>
  <c r="D5988" i="106" s="1"/>
  <c r="K18" i="5"/>
  <c r="B5992" i="106" s="1"/>
  <c r="D5992" i="106" s="1"/>
  <c r="K283" i="29"/>
  <c r="B3721" i="106"/>
  <c r="D3721" i="106" s="1"/>
  <c r="D285" i="29"/>
  <c r="B3722" i="106" s="1"/>
  <c r="D3722" i="106" s="1"/>
  <c r="K269" i="29"/>
  <c r="B1498" i="106" s="1"/>
  <c r="D1498" i="106" s="1"/>
  <c r="B1434" i="106"/>
  <c r="D1434" i="106" s="1"/>
  <c r="K259" i="29"/>
  <c r="D261" i="29"/>
  <c r="B1427" i="106" s="1"/>
  <c r="D1427" i="106" s="1"/>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6618" i="106"/>
  <c r="D6618" i="106" s="1"/>
  <c r="G252" i="5"/>
  <c r="B6837" i="106" s="1"/>
  <c r="D6837" i="106" s="1"/>
  <c r="B4810" i="106"/>
  <c r="D4810" i="106" s="1"/>
  <c r="G181" i="5"/>
  <c r="B5784" i="106" s="1"/>
  <c r="D5784" i="106" s="1"/>
  <c r="B5754" i="106"/>
  <c r="D5754" i="106" s="1"/>
  <c r="G145" i="5"/>
  <c r="B5756" i="106" s="1"/>
  <c r="D5756" i="106" s="1"/>
  <c r="B5731" i="106"/>
  <c r="D5731" i="106" s="1"/>
  <c r="B7751" i="106"/>
  <c r="D7751" i="106" s="1"/>
  <c r="K199" i="29"/>
  <c r="H204" i="29"/>
  <c r="B1371" i="106"/>
  <c r="D1371" i="106" s="1"/>
  <c r="K191" i="29"/>
  <c r="B3010" i="106" s="1"/>
  <c r="D3010" i="106" s="1"/>
  <c r="B2992" i="106"/>
  <c r="D2992" i="106" s="1"/>
  <c r="B7057" i="106"/>
  <c r="D7057" i="106" s="1"/>
  <c r="I184" i="29"/>
  <c r="B4804" i="106"/>
  <c r="D4804" i="106" s="1"/>
  <c r="F181" i="5"/>
  <c r="B5658" i="106" s="1"/>
  <c r="D5658" i="106" s="1"/>
  <c r="B6315" i="106"/>
  <c r="D6315" i="106" s="1"/>
  <c r="F28" i="34"/>
  <c r="B6314" i="106"/>
  <c r="D6314" i="106" s="1"/>
  <c r="F90" i="34"/>
  <c r="B6312" i="106"/>
  <c r="D6312" i="106" s="1"/>
  <c r="F87" i="34"/>
  <c r="F18" i="5"/>
  <c r="B5562" i="106" s="1"/>
  <c r="D5562" i="106" s="1"/>
  <c r="B5558" i="106"/>
  <c r="D5558" i="106" s="1"/>
  <c r="B3699" i="106"/>
  <c r="D3699" i="106" s="1"/>
  <c r="K53" i="4"/>
  <c r="B3703" i="106" s="1"/>
  <c r="D3703" i="106" s="1"/>
  <c r="K167" i="29"/>
  <c r="B1327" i="106" s="1"/>
  <c r="D1327" i="106" s="1"/>
  <c r="B1313" i="106"/>
  <c r="D1313" i="106" s="1"/>
  <c r="B6368" i="106"/>
  <c r="D6368" i="106" s="1"/>
  <c r="E169" i="5"/>
  <c r="B5537" i="106" s="1"/>
  <c r="D5537" i="106" s="1"/>
  <c r="B1268" i="106"/>
  <c r="D1268" i="106" s="1"/>
  <c r="K142" i="29"/>
  <c r="H147" i="29"/>
  <c r="B1227" i="106"/>
  <c r="D1227" i="106" s="1"/>
  <c r="D127" i="29"/>
  <c r="B1231" i="106" s="1"/>
  <c r="D1231" i="106" s="1"/>
  <c r="B4075" i="106"/>
  <c r="D4075" i="106" s="1"/>
  <c r="B5422" i="106"/>
  <c r="D5422" i="106" s="1"/>
  <c r="D175" i="5"/>
  <c r="B7125" i="106"/>
  <c r="D7125" i="106" s="1"/>
  <c r="J330" i="29"/>
  <c r="B6353" i="106"/>
  <c r="D6353" i="106" s="1"/>
  <c r="J122" i="5"/>
  <c r="B5110" i="106"/>
  <c r="D5110" i="106" s="1"/>
  <c r="F99" i="34"/>
  <c r="B5118" i="106"/>
  <c r="D5118" i="106" s="1"/>
  <c r="F104" i="34"/>
  <c r="B902" i="106"/>
  <c r="D902" i="106" s="1"/>
  <c r="F47" i="29"/>
  <c r="B905" i="106" s="1"/>
  <c r="D905" i="106" s="1"/>
  <c r="B6892" i="106"/>
  <c r="D6892" i="106" s="1"/>
  <c r="K28" i="29"/>
  <c r="B719" i="106"/>
  <c r="D719" i="106" s="1"/>
  <c r="K15" i="29"/>
  <c r="K8" i="29"/>
  <c r="B3380" i="106" s="1"/>
  <c r="D3380" i="106" s="1"/>
  <c r="B3366" i="106"/>
  <c r="D3366" i="106" s="1"/>
  <c r="B7058" i="106"/>
  <c r="D7058" i="106" s="1"/>
  <c r="J184" i="29"/>
  <c r="B7181" i="106"/>
  <c r="D7181" i="106" s="1"/>
  <c r="K326" i="29"/>
  <c r="B7189" i="106" s="1"/>
  <c r="D7189" i="106" s="1"/>
  <c r="C330" i="29"/>
  <c r="K319" i="29"/>
  <c r="B7118" i="106"/>
  <c r="D7118" i="106" s="1"/>
  <c r="L303" i="29"/>
  <c r="L100" i="29"/>
  <c r="B2848" i="106"/>
  <c r="D2848" i="106" s="1"/>
  <c r="K307" i="29"/>
  <c r="B4099" i="106" s="1"/>
  <c r="D4099" i="106" s="1"/>
  <c r="B7108" i="106"/>
  <c r="D7108" i="106" s="1"/>
  <c r="E303" i="29"/>
  <c r="B1531" i="106"/>
  <c r="D1531" i="106" s="1"/>
  <c r="B5872" i="106"/>
  <c r="D5872" i="106" s="1"/>
  <c r="B1051" i="106"/>
  <c r="D1051" i="106" s="1"/>
  <c r="K109" i="29"/>
  <c r="B1149" i="106" s="1"/>
  <c r="D1149" i="106" s="1"/>
  <c r="K99" i="29"/>
  <c r="B7010" i="106" s="1"/>
  <c r="D7010" i="106" s="1"/>
  <c r="E100" i="29"/>
  <c r="B7011" i="106" s="1"/>
  <c r="D7011"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B794" i="106"/>
  <c r="D794" i="106" s="1"/>
  <c r="D57" i="29"/>
  <c r="B795" i="106" s="1"/>
  <c r="D795" i="106" s="1"/>
  <c r="B793" i="106"/>
  <c r="D793" i="106" s="1"/>
  <c r="D47" i="29"/>
  <c r="B789" i="106" s="1"/>
  <c r="D789" i="106" s="1"/>
  <c r="B786" i="106"/>
  <c r="D786" i="106" s="1"/>
  <c r="B784" i="106"/>
  <c r="D784" i="106" s="1"/>
  <c r="B779" i="106"/>
  <c r="D779" i="106" s="1"/>
  <c r="K26" i="29"/>
  <c r="B6888" i="106"/>
  <c r="D6888" i="106" s="1"/>
  <c r="B6851" i="106"/>
  <c r="D6851" i="106" s="1"/>
  <c r="B6844" i="106"/>
  <c r="D6844" i="106" s="1"/>
  <c r="B6712" i="106"/>
  <c r="D6712" i="106" s="1"/>
  <c r="F143" i="34"/>
  <c r="B5088" i="106"/>
  <c r="D5088" i="106" s="1"/>
  <c r="B5067" i="106"/>
  <c r="D5067" i="106" s="1"/>
  <c r="C18" i="5"/>
  <c r="B5071" i="106" s="1"/>
  <c r="D5071" i="106" s="1"/>
  <c r="K361" i="29"/>
  <c r="B7239" i="106" s="1"/>
  <c r="D7239" i="106" s="1"/>
  <c r="B7238" i="106"/>
  <c r="D7238" i="106" s="1"/>
  <c r="B3631" i="106"/>
  <c r="D3631" i="106" s="1"/>
  <c r="E350" i="29"/>
  <c r="B6000" i="106"/>
  <c r="D6000" i="106" s="1"/>
  <c r="K122" i="5"/>
  <c r="G44" i="4"/>
  <c r="B7752" i="106"/>
  <c r="D7752" i="106" s="1"/>
  <c r="B1447" i="106"/>
  <c r="D1447" i="106" s="1"/>
  <c r="K280" i="29"/>
  <c r="K268" i="29"/>
  <c r="B1497" i="106" s="1"/>
  <c r="D1497" i="106" s="1"/>
  <c r="B1433" i="106"/>
  <c r="D1433" i="106" s="1"/>
  <c r="K256" i="29"/>
  <c r="B7098" i="106" s="1"/>
  <c r="D7098" i="106" s="1"/>
  <c r="B7097" i="106"/>
  <c r="D7097" i="106" s="1"/>
  <c r="K248" i="29"/>
  <c r="B7082" i="106" s="1"/>
  <c r="D7082" i="106" s="1"/>
  <c r="B7081" i="106"/>
  <c r="D7081" i="106" s="1"/>
  <c r="B1415" i="106"/>
  <c r="D1415" i="106" s="1"/>
  <c r="K236" i="29"/>
  <c r="B1479" i="106" s="1"/>
  <c r="D1479" i="106" s="1"/>
  <c r="B1396" i="106"/>
  <c r="D1396" i="106" s="1"/>
  <c r="K225" i="29"/>
  <c r="B1460" i="106" s="1"/>
  <c r="D1460" i="106" s="1"/>
  <c r="K217" i="29"/>
  <c r="B3391" i="106" s="1"/>
  <c r="D3391" i="106" s="1"/>
  <c r="B3388" i="106"/>
  <c r="D3388" i="106" s="1"/>
  <c r="B5791" i="106"/>
  <c r="D5791" i="106" s="1"/>
  <c r="K207" i="29"/>
  <c r="B7070" i="106" s="1"/>
  <c r="D7070" i="106" s="1"/>
  <c r="B7069" i="106"/>
  <c r="D7069" i="106" s="1"/>
  <c r="B1369" i="106"/>
  <c r="D1369" i="106" s="1"/>
  <c r="H184" i="29"/>
  <c r="B4086" i="106"/>
  <c r="D4086" i="106" s="1"/>
  <c r="B5578" i="106"/>
  <c r="D5578" i="106" s="1"/>
  <c r="F27" i="34"/>
  <c r="B5572" i="106"/>
  <c r="D5572" i="106" s="1"/>
  <c r="F89" i="34"/>
  <c r="B5566" i="106"/>
  <c r="D5566" i="106" s="1"/>
  <c r="F86" i="34"/>
  <c r="K166" i="29"/>
  <c r="B2819" i="106" s="1"/>
  <c r="D2819" i="106" s="1"/>
  <c r="B2813" i="106"/>
  <c r="D2813" i="106" s="1"/>
  <c r="B6714" i="106"/>
  <c r="D6714" i="106" s="1"/>
  <c r="E252" i="5"/>
  <c r="B5511" i="106"/>
  <c r="D5511" i="106" s="1"/>
  <c r="B2092" i="106"/>
  <c r="D2092" i="106" s="1"/>
  <c r="K138" i="29"/>
  <c r="B2094" i="106" s="1"/>
  <c r="D2094" i="106" s="1"/>
  <c r="K126" i="29"/>
  <c r="B1277" i="106" s="1"/>
  <c r="D1277" i="106" s="1"/>
  <c r="B1254" i="106"/>
  <c r="D1254" i="106" s="1"/>
  <c r="K125" i="29"/>
  <c r="B3488" i="106" s="1"/>
  <c r="D3488" i="106" s="1"/>
  <c r="B3482" i="106"/>
  <c r="D3482" i="106" s="1"/>
  <c r="B1221" i="106"/>
  <c r="D1221" i="106" s="1"/>
  <c r="K124" i="29"/>
  <c r="B1276" i="106" s="1"/>
  <c r="D1276" i="106" s="1"/>
  <c r="B1220" i="106"/>
  <c r="D1220" i="106" s="1"/>
  <c r="B1219" i="106"/>
  <c r="D1219" i="106" s="1"/>
  <c r="K122" i="29"/>
  <c r="C127" i="29"/>
  <c r="B1223" i="106" s="1"/>
  <c r="D1223" i="106" s="1"/>
  <c r="K120" i="29"/>
  <c r="B4074" i="106"/>
  <c r="D4074" i="106" s="1"/>
  <c r="B5335" i="106"/>
  <c r="D5335" i="106" s="1"/>
  <c r="D18" i="5"/>
  <c r="B5339" i="106" s="1"/>
  <c r="D5339" i="106" s="1"/>
  <c r="I330" i="29"/>
  <c r="B7124" i="106"/>
  <c r="D7124" i="106" s="1"/>
  <c r="B6398" i="106"/>
  <c r="D6398" i="106" s="1"/>
  <c r="J175" i="5"/>
  <c r="B5919" i="106"/>
  <c r="D5919" i="106" s="1"/>
  <c r="I18" i="5"/>
  <c r="B5923" i="106" s="1"/>
  <c r="D5923" i="106" s="1"/>
  <c r="B5996" i="106"/>
  <c r="D5996" i="106" s="1"/>
  <c r="K108" i="5"/>
  <c r="B5999" i="106" s="1"/>
  <c r="D5999" i="106" s="1"/>
  <c r="B5278" i="106"/>
  <c r="D5278" i="106" s="1"/>
  <c r="F128" i="34"/>
  <c r="E34" i="3"/>
  <c r="B6127" i="106"/>
  <c r="D6127" i="106" s="1"/>
  <c r="B3427" i="106"/>
  <c r="D3427" i="106" s="1"/>
  <c r="D40" i="36"/>
  <c r="K101" i="29"/>
  <c r="B7015" i="106" s="1"/>
  <c r="D7015" i="106" s="1"/>
  <c r="B2947" i="106"/>
  <c r="D2947" i="106" s="1"/>
  <c r="B906" i="106"/>
  <c r="D906" i="106" s="1"/>
  <c r="F53" i="29"/>
  <c r="B908" i="106" s="1"/>
  <c r="D908" i="106" s="1"/>
  <c r="B712" i="106"/>
  <c r="D712" i="106" s="1"/>
  <c r="K18" i="29"/>
  <c r="B1100" i="106" s="1"/>
  <c r="D1100" i="106" s="1"/>
  <c r="B7257" i="106"/>
  <c r="D7257" i="106" s="1"/>
  <c r="B6793" i="106"/>
  <c r="D6793" i="106" s="1"/>
  <c r="F152" i="34"/>
  <c r="B5083" i="106"/>
  <c r="D5083" i="106" s="1"/>
  <c r="K250" i="29"/>
  <c r="B7086" i="106" s="1"/>
  <c r="D7086" i="106" s="1"/>
  <c r="B7085" i="106"/>
  <c r="D7085" i="106" s="1"/>
  <c r="B1372" i="106"/>
  <c r="D1372" i="106" s="1"/>
  <c r="K200" i="29"/>
  <c r="B1384" i="106" s="1"/>
  <c r="D1384" i="106" s="1"/>
  <c r="B5573" i="106"/>
  <c r="D5573" i="106" s="1"/>
  <c r="F91" i="34"/>
  <c r="K327" i="29"/>
  <c r="B7198" i="106" s="1"/>
  <c r="D7198" i="106" s="1"/>
  <c r="B7190" i="106"/>
  <c r="D7190" i="106" s="1"/>
  <c r="K323" i="29"/>
  <c r="B7162" i="106" s="1"/>
  <c r="D7162" i="106" s="1"/>
  <c r="B7154" i="106"/>
  <c r="D7154" i="106" s="1"/>
  <c r="B6302" i="106"/>
  <c r="D6302" i="106" s="1"/>
  <c r="J18" i="5"/>
  <c r="B6306" i="106" s="1"/>
  <c r="D6306" i="106" s="1"/>
  <c r="L261" i="29"/>
  <c r="L277" i="29"/>
  <c r="G34" i="3"/>
  <c r="B6129" i="106"/>
  <c r="D6129" i="106" s="1"/>
  <c r="L204" i="29"/>
  <c r="L208" i="29" s="1"/>
  <c r="H310" i="29"/>
  <c r="B7115" i="106" s="1"/>
  <c r="D7115" i="106" s="1"/>
  <c r="B7106" i="106"/>
  <c r="D7106" i="106" s="1"/>
  <c r="B1525" i="106"/>
  <c r="D1525" i="106" s="1"/>
  <c r="D303" i="29"/>
  <c r="B5907" i="106"/>
  <c r="D5907" i="106" s="1"/>
  <c r="H181" i="5"/>
  <c r="B5908" i="106" s="1"/>
  <c r="D5908" i="106" s="1"/>
  <c r="B5879" i="106"/>
  <c r="D5879" i="106" s="1"/>
  <c r="H67" i="5"/>
  <c r="B5881" i="106" s="1"/>
  <c r="D5881" i="106" s="1"/>
  <c r="H41" i="4"/>
  <c r="B6250" i="106"/>
  <c r="D6250" i="106" s="1"/>
  <c r="E39" i="4"/>
  <c r="B6287" i="106" s="1"/>
  <c r="D6287" i="106" s="1"/>
  <c r="B6246" i="106"/>
  <c r="D6246" i="106" s="1"/>
  <c r="E37" i="4"/>
  <c r="B6285" i="106" s="1"/>
  <c r="D6285" i="106" s="1"/>
  <c r="H14" i="118"/>
  <c r="H19" i="118"/>
  <c r="B6240" i="106"/>
  <c r="D6240" i="106" s="1"/>
  <c r="B323" i="106"/>
  <c r="D323" i="106" s="1"/>
  <c r="D68" i="36"/>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E84" i="29"/>
  <c r="K78" i="29"/>
  <c r="B2949" i="106"/>
  <c r="D2949" i="106" s="1"/>
  <c r="B756" i="106"/>
  <c r="D756" i="106" s="1"/>
  <c r="B754" i="106"/>
  <c r="D754" i="106" s="1"/>
  <c r="K73" i="29"/>
  <c r="B751" i="106"/>
  <c r="D751" i="106" s="1"/>
  <c r="B749" i="106"/>
  <c r="D749" i="106" s="1"/>
  <c r="K70" i="29"/>
  <c r="B748" i="106"/>
  <c r="D748" i="106" s="1"/>
  <c r="K69" i="29"/>
  <c r="B747" i="106"/>
  <c r="D747" i="106" s="1"/>
  <c r="K68" i="29"/>
  <c r="C72" i="29"/>
  <c r="B753" i="106" s="1"/>
  <c r="D753" i="106" s="1"/>
  <c r="B746" i="106"/>
  <c r="D746" i="106" s="1"/>
  <c r="B743" i="106"/>
  <c r="D743" i="106" s="1"/>
  <c r="K63" i="29"/>
  <c r="B742" i="106"/>
  <c r="D742" i="106" s="1"/>
  <c r="B741" i="106"/>
  <c r="D741" i="106" s="1"/>
  <c r="K61" i="29"/>
  <c r="B740" i="106"/>
  <c r="D740" i="106" s="1"/>
  <c r="K60" i="29"/>
  <c r="B739" i="106"/>
  <c r="D739" i="106" s="1"/>
  <c r="C65" i="29"/>
  <c r="B745" i="106" s="1"/>
  <c r="D745" i="106" s="1"/>
  <c r="B738" i="106"/>
  <c r="D738" i="106" s="1"/>
  <c r="B736" i="106"/>
  <c r="D736" i="106" s="1"/>
  <c r="K56" i="29"/>
  <c r="C57" i="29"/>
  <c r="B737" i="106" s="1"/>
  <c r="D737" i="106" s="1"/>
  <c r="K55" i="29"/>
  <c r="B735" i="106"/>
  <c r="D735" i="106" s="1"/>
  <c r="B6932" i="106"/>
  <c r="D6932" i="106" s="1"/>
  <c r="B2718" i="106"/>
  <c r="D2718" i="106" s="1"/>
  <c r="K51" i="29"/>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B725" i="106"/>
  <c r="D725" i="106" s="1"/>
  <c r="K39" i="29"/>
  <c r="B1112" i="106" s="1"/>
  <c r="D1112" i="106" s="1"/>
  <c r="B724" i="106"/>
  <c r="D724" i="106" s="1"/>
  <c r="B723" i="106"/>
  <c r="D723" i="106" s="1"/>
  <c r="K38" i="29"/>
  <c r="B1111" i="106" s="1"/>
  <c r="D1111" i="106" s="1"/>
  <c r="B722" i="106"/>
  <c r="D722" i="106" s="1"/>
  <c r="K37" i="29"/>
  <c r="B1110" i="106" s="1"/>
  <c r="D1110" i="106" s="1"/>
  <c r="C42" i="29"/>
  <c r="B721" i="106"/>
  <c r="D721" i="106" s="1"/>
  <c r="K36" i="29"/>
  <c r="B6886" i="106"/>
  <c r="D6886" i="106" s="1"/>
  <c r="K25" i="29"/>
  <c r="B995" i="106"/>
  <c r="D995" i="106" s="1"/>
  <c r="H33" i="29"/>
  <c r="D17" i="171"/>
  <c r="B4362" i="106"/>
  <c r="D4362" i="106" s="1"/>
  <c r="F169" i="34"/>
  <c r="F158" i="34"/>
  <c r="B7761" i="106"/>
  <c r="D7761" i="106" s="1"/>
  <c r="B6650" i="106"/>
  <c r="D6650" i="106" s="1"/>
  <c r="F137" i="34"/>
  <c r="B5168" i="106"/>
  <c r="D5168" i="106" s="1"/>
  <c r="F110" i="34"/>
  <c r="H362" i="29"/>
  <c r="K360" i="29"/>
  <c r="B3657" i="106"/>
  <c r="D3657" i="106" s="1"/>
  <c r="D350" i="29"/>
  <c r="B3624" i="106"/>
  <c r="D3624" i="106" s="1"/>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B2725" i="106"/>
  <c r="D2725" i="106" s="1"/>
  <c r="K247" i="29"/>
  <c r="B2726" i="106" s="1"/>
  <c r="D2726" i="106" s="1"/>
  <c r="B1414" i="106"/>
  <c r="D1414" i="106" s="1"/>
  <c r="K235" i="29"/>
  <c r="B1478" i="106" s="1"/>
  <c r="D1478" i="106" s="1"/>
  <c r="K224" i="29"/>
  <c r="B1409" i="106"/>
  <c r="D1409" i="106" s="1"/>
  <c r="K216" i="29"/>
  <c r="B7073" i="106"/>
  <c r="D7073" i="106" s="1"/>
  <c r="B5790" i="106"/>
  <c r="D5790" i="106" s="1"/>
  <c r="G204" i="5"/>
  <c r="B5803" i="106" s="1"/>
  <c r="D5803" i="106" s="1"/>
  <c r="B5779" i="106"/>
  <c r="D5779" i="106" s="1"/>
  <c r="G175" i="5"/>
  <c r="K206" i="29"/>
  <c r="B4210" i="106"/>
  <c r="D4210" i="106" s="1"/>
  <c r="K195" i="29"/>
  <c r="B2839" i="106" s="1"/>
  <c r="D2839" i="106" s="1"/>
  <c r="B2824" i="106"/>
  <c r="D2824" i="106" s="1"/>
  <c r="K190" i="29"/>
  <c r="B3009" i="106" s="1"/>
  <c r="D3009" i="106" s="1"/>
  <c r="B2991" i="106"/>
  <c r="D2991" i="106" s="1"/>
  <c r="B4085" i="106"/>
  <c r="D4085" i="106" s="1"/>
  <c r="B5664" i="106"/>
  <c r="D5664" i="106" s="1"/>
  <c r="F204" i="5"/>
  <c r="B5677" i="106" s="1"/>
  <c r="D5677" i="106" s="1"/>
  <c r="B5654" i="106"/>
  <c r="D5654" i="106" s="1"/>
  <c r="F175" i="5"/>
  <c r="B5593" i="106"/>
  <c r="D5593" i="106" s="1"/>
  <c r="F122" i="5"/>
  <c r="B5577" i="106"/>
  <c r="D5577" i="106" s="1"/>
  <c r="F26" i="34"/>
  <c r="B5571" i="106"/>
  <c r="D5571" i="106" s="1"/>
  <c r="F23" i="34"/>
  <c r="B5565" i="106"/>
  <c r="D5565" i="106" s="1"/>
  <c r="F85" i="34"/>
  <c r="K165" i="29"/>
  <c r="B2818" i="106" s="1"/>
  <c r="D2818" i="106" s="1"/>
  <c r="B2812" i="106"/>
  <c r="D2812" i="106" s="1"/>
  <c r="D44" i="4"/>
  <c r="B7749" i="106"/>
  <c r="D7749" i="106" s="1"/>
  <c r="B7025" i="106"/>
  <c r="D7025" i="106" s="1"/>
  <c r="J127" i="29"/>
  <c r="B7034" i="106" s="1"/>
  <c r="D7034" i="106" s="1"/>
  <c r="B7023" i="106"/>
  <c r="D7023" i="106" s="1"/>
  <c r="J129" i="29"/>
  <c r="B4329" i="106"/>
  <c r="D4329" i="106" s="1"/>
  <c r="F120" i="34"/>
  <c r="B5391" i="106"/>
  <c r="D5391" i="106" s="1"/>
  <c r="D155" i="5"/>
  <c r="B5394" i="106" s="1"/>
  <c r="D5394" i="106" s="1"/>
  <c r="B5331" i="106"/>
  <c r="D5331" i="106" s="1"/>
  <c r="B7123" i="106"/>
  <c r="D7123" i="106" s="1"/>
  <c r="H330" i="29"/>
  <c r="B6300" i="106"/>
  <c r="D6300" i="106" s="1"/>
  <c r="B4215" i="106"/>
  <c r="D4215" i="106" s="1"/>
  <c r="I169" i="5"/>
  <c r="B6319" i="106"/>
  <c r="D6319" i="106" s="1"/>
  <c r="J108" i="5"/>
  <c r="B6351" i="106" s="1"/>
  <c r="D6351" i="106" s="1"/>
  <c r="B5349" i="106"/>
  <c r="D5349" i="106" s="1"/>
  <c r="D108" i="5"/>
  <c r="B5355" i="106" s="1"/>
  <c r="D5355" i="106" s="1"/>
  <c r="B5458" i="106"/>
  <c r="D5458" i="106" s="1"/>
  <c r="F31" i="34"/>
  <c r="D217" i="5"/>
  <c r="B5470" i="106" s="1"/>
  <c r="D5470" i="106" s="1"/>
  <c r="K308" i="29"/>
  <c r="B4100" i="106" s="1"/>
  <c r="D4100" i="106" s="1"/>
  <c r="B7110" i="106"/>
  <c r="D7110" i="106" s="1"/>
  <c r="B6876" i="106"/>
  <c r="D6876" i="106" s="1"/>
  <c r="K20" i="29"/>
  <c r="K12" i="29"/>
  <c r="B716" i="106"/>
  <c r="D716" i="106" s="1"/>
  <c r="B5315" i="106"/>
  <c r="D5315" i="106" s="1"/>
  <c r="F162" i="34"/>
  <c r="B4368" i="106"/>
  <c r="D4368" i="106" s="1"/>
  <c r="K175" i="5"/>
  <c r="K284" i="29"/>
  <c r="B4166" i="106" s="1"/>
  <c r="D4166" i="106" s="1"/>
  <c r="B4165" i="106"/>
  <c r="D4165" i="106" s="1"/>
  <c r="K227" i="29"/>
  <c r="B1466" i="106" s="1"/>
  <c r="D1466" i="106" s="1"/>
  <c r="B1402" i="106"/>
  <c r="D1402" i="106" s="1"/>
  <c r="B5519" i="106"/>
  <c r="D5519" i="106" s="1"/>
  <c r="B5368" i="106"/>
  <c r="D5368" i="106" s="1"/>
  <c r="D132" i="5"/>
  <c r="K329" i="29"/>
  <c r="B7705" i="106" s="1"/>
  <c r="D7705" i="106" s="1"/>
  <c r="B7697" i="106"/>
  <c r="D7697" i="106" s="1"/>
  <c r="B7145" i="106"/>
  <c r="D7145" i="106" s="1"/>
  <c r="K322" i="29"/>
  <c r="B7153" i="106" s="1"/>
  <c r="D7153" i="106" s="1"/>
  <c r="B5115" i="106"/>
  <c r="D5115" i="106" s="1"/>
  <c r="F102" i="34"/>
  <c r="L229" i="29"/>
  <c r="B179" i="106"/>
  <c r="D179" i="106" s="1"/>
  <c r="E310" i="29"/>
  <c r="B7114" i="106" s="1"/>
  <c r="D7114" i="106" s="1"/>
  <c r="K306" i="29"/>
  <c r="B7105" i="106"/>
  <c r="D7105" i="106" s="1"/>
  <c r="B1522" i="106"/>
  <c r="D1522" i="106" s="1"/>
  <c r="K302" i="29"/>
  <c r="B1558" i="106" s="1"/>
  <c r="D1558" i="106" s="1"/>
  <c r="B1519" i="106"/>
  <c r="D1519" i="106" s="1"/>
  <c r="K301" i="29"/>
  <c r="C303" i="29"/>
  <c r="B6371" i="106"/>
  <c r="D6371" i="106" s="1"/>
  <c r="H169" i="5"/>
  <c r="B5899" i="106" s="1"/>
  <c r="D5899" i="106" s="1"/>
  <c r="K107" i="29"/>
  <c r="B2795" i="106" s="1"/>
  <c r="D2795" i="106" s="1"/>
  <c r="B2791" i="106"/>
  <c r="D2791" i="106" s="1"/>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B6945" i="106"/>
  <c r="D6945" i="106" s="1"/>
  <c r="J57" i="29"/>
  <c r="B6949" i="106" s="1"/>
  <c r="D6949" i="106" s="1"/>
  <c r="B6927" i="106"/>
  <c r="D6927" i="106" s="1"/>
  <c r="J53" i="29"/>
  <c r="B6943" i="106" s="1"/>
  <c r="D6943" i="106" s="1"/>
  <c r="B6919" i="106"/>
  <c r="D6919" i="106" s="1"/>
  <c r="J47" i="29"/>
  <c r="B6925" i="106" s="1"/>
  <c r="D6925" i="106" s="1"/>
  <c r="B6905" i="106"/>
  <c r="D6905" i="106" s="1"/>
  <c r="J42" i="29"/>
  <c r="B6900" i="106"/>
  <c r="D6900" i="106" s="1"/>
  <c r="K32" i="29"/>
  <c r="B6884" i="106"/>
  <c r="D6884" i="106" s="1"/>
  <c r="K24" i="29"/>
  <c r="B4358" i="106"/>
  <c r="D4358" i="106" s="1"/>
  <c r="F168" i="34"/>
  <c r="B4351" i="106"/>
  <c r="D4351" i="106" s="1"/>
  <c r="F109" i="34"/>
  <c r="K356" i="29"/>
  <c r="K357" i="29" s="1"/>
  <c r="K15" i="4" s="1"/>
  <c r="B3573" i="106" s="1"/>
  <c r="D3573" i="106" s="1"/>
  <c r="H357" i="29"/>
  <c r="K351" i="29"/>
  <c r="B3671" i="106" s="1"/>
  <c r="D3671" i="106" s="1"/>
  <c r="B3620" i="106"/>
  <c r="D3620" i="106" s="1"/>
  <c r="K349" i="29"/>
  <c r="B3669" i="106" s="1"/>
  <c r="D3669" i="106" s="1"/>
  <c r="B3618" i="106"/>
  <c r="D3618" i="106" s="1"/>
  <c r="K348" i="29"/>
  <c r="B3617" i="106"/>
  <c r="D3617" i="106" s="1"/>
  <c r="C350" i="29"/>
  <c r="B5986" i="106"/>
  <c r="D5986" i="106" s="1"/>
  <c r="B3259" i="106"/>
  <c r="D3259" i="106" s="1"/>
  <c r="G76" i="4"/>
  <c r="B3260" i="106" s="1"/>
  <c r="D3260" i="106" s="1"/>
  <c r="K291" i="29"/>
  <c r="B2846" i="106" s="1"/>
  <c r="D2846" i="106" s="1"/>
  <c r="B2844" i="106"/>
  <c r="D2844" i="106" s="1"/>
  <c r="B1431" i="106"/>
  <c r="D1431" i="106" s="1"/>
  <c r="K266" i="29"/>
  <c r="B1495" i="106" s="1"/>
  <c r="D1495" i="106" s="1"/>
  <c r="K254" i="29"/>
  <c r="B7094" i="106" s="1"/>
  <c r="D7094" i="106" s="1"/>
  <c r="B7093" i="106"/>
  <c r="D7093" i="106" s="1"/>
  <c r="B1423" i="106"/>
  <c r="D1423" i="106" s="1"/>
  <c r="K246" i="29"/>
  <c r="B1487" i="106" s="1"/>
  <c r="D1487" i="106" s="1"/>
  <c r="B1413" i="106"/>
  <c r="D1413" i="106" s="1"/>
  <c r="K234" i="29"/>
  <c r="B1477" i="106" s="1"/>
  <c r="D1477" i="106" s="1"/>
  <c r="K223" i="29"/>
  <c r="B1472" i="106" s="1"/>
  <c r="D1472" i="106" s="1"/>
  <c r="B1408" i="106"/>
  <c r="D1408" i="106" s="1"/>
  <c r="K215" i="29"/>
  <c r="B3387" i="106"/>
  <c r="D3387" i="106" s="1"/>
  <c r="D229" i="29"/>
  <c r="B1410" i="106" s="1"/>
  <c r="D1410" i="106" s="1"/>
  <c r="B5844" i="106"/>
  <c r="D5844" i="106" s="1"/>
  <c r="G221" i="5"/>
  <c r="B5847" i="106" s="1"/>
  <c r="D5847" i="106" s="1"/>
  <c r="B6380" i="106"/>
  <c r="D6380" i="106" s="1"/>
  <c r="G155" i="5"/>
  <c r="B4357" i="106" s="1"/>
  <c r="D4357" i="106" s="1"/>
  <c r="B5742" i="106"/>
  <c r="D5742" i="106" s="1"/>
  <c r="G122" i="5"/>
  <c r="B5748" i="106" s="1"/>
  <c r="D5748" i="106" s="1"/>
  <c r="K205" i="29"/>
  <c r="B7068" i="106" s="1"/>
  <c r="D7068" i="106" s="1"/>
  <c r="B7067" i="106"/>
  <c r="D7067" i="106" s="1"/>
  <c r="B4084" i="106"/>
  <c r="D4084" i="106" s="1"/>
  <c r="B6617" i="106"/>
  <c r="D6617" i="106" s="1"/>
  <c r="F252" i="5"/>
  <c r="B6836" i="106" s="1"/>
  <c r="D6836" i="106" s="1"/>
  <c r="B4795" i="106"/>
  <c r="D4795" i="106" s="1"/>
  <c r="B5576" i="106"/>
  <c r="D5576" i="106" s="1"/>
  <c r="F25" i="34"/>
  <c r="B5570" i="106"/>
  <c r="D5570" i="106" s="1"/>
  <c r="F88" i="34"/>
  <c r="B5564" i="106"/>
  <c r="D5564" i="106" s="1"/>
  <c r="F18" i="34"/>
  <c r="B5556" i="106"/>
  <c r="D5556" i="106" s="1"/>
  <c r="B7750" i="106"/>
  <c r="D7750" i="106" s="1"/>
  <c r="B1311" i="106"/>
  <c r="D1311" i="106" s="1"/>
  <c r="K164" i="29"/>
  <c r="B1325" i="106" s="1"/>
  <c r="D1325" i="106" s="1"/>
  <c r="B4364" i="106"/>
  <c r="D4364" i="106" s="1"/>
  <c r="E175" i="5"/>
  <c r="B5514" i="106"/>
  <c r="D5514" i="106" s="1"/>
  <c r="E18" i="5"/>
  <c r="B5518" i="106" s="1"/>
  <c r="D5518" i="106" s="1"/>
  <c r="K148" i="29"/>
  <c r="B7050" i="106" s="1"/>
  <c r="D7050" i="106" s="1"/>
  <c r="B7049" i="106"/>
  <c r="D7049" i="106" s="1"/>
  <c r="K136" i="29"/>
  <c r="B2988" i="106" s="1"/>
  <c r="D2988" i="106" s="1"/>
  <c r="B4201" i="106"/>
  <c r="D4201" i="106" s="1"/>
  <c r="I127" i="29"/>
  <c r="B7033" i="106" s="1"/>
  <c r="D7033" i="106" s="1"/>
  <c r="B7024" i="106"/>
  <c r="D7024" i="106" s="1"/>
  <c r="B7022" i="106"/>
  <c r="D7022" i="106" s="1"/>
  <c r="B5440" i="106"/>
  <c r="D5440" i="106" s="1"/>
  <c r="D209" i="5"/>
  <c r="B4412" i="106" s="1"/>
  <c r="D4412" i="106" s="1"/>
  <c r="B5426" i="106"/>
  <c r="D5426" i="106" s="1"/>
  <c r="D188" i="5"/>
  <c r="B4313" i="106"/>
  <c r="D4313" i="106" s="1"/>
  <c r="F30" i="34"/>
  <c r="B5361" i="106"/>
  <c r="D5361" i="106" s="1"/>
  <c r="D122" i="5"/>
  <c r="B5343" i="106"/>
  <c r="D5343" i="106" s="1"/>
  <c r="D82" i="5"/>
  <c r="B5348" i="106" s="1"/>
  <c r="D5348" i="106" s="1"/>
  <c r="B7122" i="106"/>
  <c r="D7122" i="106" s="1"/>
  <c r="G330" i="29"/>
  <c r="B5107" i="106"/>
  <c r="D5107" i="106" s="1"/>
  <c r="F98" i="34"/>
  <c r="B5927" i="106"/>
  <c r="D5927" i="106" s="1"/>
  <c r="I108" i="5"/>
  <c r="B5930" i="106" s="1"/>
  <c r="D5930" i="106" s="1"/>
  <c r="B5691" i="106"/>
  <c r="D5691" i="106" s="1"/>
  <c r="F217" i="5"/>
  <c r="B5703" i="106" s="1"/>
  <c r="D5703" i="106" s="1"/>
  <c r="F159" i="34"/>
  <c r="B7765" i="106"/>
  <c r="D7765" i="106" s="1"/>
  <c r="L194" i="29"/>
  <c r="L196" i="29" s="1"/>
  <c r="B1543" i="106"/>
  <c r="D1543" i="106" s="1"/>
  <c r="G303" i="29"/>
  <c r="B6619" i="106"/>
  <c r="D6619" i="106" s="1"/>
  <c r="H252" i="5"/>
  <c r="K17" i="29"/>
  <c r="B6871" i="106" s="1"/>
  <c r="D6871" i="106" s="1"/>
  <c r="B7263" i="106"/>
  <c r="D7263" i="106" s="1"/>
  <c r="B3055" i="106"/>
  <c r="D3055" i="106" s="1"/>
  <c r="K10" i="29"/>
  <c r="B3062" i="106" s="1"/>
  <c r="D3062" i="106" s="1"/>
  <c r="B6031" i="106"/>
  <c r="D6031" i="106" s="1"/>
  <c r="D3583" i="106"/>
  <c r="B3635" i="106"/>
  <c r="D3635" i="106" s="1"/>
  <c r="G350" i="29"/>
  <c r="B3645" i="106"/>
  <c r="D3645" i="106" s="1"/>
  <c r="K260" i="29"/>
  <c r="B1490" i="106" s="1"/>
  <c r="D1490" i="106" s="1"/>
  <c r="B1426" i="106"/>
  <c r="D1426" i="106" s="1"/>
  <c r="B1269" i="106"/>
  <c r="D1269" i="106" s="1"/>
  <c r="K143" i="29"/>
  <c r="B1284" i="106" s="1"/>
  <c r="D1284" i="106" s="1"/>
  <c r="B1236" i="106"/>
  <c r="D1236" i="106" s="1"/>
  <c r="K324" i="29"/>
  <c r="B7171" i="106" s="1"/>
  <c r="D7171" i="106" s="1"/>
  <c r="B7163" i="106"/>
  <c r="D7163" i="106" s="1"/>
  <c r="L168" i="29"/>
  <c r="L172" i="29" s="1"/>
  <c r="L174" i="29" s="1"/>
  <c r="L243" i="29"/>
  <c r="L270" i="29"/>
  <c r="C34" i="3"/>
  <c r="B6125" i="106"/>
  <c r="D6125" i="106" s="1"/>
  <c r="B6117" i="106"/>
  <c r="D6117" i="106" s="1"/>
  <c r="L65" i="29"/>
  <c r="B6941" i="106"/>
  <c r="D6941" i="106" s="1"/>
  <c r="J303" i="29"/>
  <c r="B7100" i="106"/>
  <c r="D7100" i="106" s="1"/>
  <c r="B4365" i="106"/>
  <c r="D4365" i="106" s="1"/>
  <c r="H175" i="5"/>
  <c r="B7043" i="106"/>
  <c r="D7043" i="106" s="1"/>
  <c r="C76" i="4"/>
  <c r="B3231" i="106" s="1"/>
  <c r="D3231" i="106" s="1"/>
  <c r="B5022" i="106"/>
  <c r="D5022" i="106" s="1"/>
  <c r="B5012" i="106"/>
  <c r="D5012" i="106" s="1"/>
  <c r="D71" i="36"/>
  <c r="K106" i="29"/>
  <c r="B1147" i="106" s="1"/>
  <c r="D1147" i="106" s="1"/>
  <c r="B1049" i="106"/>
  <c r="D1049" i="106" s="1"/>
  <c r="K96" i="29"/>
  <c r="B7003" i="106" s="1"/>
  <c r="D7003" i="106" s="1"/>
  <c r="B7002" i="106"/>
  <c r="D7002" i="106" s="1"/>
  <c r="B6985" i="106"/>
  <c r="D6985" i="106" s="1"/>
  <c r="K87" i="29"/>
  <c r="B6986" i="106" s="1"/>
  <c r="D6986" i="106" s="1"/>
  <c r="K81" i="29"/>
  <c r="B2976" i="106" s="1"/>
  <c r="D2976" i="106" s="1"/>
  <c r="B2952" i="106"/>
  <c r="D2952" i="106" s="1"/>
  <c r="B6963" i="106"/>
  <c r="D6963" i="106" s="1"/>
  <c r="I72" i="29"/>
  <c r="B6973" i="106" s="1"/>
  <c r="D6973" i="106" s="1"/>
  <c r="B6950" i="106"/>
  <c r="D6950" i="106" s="1"/>
  <c r="I65" i="29"/>
  <c r="B6961" i="106" s="1"/>
  <c r="D6961" i="106" s="1"/>
  <c r="I57" i="29"/>
  <c r="B6948" i="106" s="1"/>
  <c r="D6948" i="106" s="1"/>
  <c r="B6944" i="106"/>
  <c r="D6944" i="106" s="1"/>
  <c r="B6926" i="106"/>
  <c r="D6926" i="106" s="1"/>
  <c r="I53" i="29"/>
  <c r="B6942" i="106" s="1"/>
  <c r="D6942" i="106" s="1"/>
  <c r="B6918" i="106"/>
  <c r="D6918" i="106" s="1"/>
  <c r="I47" i="29"/>
  <c r="B6924" i="106" s="1"/>
  <c r="D6924" i="106" s="1"/>
  <c r="I42" i="29"/>
  <c r="B6904" i="106"/>
  <c r="D6904" i="106" s="1"/>
  <c r="B6898" i="106"/>
  <c r="D6898" i="106" s="1"/>
  <c r="K31" i="29"/>
  <c r="K23" i="29"/>
  <c r="B6882" i="106"/>
  <c r="D6882" i="106" s="1"/>
  <c r="B879" i="106"/>
  <c r="D879" i="106" s="1"/>
  <c r="F33" i="29"/>
  <c r="B6817" i="106"/>
  <c r="D6817" i="106" s="1"/>
  <c r="F155" i="34"/>
  <c r="B6753" i="106"/>
  <c r="D6753" i="106" s="1"/>
  <c r="F147" i="34"/>
  <c r="B5065" i="106"/>
  <c r="D5065" i="106" s="1"/>
  <c r="B7227" i="106"/>
  <c r="D7227" i="106" s="1"/>
  <c r="J350" i="29"/>
  <c r="B4868" i="106"/>
  <c r="D4868" i="106" s="1"/>
  <c r="K266" i="5"/>
  <c r="B4442" i="106" s="1"/>
  <c r="D4442" i="106" s="1"/>
  <c r="B5993" i="106"/>
  <c r="D5993" i="106" s="1"/>
  <c r="K290" i="29"/>
  <c r="B2845" i="106" s="1"/>
  <c r="D2845" i="106" s="1"/>
  <c r="B2843" i="106"/>
  <c r="D2843" i="106" s="1"/>
  <c r="B1440" i="106"/>
  <c r="D1440" i="106" s="1"/>
  <c r="K275" i="29"/>
  <c r="B1504" i="106" s="1"/>
  <c r="D1504" i="106" s="1"/>
  <c r="B1430" i="106"/>
  <c r="D1430" i="106" s="1"/>
  <c r="K265" i="29"/>
  <c r="B1494" i="106" s="1"/>
  <c r="D1494" i="106" s="1"/>
  <c r="K253" i="29"/>
  <c r="B7092" i="106" s="1"/>
  <c r="D7092" i="106" s="1"/>
  <c r="B7091" i="106"/>
  <c r="D7091" i="106" s="1"/>
  <c r="B1422" i="106"/>
  <c r="D1422" i="106" s="1"/>
  <c r="D257" i="29"/>
  <c r="B1424" i="106" s="1"/>
  <c r="D1424" i="106" s="1"/>
  <c r="K245" i="29"/>
  <c r="B1412" i="106"/>
  <c r="D1412" i="106" s="1"/>
  <c r="K233" i="29"/>
  <c r="B1476" i="106" s="1"/>
  <c r="D1476" i="106" s="1"/>
  <c r="K222" i="29"/>
  <c r="B1471" i="106" s="1"/>
  <c r="D1471" i="106" s="1"/>
  <c r="B1407" i="106"/>
  <c r="D1407" i="106" s="1"/>
  <c r="B5726" i="106"/>
  <c r="D5726" i="106" s="1"/>
  <c r="G18" i="5"/>
  <c r="B5730" i="106" s="1"/>
  <c r="D5730" i="106" s="1"/>
  <c r="B1373" i="106"/>
  <c r="D1373" i="106" s="1"/>
  <c r="K203" i="29"/>
  <c r="B1385" i="106" s="1"/>
  <c r="D1385" i="106" s="1"/>
  <c r="K193" i="29"/>
  <c r="B3012" i="106" s="1"/>
  <c r="D3012" i="106" s="1"/>
  <c r="B2994" i="106"/>
  <c r="D2994" i="106" s="1"/>
  <c r="K189" i="29"/>
  <c r="B3008" i="106" s="1"/>
  <c r="D3008" i="106" s="1"/>
  <c r="B2990" i="106"/>
  <c r="D2990" i="106" s="1"/>
  <c r="E184" i="29"/>
  <c r="B4083" i="106"/>
  <c r="D4083" i="106" s="1"/>
  <c r="B7764" i="106"/>
  <c r="D7764" i="106" s="1"/>
  <c r="F93" i="34"/>
  <c r="B6313" i="106"/>
  <c r="D6313" i="106" s="1"/>
  <c r="F22" i="34"/>
  <c r="B5563" i="106"/>
  <c r="D5563" i="106" s="1"/>
  <c r="F63" i="5"/>
  <c r="B5579" i="106" s="1"/>
  <c r="D5579" i="106" s="1"/>
  <c r="F84" i="34"/>
  <c r="B1310" i="106"/>
  <c r="D1310" i="106" s="1"/>
  <c r="K163" i="29"/>
  <c r="H168" i="29"/>
  <c r="B5528" i="106"/>
  <c r="D5528" i="106" s="1"/>
  <c r="E122" i="5"/>
  <c r="B5509" i="106"/>
  <c r="D5509" i="106" s="1"/>
  <c r="B6" i="7"/>
  <c r="B1270" i="106"/>
  <c r="D1270" i="106" s="1"/>
  <c r="K146" i="29"/>
  <c r="B1285" i="106" s="1"/>
  <c r="D1285" i="106" s="1"/>
  <c r="B1260" i="106"/>
  <c r="D1260" i="106" s="1"/>
  <c r="H127" i="29"/>
  <c r="B1264" i="106" s="1"/>
  <c r="D1264" i="106" s="1"/>
  <c r="B4079" i="106"/>
  <c r="D4079" i="106" s="1"/>
  <c r="F29" i="34"/>
  <c r="B5387" i="106"/>
  <c r="D5387" i="106" s="1"/>
  <c r="B5333" i="106"/>
  <c r="D5333" i="106" s="1"/>
  <c r="J76" i="4"/>
  <c r="B6261" i="106" s="1"/>
  <c r="D6261" i="106" s="1"/>
  <c r="B6239" i="106"/>
  <c r="D6239" i="106" s="1"/>
  <c r="J44" i="4"/>
  <c r="B7754" i="106"/>
  <c r="D7754" i="106" s="1"/>
  <c r="B7121" i="106"/>
  <c r="D7121" i="106" s="1"/>
  <c r="F330" i="29"/>
  <c r="B6373" i="106"/>
  <c r="D6373" i="106" s="1"/>
  <c r="J169" i="5"/>
  <c r="B6396" i="106" s="1"/>
  <c r="D6396" i="106" s="1"/>
  <c r="B5917" i="106"/>
  <c r="D5917" i="106" s="1"/>
  <c r="B5882" i="106"/>
  <c r="D5882" i="106" s="1"/>
  <c r="H108" i="5"/>
  <c r="B5886" i="106" s="1"/>
  <c r="D5886" i="106" s="1"/>
  <c r="B6402" i="106"/>
  <c r="D6402" i="106" s="1"/>
  <c r="G198" i="5"/>
  <c r="B6409" i="106" s="1"/>
  <c r="D6409" i="106" s="1"/>
  <c r="B5817" i="106"/>
  <c r="D5817" i="106" s="1"/>
  <c r="G217" i="5"/>
  <c r="B5829" i="106" s="1"/>
  <c r="D5829" i="106" s="1"/>
  <c r="B5887" i="106"/>
  <c r="D5887" i="106" s="1"/>
  <c r="H122" i="5"/>
  <c r="F72" i="29"/>
  <c r="B927" i="106" s="1"/>
  <c r="D927" i="106" s="1"/>
  <c r="B920" i="106"/>
  <c r="D920" i="106" s="1"/>
  <c r="F65" i="29"/>
  <c r="B919" i="106" s="1"/>
  <c r="D919" i="106" s="1"/>
  <c r="B912" i="106"/>
  <c r="D912" i="106" s="1"/>
  <c r="B895" i="106"/>
  <c r="D895" i="106" s="1"/>
  <c r="F42" i="29"/>
  <c r="K16" i="29"/>
  <c r="B1094" i="106" s="1"/>
  <c r="D1094" i="106" s="1"/>
  <c r="B706" i="106"/>
  <c r="D706" i="106" s="1"/>
  <c r="B6727" i="106"/>
  <c r="D6727" i="106" s="1"/>
  <c r="K7" i="29"/>
  <c r="B5064" i="106"/>
  <c r="D5064" i="106" s="1"/>
  <c r="B17" i="7"/>
  <c r="B5580" i="106"/>
  <c r="D5580" i="106" s="1"/>
  <c r="K169" i="29"/>
  <c r="B1326" i="106" s="1"/>
  <c r="D1326" i="106" s="1"/>
  <c r="B1312" i="106"/>
  <c r="D1312" i="106" s="1"/>
  <c r="K128" i="29"/>
  <c r="B1280" i="106" s="1"/>
  <c r="D1280" i="106" s="1"/>
  <c r="B1224" i="106"/>
  <c r="D1224" i="106" s="1"/>
  <c r="B4076" i="106"/>
  <c r="D4076" i="106" s="1"/>
  <c r="B7208" i="106"/>
  <c r="D7208" i="106" s="1"/>
  <c r="K337" i="29"/>
  <c r="H340" i="29"/>
  <c r="B7214" i="106" s="1"/>
  <c r="D7214" i="106" s="1"/>
  <c r="B5916" i="106"/>
  <c r="D5916" i="106" s="1"/>
  <c r="B10" i="7"/>
  <c r="L137" i="29"/>
  <c r="L139" i="29" s="1"/>
  <c r="L330" i="29"/>
  <c r="L342" i="29" s="1"/>
  <c r="L293" i="29"/>
  <c r="E13" i="3"/>
  <c r="B3417" i="106"/>
  <c r="D3417" i="106" s="1"/>
  <c r="D36" i="36"/>
  <c r="B3419" i="106"/>
  <c r="D3419" i="106" s="1"/>
  <c r="D37" i="36"/>
  <c r="L110" i="29"/>
  <c r="L112" i="29" s="1"/>
  <c r="K309" i="29"/>
  <c r="B3717" i="106" s="1"/>
  <c r="D3717" i="106" s="1"/>
  <c r="B7112" i="106"/>
  <c r="D7112" i="106" s="1"/>
  <c r="B7099" i="106"/>
  <c r="D7099" i="106" s="1"/>
  <c r="I303" i="29"/>
  <c r="B321" i="106"/>
  <c r="D321" i="106" s="1"/>
  <c r="I48" i="4"/>
  <c r="B2106" i="106" s="1"/>
  <c r="D2106" i="106" s="1"/>
  <c r="H110" i="29"/>
  <c r="K105" i="29"/>
  <c r="B1048" i="106"/>
  <c r="D1048" i="106" s="1"/>
  <c r="K95" i="29"/>
  <c r="B7001" i="106" s="1"/>
  <c r="D7001" i="106" s="1"/>
  <c r="B7000" i="106"/>
  <c r="D7000" i="106" s="1"/>
  <c r="K86" i="29"/>
  <c r="B6984" i="106" s="1"/>
  <c r="D6984" i="106" s="1"/>
  <c r="B6983" i="106"/>
  <c r="D6983" i="106" s="1"/>
  <c r="B1033" i="106"/>
  <c r="D1033" i="106" s="1"/>
  <c r="B1031" i="106"/>
  <c r="D1031" i="106" s="1"/>
  <c r="B1025" i="106"/>
  <c r="D1025" i="106" s="1"/>
  <c r="H57" i="29"/>
  <c r="B1027" i="106" s="1"/>
  <c r="D1027" i="106" s="1"/>
  <c r="B1022" i="106"/>
  <c r="D1022" i="106" s="1"/>
  <c r="H53" i="29"/>
  <c r="B1024" i="106" s="1"/>
  <c r="D1024" i="106" s="1"/>
  <c r="H47" i="29"/>
  <c r="B1021" i="106" s="1"/>
  <c r="D1021" i="106" s="1"/>
  <c r="B1018" i="106"/>
  <c r="D1018" i="106" s="1"/>
  <c r="H42" i="29"/>
  <c r="B1011" i="106"/>
  <c r="D1011" i="106" s="1"/>
  <c r="K30" i="29"/>
  <c r="B6896" i="106"/>
  <c r="D6896" i="106" s="1"/>
  <c r="K22" i="29"/>
  <c r="B6880" i="106"/>
  <c r="D6880" i="106" s="1"/>
  <c r="B7253" i="106"/>
  <c r="D7253" i="106" s="1"/>
  <c r="B821" i="106"/>
  <c r="D821" i="106" s="1"/>
  <c r="B6809" i="106"/>
  <c r="D6809" i="106" s="1"/>
  <c r="F154" i="34"/>
  <c r="B5072" i="106"/>
  <c r="D5072" i="106" s="1"/>
  <c r="C40" i="5"/>
  <c r="B5087" i="106" s="1"/>
  <c r="D5087" i="106" s="1"/>
  <c r="B5026" i="106"/>
  <c r="D5026" i="106" s="1"/>
  <c r="B13" i="7"/>
  <c r="B7226" i="106"/>
  <c r="D7226" i="106" s="1"/>
  <c r="I350" i="29"/>
  <c r="B4816" i="106"/>
  <c r="D4816" i="106" s="1"/>
  <c r="K181" i="5"/>
  <c r="B6016" i="106" s="1"/>
  <c r="D6016" i="106" s="1"/>
  <c r="B6374" i="106"/>
  <c r="D6374" i="106" s="1"/>
  <c r="K169" i="5"/>
  <c r="B5000" i="106" s="1"/>
  <c r="D5000" i="106" s="1"/>
  <c r="B1450" i="106"/>
  <c r="D1450" i="106" s="1"/>
  <c r="K289" i="29"/>
  <c r="B1513" i="106" s="1"/>
  <c r="D1513" i="106" s="1"/>
  <c r="B1439" i="106"/>
  <c r="D1439" i="106" s="1"/>
  <c r="K274" i="29"/>
  <c r="B1503" i="106" s="1"/>
  <c r="D1503" i="106" s="1"/>
  <c r="B1429" i="106"/>
  <c r="D1429" i="106" s="1"/>
  <c r="K264" i="29"/>
  <c r="B1493" i="106" s="1"/>
  <c r="D1493" i="106" s="1"/>
  <c r="K252" i="29"/>
  <c r="B7090" i="106" s="1"/>
  <c r="D7090" i="106" s="1"/>
  <c r="B7089" i="106"/>
  <c r="D7089" i="106" s="1"/>
  <c r="B1420" i="106"/>
  <c r="D1420" i="106" s="1"/>
  <c r="K242" i="29"/>
  <c r="B1484" i="106" s="1"/>
  <c r="D1484" i="106" s="1"/>
  <c r="K232" i="29"/>
  <c r="B1411" i="106"/>
  <c r="D1411" i="106" s="1"/>
  <c r="D238" i="29"/>
  <c r="B1406" i="106"/>
  <c r="D1406" i="106" s="1"/>
  <c r="K221" i="29"/>
  <c r="B2832" i="106"/>
  <c r="D2832" i="106" s="1"/>
  <c r="K202" i="29"/>
  <c r="B2842" i="106" s="1"/>
  <c r="D2842" i="106" s="1"/>
  <c r="H194" i="29"/>
  <c r="B2995" i="106"/>
  <c r="D2995" i="106" s="1"/>
  <c r="D184" i="29"/>
  <c r="B4082" i="106"/>
  <c r="D4082" i="106" s="1"/>
  <c r="B5615" i="106"/>
  <c r="D5615" i="106" s="1"/>
  <c r="F155" i="5"/>
  <c r="B5618" i="106" s="1"/>
  <c r="D5618" i="106" s="1"/>
  <c r="B5589" i="106"/>
  <c r="D5589" i="106" s="1"/>
  <c r="F114" i="5"/>
  <c r="F92" i="34"/>
  <c r="B5575" i="106"/>
  <c r="D5575" i="106" s="1"/>
  <c r="B5569" i="106"/>
  <c r="D5569" i="106" s="1"/>
  <c r="F21" i="34"/>
  <c r="E76" i="4"/>
  <c r="B3276" i="106" s="1"/>
  <c r="D3276" i="106" s="1"/>
  <c r="B2817" i="106"/>
  <c r="D2817" i="106" s="1"/>
  <c r="B1307" i="106"/>
  <c r="D1307" i="106" s="1"/>
  <c r="E172" i="29"/>
  <c r="K171" i="29"/>
  <c r="B1330" i="106" s="1"/>
  <c r="D1330" i="106" s="1"/>
  <c r="H160" i="29"/>
  <c r="B7777" i="106"/>
  <c r="D7777" i="106" s="1"/>
  <c r="K157" i="29"/>
  <c r="B3698" i="106"/>
  <c r="D3698" i="106" s="1"/>
  <c r="K52" i="4"/>
  <c r="B2808" i="106"/>
  <c r="D2808" i="106" s="1"/>
  <c r="K145" i="29"/>
  <c r="B2811" i="106" s="1"/>
  <c r="D2811" i="106" s="1"/>
  <c r="K135" i="29"/>
  <c r="B2987" i="106" s="1"/>
  <c r="D2987" i="106" s="1"/>
  <c r="B4200" i="106"/>
  <c r="D4200" i="106" s="1"/>
  <c r="B1251" i="106"/>
  <c r="D1251" i="106" s="1"/>
  <c r="G127" i="29"/>
  <c r="B1256" i="106" s="1"/>
  <c r="D1256" i="106" s="1"/>
  <c r="B4078" i="106"/>
  <c r="D4078" i="106" s="1"/>
  <c r="B6615" i="106"/>
  <c r="D6615" i="106" s="1"/>
  <c r="D252" i="5"/>
  <c r="B6834" i="106" s="1"/>
  <c r="D6834" i="106" s="1"/>
  <c r="B5370" i="106"/>
  <c r="D5370" i="106" s="1"/>
  <c r="D141" i="5"/>
  <c r="B5383" i="106" s="1"/>
  <c r="D5383" i="106" s="1"/>
  <c r="B5340" i="106"/>
  <c r="D5340" i="106" s="1"/>
  <c r="B7212" i="106"/>
  <c r="D7212" i="106" s="1"/>
  <c r="K339" i="29"/>
  <c r="B7213" i="106" s="1"/>
  <c r="D7213" i="106" s="1"/>
  <c r="B7120" i="106"/>
  <c r="D7120" i="106" s="1"/>
  <c r="E330" i="29"/>
  <c r="B5924" i="106"/>
  <c r="D5924" i="106" s="1"/>
  <c r="B5734" i="106"/>
  <c r="D5734" i="106" s="1"/>
  <c r="G108" i="5"/>
  <c r="B5737" i="106" s="1"/>
  <c r="D5737" i="106" s="1"/>
  <c r="B4340" i="106"/>
  <c r="D4340" i="106" s="1"/>
  <c r="F131" i="34"/>
  <c r="B5279" i="106"/>
  <c r="D5279" i="106" s="1"/>
  <c r="F129" i="34"/>
  <c r="K93" i="29"/>
  <c r="H100" i="29"/>
  <c r="B7012" i="106" s="1"/>
  <c r="D7012" i="106" s="1"/>
  <c r="B6996" i="106"/>
  <c r="D6996" i="106" s="1"/>
  <c r="K19" i="29"/>
  <c r="B3381" i="106" s="1"/>
  <c r="D3381" i="106" s="1"/>
  <c r="B3367" i="106"/>
  <c r="D3367" i="106" s="1"/>
  <c r="B717" i="106"/>
  <c r="D717" i="106" s="1"/>
  <c r="K13" i="29"/>
  <c r="B1105" i="106" s="1"/>
  <c r="D1105" i="106" s="1"/>
  <c r="B705" i="106"/>
  <c r="D705" i="106" s="1"/>
  <c r="C33" i="29"/>
  <c r="K44" i="4"/>
  <c r="B7755" i="106"/>
  <c r="D7755" i="106" s="1"/>
  <c r="D243" i="29"/>
  <c r="B1421" i="106" s="1"/>
  <c r="D1421" i="106" s="1"/>
  <c r="K240" i="29"/>
  <c r="B1418" i="106"/>
  <c r="D1418" i="106" s="1"/>
  <c r="K219" i="29"/>
  <c r="B3065" i="106" s="1"/>
  <c r="D3065" i="106" s="1"/>
  <c r="B3064" i="106"/>
  <c r="D3064" i="106" s="1"/>
  <c r="B5749" i="106"/>
  <c r="D5749" i="106" s="1"/>
  <c r="G141" i="5"/>
  <c r="B5567" i="106"/>
  <c r="D5567" i="106" s="1"/>
  <c r="F19" i="34"/>
  <c r="K130" i="29"/>
  <c r="B2797" i="106"/>
  <c r="D2797" i="106" s="1"/>
  <c r="B15" i="7"/>
  <c r="B5332" i="106"/>
  <c r="D5332" i="106" s="1"/>
  <c r="B7172" i="106"/>
  <c r="D7172" i="106" s="1"/>
  <c r="K325" i="29"/>
  <c r="B7180" i="106" s="1"/>
  <c r="D7180" i="106" s="1"/>
  <c r="K320" i="29"/>
  <c r="B7135" i="106" s="1"/>
  <c r="D7135" i="106" s="1"/>
  <c r="B7127" i="106"/>
  <c r="D7127" i="106" s="1"/>
  <c r="B2772" i="106"/>
  <c r="D2772" i="106" s="1"/>
  <c r="I44" i="4"/>
  <c r="B5522" i="106"/>
  <c r="D5522" i="106" s="1"/>
  <c r="E108" i="5"/>
  <c r="B5526" i="106" s="1"/>
  <c r="D5526" i="106" s="1"/>
  <c r="B280" i="106"/>
  <c r="D280" i="106" s="1"/>
  <c r="M41" i="3"/>
  <c r="L238" i="29"/>
  <c r="L362" i="29"/>
  <c r="L365" i="29" s="1"/>
  <c r="I34" i="3"/>
  <c r="B6139" i="106"/>
  <c r="D6139" i="106" s="1"/>
  <c r="B6131" i="106"/>
  <c r="D6131" i="106" s="1"/>
  <c r="J34" i="3"/>
  <c r="H303" i="29"/>
  <c r="B1549" i="106"/>
  <c r="D1549" i="106" s="1"/>
  <c r="B5874" i="106"/>
  <c r="D5874" i="106" s="1"/>
  <c r="H18" i="5"/>
  <c r="B5878" i="106" s="1"/>
  <c r="D5878" i="106" s="1"/>
  <c r="E40" i="4"/>
  <c r="B6288" i="106" s="1"/>
  <c r="D6288" i="106" s="1"/>
  <c r="B6248" i="106"/>
  <c r="D6248" i="106" s="1"/>
  <c r="E38" i="4"/>
  <c r="B6286" i="106" s="1"/>
  <c r="D6286" i="106" s="1"/>
  <c r="B6243" i="106"/>
  <c r="D6243" i="106" s="1"/>
  <c r="D73" i="36"/>
  <c r="B6290" i="106"/>
  <c r="D6290" i="106" s="1"/>
  <c r="I47" i="4"/>
  <c r="B7748" i="106"/>
  <c r="D7748" i="106" s="1"/>
  <c r="K94" i="29"/>
  <c r="B6999" i="106" s="1"/>
  <c r="D6999" i="106" s="1"/>
  <c r="B6998" i="106"/>
  <c r="D6998" i="106" s="1"/>
  <c r="H92" i="29"/>
  <c r="B6981" i="106"/>
  <c r="D6981" i="106" s="1"/>
  <c r="K85" i="29"/>
  <c r="B6982" i="106" s="1"/>
  <c r="D6982" i="106" s="1"/>
  <c r="K80" i="29"/>
  <c r="B2975" i="106" s="1"/>
  <c r="D2975" i="106" s="1"/>
  <c r="B2951" i="106"/>
  <c r="D2951" i="106" s="1"/>
  <c r="B988" i="106"/>
  <c r="D988" i="106" s="1"/>
  <c r="B983" i="106"/>
  <c r="D983" i="106" s="1"/>
  <c r="B978" i="106"/>
  <c r="D978" i="106" s="1"/>
  <c r="G65" i="29"/>
  <c r="B977" i="106" s="1"/>
  <c r="D977" i="106" s="1"/>
  <c r="B970" i="106"/>
  <c r="D970" i="106" s="1"/>
  <c r="G57" i="29"/>
  <c r="B969" i="106" s="1"/>
  <c r="D969" i="106" s="1"/>
  <c r="B967" i="106"/>
  <c r="D967" i="106" s="1"/>
  <c r="B6936" i="106"/>
  <c r="D6936" i="106" s="1"/>
  <c r="B964" i="106"/>
  <c r="D964" i="106" s="1"/>
  <c r="G47" i="29"/>
  <c r="B963" i="106" s="1"/>
  <c r="D963" i="106" s="1"/>
  <c r="B960" i="106"/>
  <c r="D960" i="106" s="1"/>
  <c r="B957" i="106"/>
  <c r="D957" i="106" s="1"/>
  <c r="B953" i="106"/>
  <c r="D953" i="106" s="1"/>
  <c r="B6894" i="106"/>
  <c r="D6894" i="106" s="1"/>
  <c r="K29" i="29"/>
  <c r="B6878" i="106"/>
  <c r="D6878" i="106" s="1"/>
  <c r="K21" i="29"/>
  <c r="B7258" i="106"/>
  <c r="D7258" i="106" s="1"/>
  <c r="B7252" i="106"/>
  <c r="D7252" i="106" s="1"/>
  <c r="B763" i="106"/>
  <c r="D763" i="106" s="1"/>
  <c r="B6622" i="106"/>
  <c r="D6622" i="106" s="1"/>
  <c r="F133" i="34"/>
  <c r="B5163" i="106"/>
  <c r="D5163" i="106" s="1"/>
  <c r="B3652" i="106"/>
  <c r="D3652" i="106" s="1"/>
  <c r="H350" i="29"/>
  <c r="B1449" i="106"/>
  <c r="D1449" i="106" s="1"/>
  <c r="K288" i="29"/>
  <c r="H293" i="29"/>
  <c r="B1438" i="106"/>
  <c r="D1438" i="106" s="1"/>
  <c r="K273" i="29"/>
  <c r="B1502" i="106" s="1"/>
  <c r="D1502" i="106" s="1"/>
  <c r="B1428" i="106"/>
  <c r="D1428" i="106" s="1"/>
  <c r="D270" i="29"/>
  <c r="B1436" i="106" s="1"/>
  <c r="D1436" i="106" s="1"/>
  <c r="K263" i="29"/>
  <c r="K251" i="29"/>
  <c r="B7088" i="106" s="1"/>
  <c r="D7088" i="106" s="1"/>
  <c r="B7087" i="106"/>
  <c r="D7087" i="106" s="1"/>
  <c r="K241" i="29"/>
  <c r="B1483" i="106" s="1"/>
  <c r="D1483" i="106" s="1"/>
  <c r="B1419" i="106"/>
  <c r="D1419" i="106" s="1"/>
  <c r="K228" i="29"/>
  <c r="B3392" i="106" s="1"/>
  <c r="D3392" i="106" s="1"/>
  <c r="B3389" i="106"/>
  <c r="D3389" i="106" s="1"/>
  <c r="K220" i="29"/>
  <c r="B7077" i="106"/>
  <c r="D7077" i="106" s="1"/>
  <c r="B5799" i="106"/>
  <c r="D5799" i="106" s="1"/>
  <c r="G209" i="5"/>
  <c r="B4414" i="106" s="1"/>
  <c r="D4414" i="106" s="1"/>
  <c r="B5785" i="106"/>
  <c r="D5785" i="106" s="1"/>
  <c r="G188" i="5"/>
  <c r="B5738" i="106"/>
  <c r="D5738" i="106" s="1"/>
  <c r="G114" i="5"/>
  <c r="B5024" i="106"/>
  <c r="D5024" i="106" s="1"/>
  <c r="K201" i="29"/>
  <c r="B2841" i="106" s="1"/>
  <c r="D2841" i="106" s="1"/>
  <c r="B2831" i="106"/>
  <c r="D2831" i="106" s="1"/>
  <c r="B2993" i="106"/>
  <c r="D2993" i="106" s="1"/>
  <c r="K192" i="29"/>
  <c r="B3011" i="106" s="1"/>
  <c r="D3011" i="106" s="1"/>
  <c r="K188" i="29"/>
  <c r="E194" i="29"/>
  <c r="B2989" i="106"/>
  <c r="D2989" i="106" s="1"/>
  <c r="K185" i="29"/>
  <c r="B2820" i="106"/>
  <c r="D2820" i="106" s="1"/>
  <c r="K183" i="29"/>
  <c r="B1380" i="106" s="1"/>
  <c r="D1380" i="106" s="1"/>
  <c r="B1338" i="106"/>
  <c r="D1338" i="106" s="1"/>
  <c r="B1335" i="106"/>
  <c r="D1335" i="106" s="1"/>
  <c r="B5673" i="106"/>
  <c r="D5673" i="106" s="1"/>
  <c r="F209" i="5"/>
  <c r="B4413" i="106" s="1"/>
  <c r="D4413" i="106" s="1"/>
  <c r="F188" i="5"/>
  <c r="B5659" i="106"/>
  <c r="D5659" i="106" s="1"/>
  <c r="B5600" i="106"/>
  <c r="D5600" i="106" s="1"/>
  <c r="F132" i="5"/>
  <c r="B5574" i="106"/>
  <c r="D5574" i="106" s="1"/>
  <c r="F24" i="34"/>
  <c r="B5568" i="106"/>
  <c r="D5568" i="106" s="1"/>
  <c r="F20" i="34"/>
  <c r="B5555" i="106"/>
  <c r="D5555" i="106" s="1"/>
  <c r="K170" i="29"/>
  <c r="B1315" i="106"/>
  <c r="D1315" i="106" s="1"/>
  <c r="D69" i="36"/>
  <c r="B5512" i="106"/>
  <c r="D5512" i="106" s="1"/>
  <c r="D76" i="4"/>
  <c r="B3237" i="106" s="1"/>
  <c r="D3237" i="106" s="1"/>
  <c r="B5023" i="106"/>
  <c r="D5023" i="106" s="1"/>
  <c r="B3161" i="106"/>
  <c r="D3161" i="106" s="1"/>
  <c r="H51" i="4"/>
  <c r="B3170" i="106" s="1"/>
  <c r="D3170" i="106" s="1"/>
  <c r="K144" i="29"/>
  <c r="B2810" i="106" s="1"/>
  <c r="D2810" i="106" s="1"/>
  <c r="B2807" i="106"/>
  <c r="D2807" i="106" s="1"/>
  <c r="B2979" i="106"/>
  <c r="D2979" i="106" s="1"/>
  <c r="H137" i="29"/>
  <c r="F127" i="29"/>
  <c r="B1247" i="106" s="1"/>
  <c r="D1247" i="106" s="1"/>
  <c r="B1243" i="106"/>
  <c r="D1243" i="106" s="1"/>
  <c r="B4077" i="106"/>
  <c r="D4077" i="106" s="1"/>
  <c r="B5494" i="106"/>
  <c r="D5494" i="106" s="1"/>
  <c r="F33" i="34"/>
  <c r="B5424" i="106"/>
  <c r="D5424" i="106" s="1"/>
  <c r="D181" i="5"/>
  <c r="B5425" i="106" s="1"/>
  <c r="D5425" i="106" s="1"/>
  <c r="B5357" i="106"/>
  <c r="D5357" i="106" s="1"/>
  <c r="D114" i="5"/>
  <c r="B7210" i="106"/>
  <c r="D7210" i="106" s="1"/>
  <c r="K338" i="29"/>
  <c r="B7211" i="106" s="1"/>
  <c r="D7211" i="106" s="1"/>
  <c r="D330" i="29"/>
  <c r="B7119" i="106"/>
  <c r="D7119" i="106" s="1"/>
  <c r="B5583" i="106"/>
  <c r="D5583" i="106" s="1"/>
  <c r="F108" i="5"/>
  <c r="B5587" i="106" s="1"/>
  <c r="D5587" i="106" s="1"/>
  <c r="B5459" i="106"/>
  <c r="D5459" i="106" s="1"/>
  <c r="F32" i="34"/>
  <c r="B5581" i="106"/>
  <c r="D5581" i="106" s="1"/>
  <c r="B5520" i="106"/>
  <c r="D5520" i="106" s="1"/>
  <c r="B6317" i="106"/>
  <c r="D6317" i="106" s="1"/>
  <c r="B5994" i="106"/>
  <c r="D5994"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C44" i="4"/>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L42" i="29" l="1"/>
  <c r="L74" i="29" s="1"/>
  <c r="H76" i="4"/>
  <c r="B3298" i="106" s="1"/>
  <c r="D3298" i="106" s="1"/>
  <c r="L53" i="29"/>
  <c r="G129" i="29"/>
  <c r="B1258" i="106" s="1"/>
  <c r="D1258" i="106" s="1"/>
  <c r="F67" i="5"/>
  <c r="B5582" i="106" s="1"/>
  <c r="D5582" i="106" s="1"/>
  <c r="K75" i="29"/>
  <c r="G72" i="29"/>
  <c r="B985" i="106" s="1"/>
  <c r="D985" i="106" s="1"/>
  <c r="L279" i="29"/>
  <c r="L57" i="29"/>
  <c r="K41" i="29"/>
  <c r="B1114" i="106" s="1"/>
  <c r="D1114" i="106" s="1"/>
  <c r="C67" i="5"/>
  <c r="B5090" i="106" s="1"/>
  <c r="D5090" i="106" s="1"/>
  <c r="D42" i="29"/>
  <c r="D74" i="29" s="1"/>
  <c r="B813" i="106" s="1"/>
  <c r="D813" i="106" s="1"/>
  <c r="D129" i="29"/>
  <c r="L127" i="29"/>
  <c r="L129" i="29" s="1"/>
  <c r="L151" i="29" s="1"/>
  <c r="B3229" i="106"/>
  <c r="D3229" i="106" s="1"/>
  <c r="C77" i="4"/>
  <c r="B3232" i="106" s="1"/>
  <c r="D3232" i="106" s="1"/>
  <c r="B5360" i="106"/>
  <c r="D5360" i="106" s="1"/>
  <c r="D5" i="4"/>
  <c r="B3406" i="106" s="1"/>
  <c r="D3406" i="106" s="1"/>
  <c r="B18" i="7"/>
  <c r="B7104" i="106"/>
  <c r="D7104" i="106" s="1"/>
  <c r="J312" i="29"/>
  <c r="B7117" i="106" s="1"/>
  <c r="D7117" i="106" s="1"/>
  <c r="B7038" i="106"/>
  <c r="D7038" i="106" s="1"/>
  <c r="J151" i="29"/>
  <c r="B7052" i="106" s="1"/>
  <c r="D7052" i="106" s="1"/>
  <c r="B1130" i="106"/>
  <c r="D1130" i="106" s="1"/>
  <c r="E30" i="108"/>
  <c r="G30" i="108"/>
  <c r="D34" i="3"/>
  <c r="B6126" i="106"/>
  <c r="D6126" i="106" s="1"/>
  <c r="B5224" i="106"/>
  <c r="D5224" i="106" s="1"/>
  <c r="C175" i="5"/>
  <c r="B5111" i="106"/>
  <c r="D5111" i="106" s="1"/>
  <c r="F100" i="34"/>
  <c r="D12" i="171"/>
  <c r="B5123" i="106"/>
  <c r="D5123" i="106" s="1"/>
  <c r="B3007" i="106"/>
  <c r="D3007" i="106" s="1"/>
  <c r="K194" i="29"/>
  <c r="C145" i="5"/>
  <c r="B6191" i="106"/>
  <c r="D6191" i="106" s="1"/>
  <c r="D14" i="4"/>
  <c r="B2570" i="106" s="1"/>
  <c r="D2570" i="106" s="1"/>
  <c r="F56" i="34"/>
  <c r="B2805" i="106"/>
  <c r="D2805" i="106" s="1"/>
  <c r="B1482" i="106"/>
  <c r="D1482" i="106" s="1"/>
  <c r="K243" i="29"/>
  <c r="B1485" i="106" s="1"/>
  <c r="D1485" i="106" s="1"/>
  <c r="F13" i="3"/>
  <c r="B6883" i="106"/>
  <c r="D6883" i="106" s="1"/>
  <c r="F42" i="34"/>
  <c r="B4372" i="106"/>
  <c r="D4372" i="106" s="1"/>
  <c r="K276" i="29"/>
  <c r="B1506" i="106" s="1"/>
  <c r="D1506" i="106" s="1"/>
  <c r="B1442" i="106"/>
  <c r="D1442" i="106" s="1"/>
  <c r="B6901" i="106"/>
  <c r="D6901" i="106" s="1"/>
  <c r="F51" i="34"/>
  <c r="B6877" i="106"/>
  <c r="D6877" i="106" s="1"/>
  <c r="F39" i="34"/>
  <c r="B7204" i="106"/>
  <c r="D7204" i="106" s="1"/>
  <c r="H342" i="29"/>
  <c r="B7221" i="106" s="1"/>
  <c r="D7221" i="106" s="1"/>
  <c r="D13" i="3"/>
  <c r="B3414" i="106"/>
  <c r="D3414" i="106" s="1"/>
  <c r="D35" i="36"/>
  <c r="K11" i="29"/>
  <c r="B7205" i="106"/>
  <c r="D7205" i="106" s="1"/>
  <c r="I342" i="29"/>
  <c r="B7222" i="106" s="1"/>
  <c r="D7222" i="106" s="1"/>
  <c r="B5553" i="106"/>
  <c r="D5553" i="106" s="1"/>
  <c r="B7" i="7"/>
  <c r="F12" i="5"/>
  <c r="B1370" i="106"/>
  <c r="D1370" i="106" s="1"/>
  <c r="B6889" i="106"/>
  <c r="D6889" i="106" s="1"/>
  <c r="F45" i="34"/>
  <c r="D151" i="29"/>
  <c r="B1234" i="106" s="1"/>
  <c r="D1234" i="106" s="1"/>
  <c r="B1233" i="106"/>
  <c r="D1233" i="106" s="1"/>
  <c r="B5721" i="106"/>
  <c r="D5721" i="106" s="1"/>
  <c r="B8" i="7"/>
  <c r="G12" i="5"/>
  <c r="B3723" i="106"/>
  <c r="D3723" i="106" s="1"/>
  <c r="K285" i="29"/>
  <c r="K13" i="3"/>
  <c r="B3546" i="106"/>
  <c r="D3546" i="106" s="1"/>
  <c r="D42" i="36"/>
  <c r="B5175" i="106"/>
  <c r="D5175" i="106" s="1"/>
  <c r="C155" i="5"/>
  <c r="B3317" i="106"/>
  <c r="D3317" i="106" s="1"/>
  <c r="E342" i="29"/>
  <c r="B7218" i="106" s="1"/>
  <c r="D7218" i="106" s="1"/>
  <c r="B7201" i="106"/>
  <c r="D7201" i="106" s="1"/>
  <c r="B7209" i="106"/>
  <c r="D7209" i="106" s="1"/>
  <c r="K340" i="29"/>
  <c r="B901" i="106"/>
  <c r="D901" i="106" s="1"/>
  <c r="F74" i="29"/>
  <c r="B929" i="106" s="1"/>
  <c r="D929" i="106" s="1"/>
  <c r="B1324" i="106"/>
  <c r="D1324" i="106" s="1"/>
  <c r="K168" i="29"/>
  <c r="B3619" i="106"/>
  <c r="D3619" i="106" s="1"/>
  <c r="C352" i="29"/>
  <c r="F52" i="34"/>
  <c r="G39" i="108"/>
  <c r="C14" i="4"/>
  <c r="B2558" i="106" s="1"/>
  <c r="D2558" i="106" s="1"/>
  <c r="B1144" i="106"/>
  <c r="D1144" i="106" s="1"/>
  <c r="E39" i="108"/>
  <c r="B790" i="106"/>
  <c r="D790" i="106" s="1"/>
  <c r="D53" i="29"/>
  <c r="B792" i="106" s="1"/>
  <c r="D792" i="106" s="1"/>
  <c r="B6893" i="106"/>
  <c r="D6893" i="106" s="1"/>
  <c r="F47" i="34"/>
  <c r="B5230" i="106"/>
  <c r="D5230" i="106" s="1"/>
  <c r="F122" i="34"/>
  <c r="C181" i="5"/>
  <c r="B5133" i="106"/>
  <c r="D5133" i="106" s="1"/>
  <c r="C132" i="5"/>
  <c r="B5317" i="106"/>
  <c r="D5317" i="106" s="1"/>
  <c r="F163" i="34"/>
  <c r="B5113" i="106"/>
  <c r="D5113" i="106" s="1"/>
  <c r="C108" i="5"/>
  <c r="B5120" i="106" s="1"/>
  <c r="D5120" i="106" s="1"/>
  <c r="F101" i="34"/>
  <c r="B6642" i="106"/>
  <c r="D6642" i="106" s="1"/>
  <c r="F136" i="34"/>
  <c r="B5194" i="106"/>
  <c r="D5194" i="106" s="1"/>
  <c r="F114" i="34"/>
  <c r="B2091" i="106"/>
  <c r="D2091" i="106" s="1"/>
  <c r="H139" i="29"/>
  <c r="B1267" i="106" s="1"/>
  <c r="D1267" i="106" s="1"/>
  <c r="B4398" i="106"/>
  <c r="D4398" i="106" s="1"/>
  <c r="G266" i="5"/>
  <c r="B5863" i="106" s="1"/>
  <c r="D5863" i="106" s="1"/>
  <c r="L295" i="29"/>
  <c r="G151" i="29"/>
  <c r="B3702" i="106"/>
  <c r="D3702" i="106" s="1"/>
  <c r="K76" i="4"/>
  <c r="B3586" i="106" s="1"/>
  <c r="D3586" i="106" s="1"/>
  <c r="B1470" i="106"/>
  <c r="D1470" i="106" s="1"/>
  <c r="F70" i="34"/>
  <c r="B6881" i="106"/>
  <c r="D6881" i="106" s="1"/>
  <c r="F41" i="34"/>
  <c r="K110" i="29"/>
  <c r="B1146" i="106"/>
  <c r="D1146" i="106" s="1"/>
  <c r="K6" i="29"/>
  <c r="B7763" i="106" s="1"/>
  <c r="D7763" i="106" s="1"/>
  <c r="B7762" i="106"/>
  <c r="D7762" i="106" s="1"/>
  <c r="B4102" i="106"/>
  <c r="D4102" i="106" s="1"/>
  <c r="D17" i="7"/>
  <c r="B4104" i="106" s="1"/>
  <c r="D4104" i="106" s="1"/>
  <c r="E12" i="5"/>
  <c r="B1351" i="106"/>
  <c r="D1351" i="106" s="1"/>
  <c r="K67" i="5"/>
  <c r="B5995" i="106" s="1"/>
  <c r="D5995" i="106" s="1"/>
  <c r="B6899" i="106"/>
  <c r="D6899" i="106" s="1"/>
  <c r="F50" i="34"/>
  <c r="B3668" i="106"/>
  <c r="D3668" i="106" s="1"/>
  <c r="K350" i="29"/>
  <c r="B7074" i="106"/>
  <c r="D7074" i="106" s="1"/>
  <c r="F67" i="34"/>
  <c r="B3626" i="106"/>
  <c r="D3626" i="106" s="1"/>
  <c r="D352" i="29"/>
  <c r="B6887" i="106"/>
  <c r="D6887" i="106" s="1"/>
  <c r="F44" i="34"/>
  <c r="B1116" i="106"/>
  <c r="D1116" i="106" s="1"/>
  <c r="K47" i="29"/>
  <c r="K49" i="29"/>
  <c r="B1123" i="106"/>
  <c r="D1123" i="106" s="1"/>
  <c r="K57" i="29"/>
  <c r="D27" i="108"/>
  <c r="F27" i="108"/>
  <c r="B1127" i="106"/>
  <c r="D1127" i="106" s="1"/>
  <c r="K64" i="29"/>
  <c r="B1137" i="106"/>
  <c r="D1137" i="106" s="1"/>
  <c r="F36" i="108"/>
  <c r="D36" i="108"/>
  <c r="L184" i="29"/>
  <c r="L210" i="29" s="1"/>
  <c r="K123" i="29"/>
  <c r="B1275" i="106" s="1"/>
  <c r="D1275" i="106" s="1"/>
  <c r="E352" i="29"/>
  <c r="E367" i="29" s="1"/>
  <c r="B3636" i="106" s="1"/>
  <c r="D3636" i="106" s="1"/>
  <c r="B3633" i="106"/>
  <c r="D3633" i="106" s="1"/>
  <c r="B785" i="106"/>
  <c r="D785" i="106" s="1"/>
  <c r="B7126" i="106"/>
  <c r="D7126" i="106" s="1"/>
  <c r="K330" i="29"/>
  <c r="D277" i="29"/>
  <c r="B1444" i="106" s="1"/>
  <c r="D1444" i="106" s="1"/>
  <c r="B1437" i="106"/>
  <c r="D1437" i="106" s="1"/>
  <c r="K272" i="29"/>
  <c r="B7206" i="106"/>
  <c r="D7206" i="106" s="1"/>
  <c r="J342" i="29"/>
  <c r="B7223" i="106" s="1"/>
  <c r="D7223" i="106" s="1"/>
  <c r="K9" i="29"/>
  <c r="E196" i="29"/>
  <c r="B1352" i="106" s="1"/>
  <c r="D1352" i="106" s="1"/>
  <c r="B2823" i="106"/>
  <c r="D2823" i="106" s="1"/>
  <c r="B5592" i="106"/>
  <c r="D5592" i="106" s="1"/>
  <c r="F5" i="4"/>
  <c r="B3408" i="106" s="1"/>
  <c r="D3408" i="106" s="1"/>
  <c r="B1104" i="106"/>
  <c r="D1104" i="106" s="1"/>
  <c r="F37" i="34"/>
  <c r="B5655" i="106"/>
  <c r="D5655" i="106" s="1"/>
  <c r="B1010" i="106"/>
  <c r="D1010" i="106" s="1"/>
  <c r="B6217" i="106"/>
  <c r="D6217" i="106" s="1"/>
  <c r="J13" i="3"/>
  <c r="D41" i="36"/>
  <c r="B7064" i="106"/>
  <c r="D7064" i="106" s="1"/>
  <c r="J210" i="29"/>
  <c r="B7072" i="106" s="1"/>
  <c r="D7072" i="106" s="1"/>
  <c r="B7063" i="106"/>
  <c r="D7063" i="106" s="1"/>
  <c r="I210" i="29"/>
  <c r="B2986" i="106"/>
  <c r="D2986" i="106" s="1"/>
  <c r="K137" i="29"/>
  <c r="K180" i="29"/>
  <c r="C184" i="29"/>
  <c r="B4081" i="106"/>
  <c r="D4081" i="106" s="1"/>
  <c r="B937" i="106"/>
  <c r="D937" i="106" s="1"/>
  <c r="G33" i="29"/>
  <c r="F34" i="3"/>
  <c r="B6128" i="106"/>
  <c r="D6128" i="106" s="1"/>
  <c r="B4761" i="106"/>
  <c r="D4761" i="106" s="1"/>
  <c r="F103" i="34"/>
  <c r="C204" i="5"/>
  <c r="B5247" i="106"/>
  <c r="D5247" i="106" s="1"/>
  <c r="B5097" i="106"/>
  <c r="D5097" i="106" s="1"/>
  <c r="C82" i="5"/>
  <c r="B4317" i="106"/>
  <c r="D4317" i="106" s="1"/>
  <c r="F119" i="34"/>
  <c r="B5614" i="106"/>
  <c r="D5614" i="106" s="1"/>
  <c r="F169" i="5"/>
  <c r="B5644" i="106" s="1"/>
  <c r="D5644" i="106" s="1"/>
  <c r="B1452" i="106"/>
  <c r="D1452" i="106" s="1"/>
  <c r="H295" i="29"/>
  <c r="B1454" i="106" s="1"/>
  <c r="D1454" i="106" s="1"/>
  <c r="B6879" i="106"/>
  <c r="D6879" i="106" s="1"/>
  <c r="F40" i="34"/>
  <c r="B2105" i="106"/>
  <c r="D2105" i="106" s="1"/>
  <c r="I76" i="4"/>
  <c r="B3318" i="106" s="1"/>
  <c r="D3318" i="106" s="1"/>
  <c r="B1036" i="106"/>
  <c r="D1036" i="106" s="1"/>
  <c r="H72" i="29"/>
  <c r="B1043" i="106" s="1"/>
  <c r="D1043" i="106" s="1"/>
  <c r="B1053" i="106"/>
  <c r="D1053" i="106" s="1"/>
  <c r="H112" i="29"/>
  <c r="B7018" i="106" s="1"/>
  <c r="D7018" i="106" s="1"/>
  <c r="F342" i="29"/>
  <c r="B7219" i="106" s="1"/>
  <c r="D7219" i="106" s="1"/>
  <c r="B7202" i="106"/>
  <c r="D7202" i="106" s="1"/>
  <c r="D6" i="7"/>
  <c r="B1762" i="106" s="1"/>
  <c r="D1762" i="106" s="1"/>
  <c r="B1746" i="106"/>
  <c r="D1746" i="106" s="1"/>
  <c r="B91" i="106"/>
  <c r="D91" i="106" s="1"/>
  <c r="G352" i="29"/>
  <c r="B3647" i="106"/>
  <c r="D3647" i="106" s="1"/>
  <c r="B7203" i="106"/>
  <c r="D7203" i="106" s="1"/>
  <c r="G342" i="29"/>
  <c r="B7220" i="106" s="1"/>
  <c r="D7220" i="106" s="1"/>
  <c r="B4396" i="106"/>
  <c r="D4396" i="106" s="1"/>
  <c r="B6825" i="106"/>
  <c r="D6825" i="106" s="1"/>
  <c r="F156" i="34"/>
  <c r="J74" i="29"/>
  <c r="B6978" i="106" s="1"/>
  <c r="D6978" i="106" s="1"/>
  <c r="B6917" i="106"/>
  <c r="D6917" i="106" s="1"/>
  <c r="B5369" i="106"/>
  <c r="D5369" i="106" s="1"/>
  <c r="D169" i="5"/>
  <c r="B5412" i="106" s="1"/>
  <c r="D5412" i="106" s="1"/>
  <c r="B4951" i="106"/>
  <c r="D4951" i="106" s="1"/>
  <c r="K267" i="5"/>
  <c r="B4211" i="106"/>
  <c r="D4211" i="106" s="1"/>
  <c r="F64" i="34"/>
  <c r="B1121" i="106"/>
  <c r="D1121" i="106" s="1"/>
  <c r="E12" i="145"/>
  <c r="B2973" i="106"/>
  <c r="D2973" i="106" s="1"/>
  <c r="K84" i="29"/>
  <c r="L310" i="29"/>
  <c r="L312" i="29" s="1"/>
  <c r="I13" i="3"/>
  <c r="B2081" i="106"/>
  <c r="D2081" i="106" s="1"/>
  <c r="H102" i="29"/>
  <c r="B1047" i="106" s="1"/>
  <c r="D1047" i="106" s="1"/>
  <c r="G13" i="3"/>
  <c r="B3422" i="106"/>
  <c r="D3422" i="106" s="1"/>
  <c r="D38" i="36"/>
  <c r="B7199" i="106"/>
  <c r="D7199" i="106" s="1"/>
  <c r="C342" i="29"/>
  <c r="B7216" i="106" s="1"/>
  <c r="D7216" i="106" s="1"/>
  <c r="B7076" i="106"/>
  <c r="D7076" i="106" s="1"/>
  <c r="F68" i="34"/>
  <c r="B6891" i="106"/>
  <c r="D6891" i="106" s="1"/>
  <c r="F46" i="34"/>
  <c r="B5741" i="106"/>
  <c r="D5741" i="106" s="1"/>
  <c r="G5" i="4"/>
  <c r="B3409" i="106" s="1"/>
  <c r="D3409" i="106" s="1"/>
  <c r="B1555" i="106"/>
  <c r="D1555" i="106" s="1"/>
  <c r="K303" i="29"/>
  <c r="B6006" i="106"/>
  <c r="D6006" i="106" s="1"/>
  <c r="K170" i="5"/>
  <c r="F44" i="4"/>
  <c r="B5103" i="106"/>
  <c r="D5103" i="106" s="1"/>
  <c r="C93" i="5"/>
  <c r="B5112" i="106" s="1"/>
  <c r="D5112" i="106" s="1"/>
  <c r="F96" i="34"/>
  <c r="C252" i="5"/>
  <c r="B6833" i="106" s="1"/>
  <c r="D6833" i="106" s="1"/>
  <c r="B6614" i="106"/>
  <c r="D6614" i="106" s="1"/>
  <c r="C209" i="5"/>
  <c r="B5256" i="106"/>
  <c r="D5256" i="106" s="1"/>
  <c r="C198" i="5"/>
  <c r="B6401" i="106"/>
  <c r="D6401" i="106" s="1"/>
  <c r="B5167" i="106"/>
  <c r="D5167" i="106" s="1"/>
  <c r="F108" i="34"/>
  <c r="B5122" i="106"/>
  <c r="D5122" i="106" s="1"/>
  <c r="C114" i="5"/>
  <c r="B6761" i="106"/>
  <c r="D6761" i="106" s="1"/>
  <c r="F148" i="34"/>
  <c r="C188" i="5"/>
  <c r="B5233" i="106"/>
  <c r="D5233" i="106" s="1"/>
  <c r="C221" i="5"/>
  <c r="B5301" i="106"/>
  <c r="D5301" i="106" s="1"/>
  <c r="B4792" i="106"/>
  <c r="D4792" i="106" s="1"/>
  <c r="F121" i="34"/>
  <c r="B1512" i="106"/>
  <c r="D1512" i="106" s="1"/>
  <c r="K293" i="29"/>
  <c r="B2910" i="106"/>
  <c r="D2910" i="106" s="1"/>
  <c r="B281" i="106"/>
  <c r="D281" i="106" s="1"/>
  <c r="D54" i="36"/>
  <c r="B5752" i="106"/>
  <c r="D5752" i="106" s="1"/>
  <c r="G169" i="5"/>
  <c r="B3584" i="106"/>
  <c r="D3584" i="106" s="1"/>
  <c r="B7778" i="106"/>
  <c r="D7778" i="106" s="1"/>
  <c r="K160" i="29"/>
  <c r="B1417" i="106"/>
  <c r="D1417" i="106" s="1"/>
  <c r="D279" i="29"/>
  <c r="B6897" i="106"/>
  <c r="D6897" i="106" s="1"/>
  <c r="F49" i="34"/>
  <c r="B131" i="106"/>
  <c r="D131" i="106" s="1"/>
  <c r="I12" i="5"/>
  <c r="B6848" i="106"/>
  <c r="D6848" i="106" s="1"/>
  <c r="F34" i="34"/>
  <c r="H129" i="29"/>
  <c r="H266" i="5"/>
  <c r="B4441" i="106" s="1"/>
  <c r="D4441" i="106" s="1"/>
  <c r="B6838" i="106"/>
  <c r="D6838" i="106" s="1"/>
  <c r="B5723" i="106"/>
  <c r="D5723" i="106" s="1"/>
  <c r="B16" i="7"/>
  <c r="B1473" i="106"/>
  <c r="D1473" i="106" s="1"/>
  <c r="F71" i="34"/>
  <c r="B3675" i="106"/>
  <c r="D3675" i="106" s="1"/>
  <c r="K362" i="29"/>
  <c r="B1109" i="106"/>
  <c r="D1109" i="106" s="1"/>
  <c r="E14" i="145"/>
  <c r="G14" i="145" s="1"/>
  <c r="B1124" i="106"/>
  <c r="D1124" i="106" s="1"/>
  <c r="B1128" i="106"/>
  <c r="D1128" i="106" s="1"/>
  <c r="E28" i="108"/>
  <c r="F28" i="108"/>
  <c r="B2789" i="106"/>
  <c r="D2789" i="106" s="1"/>
  <c r="E102" i="29"/>
  <c r="B2790" i="106" s="1"/>
  <c r="D2790" i="106" s="1"/>
  <c r="B1529" i="106"/>
  <c r="D1529" i="106" s="1"/>
  <c r="D312" i="29"/>
  <c r="B1530" i="106" s="1"/>
  <c r="D1530" i="106" s="1"/>
  <c r="C129" i="29"/>
  <c r="B1511" i="106"/>
  <c r="D1511" i="106" s="1"/>
  <c r="F72" i="34"/>
  <c r="G14" i="4"/>
  <c r="B2609" i="106" s="1"/>
  <c r="D2609" i="106" s="1"/>
  <c r="I33" i="29"/>
  <c r="B5328" i="106"/>
  <c r="D5328" i="106" s="1"/>
  <c r="D12" i="5"/>
  <c r="B5" i="7"/>
  <c r="B1489" i="106"/>
  <c r="D1489" i="106" s="1"/>
  <c r="K261" i="29"/>
  <c r="B1491" i="106" s="1"/>
  <c r="D1491" i="106" s="1"/>
  <c r="B3640" i="106"/>
  <c r="D3640" i="106" s="1"/>
  <c r="F352" i="29"/>
  <c r="B843" i="106"/>
  <c r="D843" i="106" s="1"/>
  <c r="E74" i="29"/>
  <c r="B871" i="106" s="1"/>
  <c r="D871" i="106" s="1"/>
  <c r="B5126" i="106"/>
  <c r="D5126" i="106" s="1"/>
  <c r="C122" i="5"/>
  <c r="B1136" i="106"/>
  <c r="D1136" i="106" s="1"/>
  <c r="G35" i="108"/>
  <c r="E35" i="108"/>
  <c r="F15" i="145"/>
  <c r="F19" i="145" s="1"/>
  <c r="G26" i="108"/>
  <c r="E26" i="108"/>
  <c r="B1274" i="106"/>
  <c r="D1274" i="106" s="1"/>
  <c r="B5061" i="106"/>
  <c r="D5061" i="106" s="1"/>
  <c r="C12" i="5"/>
  <c r="B4" i="7"/>
  <c r="B1541" i="106"/>
  <c r="D1541" i="106" s="1"/>
  <c r="F312" i="29"/>
  <c r="B1542" i="106" s="1"/>
  <c r="D1542" i="106" s="1"/>
  <c r="F140" i="34"/>
  <c r="B6674" i="106"/>
  <c r="D6674" i="106" s="1"/>
  <c r="B6682" i="106"/>
  <c r="D6682" i="106" s="1"/>
  <c r="F141" i="34"/>
  <c r="F134" i="34"/>
  <c r="B6626" i="106"/>
  <c r="D6626" i="106" s="1"/>
  <c r="B5181" i="106"/>
  <c r="D5181" i="106" s="1"/>
  <c r="F112" i="34"/>
  <c r="B4418" i="106"/>
  <c r="D4418" i="106" s="1"/>
  <c r="F164" i="34"/>
  <c r="B6777" i="106"/>
  <c r="D6777" i="106" s="1"/>
  <c r="F150" i="34"/>
  <c r="B6769" i="106"/>
  <c r="D6769" i="106" s="1"/>
  <c r="F149" i="34"/>
  <c r="D342" i="29"/>
  <c r="B7217" i="106" s="1"/>
  <c r="D7217" i="106" s="1"/>
  <c r="B7200" i="106"/>
  <c r="D7200" i="106" s="1"/>
  <c r="B1329" i="106"/>
  <c r="D1329" i="106" s="1"/>
  <c r="F61" i="34"/>
  <c r="D33" i="29"/>
  <c r="B6895" i="106"/>
  <c r="D6895" i="106" s="1"/>
  <c r="F48" i="34"/>
  <c r="G53" i="29"/>
  <c r="B966" i="106" s="1"/>
  <c r="D966" i="106" s="1"/>
  <c r="B720" i="106"/>
  <c r="D720" i="106" s="1"/>
  <c r="I67" i="5"/>
  <c r="B5926" i="106" s="1"/>
  <c r="D5926" i="106" s="1"/>
  <c r="B1345" i="106"/>
  <c r="D1345" i="106" s="1"/>
  <c r="D210" i="29"/>
  <c r="B1346" i="106" s="1"/>
  <c r="D1346" i="106" s="1"/>
  <c r="B7230" i="106"/>
  <c r="D7230" i="106" s="1"/>
  <c r="I352" i="29"/>
  <c r="E33" i="29"/>
  <c r="B1028" i="106"/>
  <c r="D1028" i="106" s="1"/>
  <c r="H65" i="29"/>
  <c r="B1035" i="106" s="1"/>
  <c r="D1035" i="106" s="1"/>
  <c r="B1749" i="106"/>
  <c r="D1749" i="106" s="1"/>
  <c r="D10" i="7"/>
  <c r="B1765" i="106" s="1"/>
  <c r="D1765" i="106" s="1"/>
  <c r="B5534" i="106"/>
  <c r="D5534" i="106" s="1"/>
  <c r="E170" i="5"/>
  <c r="B6916" i="106"/>
  <c r="D6916" i="106" s="1"/>
  <c r="I74" i="29"/>
  <c r="B6977" i="106" s="1"/>
  <c r="D6977" i="106" s="1"/>
  <c r="H267" i="5"/>
  <c r="B4950" i="106"/>
  <c r="D4950" i="106" s="1"/>
  <c r="L84" i="29"/>
  <c r="L102" i="29" s="1"/>
  <c r="E44" i="4"/>
  <c r="B7107" i="106"/>
  <c r="D7107" i="106" s="1"/>
  <c r="K310" i="29"/>
  <c r="E67" i="5"/>
  <c r="B5521" i="106" s="1"/>
  <c r="D5521" i="106" s="1"/>
  <c r="B3235" i="106"/>
  <c r="D3235" i="106" s="1"/>
  <c r="D77" i="4"/>
  <c r="B3238" i="106" s="1"/>
  <c r="D3238" i="106" s="1"/>
  <c r="G184" i="29"/>
  <c r="B5780" i="106"/>
  <c r="D5780" i="106" s="1"/>
  <c r="G267" i="5"/>
  <c r="B3658" i="106"/>
  <c r="D3658" i="106" s="1"/>
  <c r="H365" i="29"/>
  <c r="B7242" i="106" s="1"/>
  <c r="D7242" i="106" s="1"/>
  <c r="E13" i="145"/>
  <c r="G13" i="145" s="1"/>
  <c r="B2724" i="106"/>
  <c r="D2724" i="106" s="1"/>
  <c r="K67" i="29"/>
  <c r="K71" i="29"/>
  <c r="B139" i="106"/>
  <c r="D139" i="106" s="1"/>
  <c r="E266" i="5"/>
  <c r="B7747" i="106" s="1"/>
  <c r="D7747" i="106" s="1"/>
  <c r="B6835" i="106"/>
  <c r="D6835" i="106" s="1"/>
  <c r="B1535" i="106"/>
  <c r="D1535" i="106" s="1"/>
  <c r="E312" i="29"/>
  <c r="B1536" i="106" s="1"/>
  <c r="D1536" i="106" s="1"/>
  <c r="B5423" i="106"/>
  <c r="D5423" i="106" s="1"/>
  <c r="H149" i="29"/>
  <c r="B1272" i="106" s="1"/>
  <c r="D1272" i="106" s="1"/>
  <c r="B7047" i="106"/>
  <c r="D7047" i="106" s="1"/>
  <c r="H208" i="29"/>
  <c r="B1375" i="106" s="1"/>
  <c r="D1375" i="106" s="1"/>
  <c r="B4156" i="106"/>
  <c r="D4156" i="106" s="1"/>
  <c r="B6903" i="106"/>
  <c r="D6903" i="106" s="1"/>
  <c r="J114" i="29"/>
  <c r="B7021" i="106" s="1"/>
  <c r="D7021" i="106" s="1"/>
  <c r="B4852" i="106"/>
  <c r="D4852" i="106" s="1"/>
  <c r="F170" i="34"/>
  <c r="B6729" i="106"/>
  <c r="D6729" i="106" s="1"/>
  <c r="F145" i="34"/>
  <c r="B6737" i="106"/>
  <c r="D6737" i="106" s="1"/>
  <c r="F146" i="34"/>
  <c r="B6690" i="106"/>
  <c r="D6690" i="106" s="1"/>
  <c r="F142" i="34"/>
  <c r="B4915" i="106"/>
  <c r="D4915" i="106" s="1"/>
  <c r="F117" i="34"/>
  <c r="B5187" i="106"/>
  <c r="D5187" i="106" s="1"/>
  <c r="F113" i="34"/>
  <c r="C217" i="5"/>
  <c r="B5286" i="106" s="1"/>
  <c r="D5286" i="106" s="1"/>
  <c r="B5274" i="106"/>
  <c r="D5274" i="106" s="1"/>
  <c r="B4189" i="106"/>
  <c r="D4189" i="106" s="1"/>
  <c r="F165" i="34"/>
  <c r="B6316" i="106"/>
  <c r="D6316" i="106" s="1"/>
  <c r="J67" i="5"/>
  <c r="B6318" i="106" s="1"/>
  <c r="D6318" i="106" s="1"/>
  <c r="B3411" i="106"/>
  <c r="D3411" i="106" s="1"/>
  <c r="C13" i="3"/>
  <c r="D34" i="36"/>
  <c r="H24" i="118"/>
  <c r="F129" i="29"/>
  <c r="F266" i="5"/>
  <c r="B5713" i="106" s="1"/>
  <c r="D5713" i="106" s="1"/>
  <c r="B4397" i="106"/>
  <c r="D4397" i="106" s="1"/>
  <c r="B2836" i="106"/>
  <c r="D2836" i="106" s="1"/>
  <c r="F14" i="4"/>
  <c r="B2597" i="106" s="1"/>
  <c r="D2597" i="106" s="1"/>
  <c r="F62" i="34"/>
  <c r="F76" i="4"/>
  <c r="B3254" i="106" s="1"/>
  <c r="D3254" i="106" s="1"/>
  <c r="B1492" i="106"/>
  <c r="D1492" i="106" s="1"/>
  <c r="K270" i="29"/>
  <c r="B1500" i="106" s="1"/>
  <c r="D1500" i="106" s="1"/>
  <c r="B5985" i="106"/>
  <c r="D5985" i="106" s="1"/>
  <c r="B12" i="7"/>
  <c r="K12" i="5"/>
  <c r="B1553" i="106"/>
  <c r="D1553" i="106" s="1"/>
  <c r="H312" i="29"/>
  <c r="B1554" i="106" s="1"/>
  <c r="D1554" i="106" s="1"/>
  <c r="K5" i="29"/>
  <c r="B6997" i="106"/>
  <c r="D6997" i="106" s="1"/>
  <c r="K100" i="29"/>
  <c r="B7013" i="106" s="1"/>
  <c r="D7013" i="106" s="1"/>
  <c r="B1475" i="106"/>
  <c r="D1475" i="106" s="1"/>
  <c r="K238" i="29"/>
  <c r="B1017" i="106"/>
  <c r="D1017" i="106" s="1"/>
  <c r="B7103" i="106"/>
  <c r="D7103" i="106" s="1"/>
  <c r="I312" i="29"/>
  <c r="B7116" i="106" s="1"/>
  <c r="D7116" i="106" s="1"/>
  <c r="B5893" i="106"/>
  <c r="D5893" i="106" s="1"/>
  <c r="H170" i="5"/>
  <c r="B6238" i="106"/>
  <c r="D6238" i="106" s="1"/>
  <c r="J77" i="4"/>
  <c r="B6262" i="106" s="1"/>
  <c r="D6262" i="106" s="1"/>
  <c r="B7231" i="106"/>
  <c r="D7231" i="106" s="1"/>
  <c r="J352" i="29"/>
  <c r="B894" i="106"/>
  <c r="D894" i="106" s="1"/>
  <c r="F114" i="29"/>
  <c r="B931" i="106" s="1"/>
  <c r="D931" i="106" s="1"/>
  <c r="L72" i="29"/>
  <c r="C75" i="5"/>
  <c r="B1547" i="106"/>
  <c r="D1547" i="106" s="1"/>
  <c r="G312" i="29"/>
  <c r="B1548" i="106" s="1"/>
  <c r="D1548" i="106" s="1"/>
  <c r="B3390" i="106"/>
  <c r="D3390" i="106" s="1"/>
  <c r="K229" i="29"/>
  <c r="B4363" i="106"/>
  <c r="D4363" i="106" s="1"/>
  <c r="I170" i="5"/>
  <c r="B5599" i="106"/>
  <c r="D5599" i="106" s="1"/>
  <c r="F170" i="5"/>
  <c r="B5063" i="106"/>
  <c r="D5063" i="106" s="1"/>
  <c r="B14" i="7"/>
  <c r="B727" i="106"/>
  <c r="D727" i="106" s="1"/>
  <c r="C74" i="29"/>
  <c r="B755" i="106" s="1"/>
  <c r="D755" i="106" s="1"/>
  <c r="K40" i="29"/>
  <c r="B1113" i="106" s="1"/>
  <c r="D1113" i="106" s="1"/>
  <c r="K62" i="29"/>
  <c r="E34" i="108"/>
  <c r="G34" i="108"/>
  <c r="B1135" i="106"/>
  <c r="D1135" i="106" s="1"/>
  <c r="B1142" i="106"/>
  <c r="D1142" i="106" s="1"/>
  <c r="G38" i="108"/>
  <c r="E38" i="108"/>
  <c r="H44" i="4"/>
  <c r="B6289" i="106"/>
  <c r="D6289" i="106" s="1"/>
  <c r="B6400" i="106"/>
  <c r="D6400" i="106" s="1"/>
  <c r="J267" i="5"/>
  <c r="B4080" i="106"/>
  <c r="D4080" i="106" s="1"/>
  <c r="E127" i="29"/>
  <c r="B1235" i="106"/>
  <c r="D1235" i="106" s="1"/>
  <c r="B1107" i="106"/>
  <c r="D1107" i="106" s="1"/>
  <c r="F38" i="34"/>
  <c r="B1283" i="106"/>
  <c r="D1283" i="106" s="1"/>
  <c r="K147" i="29"/>
  <c r="B1383" i="106"/>
  <c r="D1383" i="106" s="1"/>
  <c r="K204" i="29"/>
  <c r="K34" i="3"/>
  <c r="E139" i="29"/>
  <c r="B4203" i="106" s="1"/>
  <c r="D4203" i="106" s="1"/>
  <c r="B4202" i="106"/>
  <c r="D4202" i="106" s="1"/>
  <c r="B6634" i="106"/>
  <c r="D6634" i="106" s="1"/>
  <c r="F135" i="34"/>
  <c r="B1308" i="106"/>
  <c r="D1308" i="106" s="1"/>
  <c r="E174" i="29"/>
  <c r="B1309" i="106" s="1"/>
  <c r="D1309" i="106" s="1"/>
  <c r="K364" i="29"/>
  <c r="B7746" i="106" s="1"/>
  <c r="D7746" i="106" s="1"/>
  <c r="B7745" i="106"/>
  <c r="D7745" i="106" s="1"/>
  <c r="B6357" i="106"/>
  <c r="D6357" i="106" s="1"/>
  <c r="J170" i="5"/>
  <c r="B211" i="106"/>
  <c r="D211" i="106" s="1"/>
  <c r="B2757" i="106"/>
  <c r="D2757" i="106" s="1"/>
  <c r="D72" i="36"/>
  <c r="B4415" i="106"/>
  <c r="D4415" i="106" s="1"/>
  <c r="F161" i="34"/>
  <c r="B6801" i="106"/>
  <c r="D6801" i="106" s="1"/>
  <c r="F153" i="34"/>
  <c r="B5148" i="106"/>
  <c r="D5148" i="106" s="1"/>
  <c r="C141" i="5"/>
  <c r="B5106" i="106"/>
  <c r="D5106" i="106" s="1"/>
  <c r="F97" i="34"/>
  <c r="B6388" i="106"/>
  <c r="D6388" i="106" s="1"/>
  <c r="F118" i="34"/>
  <c r="B5280" i="106"/>
  <c r="D5280" i="106" s="1"/>
  <c r="F130" i="34"/>
  <c r="B5312" i="106"/>
  <c r="D5312" i="106" s="1"/>
  <c r="F160" i="34"/>
  <c r="F69" i="34"/>
  <c r="B7078" i="106"/>
  <c r="D7078" i="106" s="1"/>
  <c r="B3654" i="106"/>
  <c r="D3654" i="106" s="1"/>
  <c r="H352" i="29"/>
  <c r="G42" i="29"/>
  <c r="K92" i="29"/>
  <c r="B2089" i="106" s="1"/>
  <c r="D2089" i="106" s="1"/>
  <c r="B6995" i="106"/>
  <c r="D6995" i="106" s="1"/>
  <c r="B1756" i="106"/>
  <c r="D1756" i="106" s="1"/>
  <c r="D15" i="7"/>
  <c r="B1772" i="106" s="1"/>
  <c r="D1772" i="106" s="1"/>
  <c r="B6298" i="106"/>
  <c r="D6298" i="106" s="1"/>
  <c r="B11" i="7"/>
  <c r="J12" i="5"/>
  <c r="H196" i="29"/>
  <c r="B2830" i="106" s="1"/>
  <c r="D2830" i="106" s="1"/>
  <c r="B2828" i="106"/>
  <c r="D2828" i="106" s="1"/>
  <c r="B3725" i="106"/>
  <c r="D3725" i="106" s="1"/>
  <c r="D13" i="7"/>
  <c r="B3726" i="106" s="1"/>
  <c r="D3726" i="106" s="1"/>
  <c r="L350" i="29"/>
  <c r="L352" i="29" s="1"/>
  <c r="L367" i="29" s="1"/>
  <c r="B1314" i="106"/>
  <c r="D1314" i="106" s="1"/>
  <c r="H172" i="29"/>
  <c r="B1486" i="106"/>
  <c r="D1486" i="106" s="1"/>
  <c r="K257" i="29"/>
  <c r="B1488" i="106" s="1"/>
  <c r="D1488" i="106" s="1"/>
  <c r="L47" i="29"/>
  <c r="B5367" i="106"/>
  <c r="D5367" i="106" s="1"/>
  <c r="I129" i="29"/>
  <c r="B6885" i="106"/>
  <c r="D6885" i="106" s="1"/>
  <c r="F43" i="34"/>
  <c r="B1523" i="106"/>
  <c r="D1523" i="106" s="1"/>
  <c r="C312" i="29"/>
  <c r="B1524" i="106" s="1"/>
  <c r="D1524" i="106" s="1"/>
  <c r="L33" i="29"/>
  <c r="B3425" i="106"/>
  <c r="D3425" i="106" s="1"/>
  <c r="H13" i="3"/>
  <c r="D39" i="36"/>
  <c r="K52" i="29"/>
  <c r="B6940" i="106" s="1"/>
  <c r="D6940" i="106" s="1"/>
  <c r="K59" i="29"/>
  <c r="B5871" i="106"/>
  <c r="D5871" i="106" s="1"/>
  <c r="B9" i="7"/>
  <c r="H12" i="5"/>
  <c r="B188" i="106"/>
  <c r="D188" i="106" s="1"/>
  <c r="B3258" i="106"/>
  <c r="D3258" i="106" s="1"/>
  <c r="G77" i="4"/>
  <c r="B3261" i="106" s="1"/>
  <c r="D3261" i="106" s="1"/>
  <c r="B5485" i="106"/>
  <c r="D5485" i="106" s="1"/>
  <c r="D221" i="5"/>
  <c r="B5488" i="106" s="1"/>
  <c r="D5488" i="106" s="1"/>
  <c r="B1617" i="106"/>
  <c r="D1617" i="106" s="1"/>
  <c r="F157" i="34" l="1"/>
  <c r="H74" i="29"/>
  <c r="B1045" i="106" s="1"/>
  <c r="D1045" i="106" s="1"/>
  <c r="B6301" i="106"/>
  <c r="D6301" i="106" s="1"/>
  <c r="J109" i="5"/>
  <c r="B3656" i="106"/>
  <c r="D3656" i="106" s="1"/>
  <c r="H367" i="29"/>
  <c r="B3660" i="106" s="1"/>
  <c r="D3660" i="106" s="1"/>
  <c r="B836" i="106"/>
  <c r="D836" i="106" s="1"/>
  <c r="E114" i="29"/>
  <c r="B873" i="106" s="1"/>
  <c r="D873" i="106" s="1"/>
  <c r="B5732" i="106"/>
  <c r="D5732" i="106" s="1"/>
  <c r="G67" i="5"/>
  <c r="B5733" i="106" s="1"/>
  <c r="D5733" i="106" s="1"/>
  <c r="B6902" i="106"/>
  <c r="D6902" i="106" s="1"/>
  <c r="I114" i="29"/>
  <c r="B3676" i="106"/>
  <c r="D3676" i="106" s="1"/>
  <c r="K365" i="29"/>
  <c r="B1266" i="106"/>
  <c r="D1266" i="106" s="1"/>
  <c r="H151" i="29"/>
  <c r="B1273" i="106" s="1"/>
  <c r="D1273" i="106" s="1"/>
  <c r="D295" i="29"/>
  <c r="B1448" i="106" s="1"/>
  <c r="D1448" i="106" s="1"/>
  <c r="B1446" i="106"/>
  <c r="D1446" i="106" s="1"/>
  <c r="B2888" i="106"/>
  <c r="D2888" i="106" s="1"/>
  <c r="B6022" i="106"/>
  <c r="D6022" i="106" s="1"/>
  <c r="K7" i="4"/>
  <c r="B3718" i="106" s="1"/>
  <c r="D3718" i="106" s="1"/>
  <c r="D266" i="5"/>
  <c r="B4087" i="106"/>
  <c r="D4087" i="106" s="1"/>
  <c r="B1747" i="106"/>
  <c r="D1747" i="106" s="1"/>
  <c r="D7" i="7"/>
  <c r="B1763" i="106" s="1"/>
  <c r="D1763" i="106" s="1"/>
  <c r="E267" i="5"/>
  <c r="B122" i="106"/>
  <c r="D122" i="106" s="1"/>
  <c r="E15" i="145"/>
  <c r="G15" i="145" s="1"/>
  <c r="B1126" i="106"/>
  <c r="D1126" i="106" s="1"/>
  <c r="D26" i="108"/>
  <c r="F26" i="108"/>
  <c r="K65" i="29"/>
  <c r="B1133" i="106" s="1"/>
  <c r="D1133" i="106" s="1"/>
  <c r="B1752" i="106"/>
  <c r="D1752" i="106" s="1"/>
  <c r="D11" i="7"/>
  <c r="B1768" i="106" s="1"/>
  <c r="D1768" i="106" s="1"/>
  <c r="B4216" i="106"/>
  <c r="D4216" i="106" s="1"/>
  <c r="I6" i="4"/>
  <c r="B5011" i="106" s="1"/>
  <c r="D5011" i="106" s="1"/>
  <c r="I367" i="29"/>
  <c r="B7244" i="106" s="1"/>
  <c r="D7244" i="106" s="1"/>
  <c r="B7234" i="106"/>
  <c r="D7234" i="106" s="1"/>
  <c r="B6397" i="106"/>
  <c r="D6397" i="106" s="1"/>
  <c r="J6" i="4"/>
  <c r="B6221" i="106" s="1"/>
  <c r="D6221" i="106" s="1"/>
  <c r="B3296" i="106"/>
  <c r="D3296" i="106" s="1"/>
  <c r="H77" i="4"/>
  <c r="B3299" i="106" s="1"/>
  <c r="D3299" i="106" s="1"/>
  <c r="B77" i="106"/>
  <c r="D77" i="106" s="1"/>
  <c r="B2102" i="106"/>
  <c r="D2102" i="106" s="1"/>
  <c r="H15" i="4"/>
  <c r="B2660" i="106" s="1"/>
  <c r="D2660" i="106" s="1"/>
  <c r="E6" i="4"/>
  <c r="B2631" i="106" s="1"/>
  <c r="D2631" i="106" s="1"/>
  <c r="B5544" i="106"/>
  <c r="D5544" i="106" s="1"/>
  <c r="B5341" i="106"/>
  <c r="D5341" i="106" s="1"/>
  <c r="D67" i="5"/>
  <c r="B5342" i="106" s="1"/>
  <c r="D5342" i="106" s="1"/>
  <c r="B5066" i="106"/>
  <c r="D5066" i="106" s="1"/>
  <c r="C109" i="5"/>
  <c r="F60" i="34"/>
  <c r="E15" i="4"/>
  <c r="B5304" i="106"/>
  <c r="D5304" i="106" s="1"/>
  <c r="F132" i="34"/>
  <c r="B2088" i="106"/>
  <c r="D2088" i="106" s="1"/>
  <c r="K102" i="29"/>
  <c r="B6124" i="106"/>
  <c r="D6124" i="106" s="1"/>
  <c r="D367" i="29"/>
  <c r="B3629" i="106" s="1"/>
  <c r="D3629" i="106" s="1"/>
  <c r="B3628" i="106"/>
  <c r="D3628" i="106" s="1"/>
  <c r="B7037" i="106"/>
  <c r="D7037" i="106" s="1"/>
  <c r="I151" i="29"/>
  <c r="B1474" i="106"/>
  <c r="D1474" i="106" s="1"/>
  <c r="G12" i="4"/>
  <c r="J367" i="29"/>
  <c r="B7245" i="106" s="1"/>
  <c r="D7245" i="106" s="1"/>
  <c r="B7235" i="106"/>
  <c r="D7235" i="106" s="1"/>
  <c r="B778" i="106"/>
  <c r="D778" i="106" s="1"/>
  <c r="D114" i="29"/>
  <c r="B815" i="106" s="1"/>
  <c r="D815" i="106" s="1"/>
  <c r="B5918" i="106"/>
  <c r="D5918" i="106" s="1"/>
  <c r="I109" i="5"/>
  <c r="B169" i="106"/>
  <c r="D169" i="106" s="1"/>
  <c r="B2093" i="106"/>
  <c r="D2093" i="106" s="1"/>
  <c r="K139" i="29"/>
  <c r="B1125" i="106"/>
  <c r="D1125" i="106" s="1"/>
  <c r="G24" i="108"/>
  <c r="E24" i="108"/>
  <c r="E210" i="29"/>
  <c r="B1353" i="106" s="1"/>
  <c r="D1353" i="106" s="1"/>
  <c r="B5147" i="106"/>
  <c r="D5147" i="106" s="1"/>
  <c r="C169" i="5"/>
  <c r="B5214" i="106" s="1"/>
  <c r="D5214" i="106" s="1"/>
  <c r="F105" i="34"/>
  <c r="C367" i="29"/>
  <c r="B3622" i="106" s="1"/>
  <c r="D3622" i="106" s="1"/>
  <c r="B3621" i="106"/>
  <c r="D3621" i="106" s="1"/>
  <c r="B3552" i="106"/>
  <c r="D3552" i="106" s="1"/>
  <c r="B4103" i="106"/>
  <c r="D4103" i="106" s="1"/>
  <c r="D18" i="7"/>
  <c r="B4105" i="106" s="1"/>
  <c r="D4105" i="106" s="1"/>
  <c r="H13" i="4"/>
  <c r="K312" i="29"/>
  <c r="B1560" i="106" s="1"/>
  <c r="D1560" i="106" s="1"/>
  <c r="B1559" i="106"/>
  <c r="D1559" i="106" s="1"/>
  <c r="B1354" i="106"/>
  <c r="D1354" i="106" s="1"/>
  <c r="F184" i="29"/>
  <c r="K182" i="29"/>
  <c r="B1377" i="106" s="1"/>
  <c r="D1377" i="106" s="1"/>
  <c r="B203" i="106"/>
  <c r="D203" i="106" s="1"/>
  <c r="D170" i="5"/>
  <c r="B3565" i="106"/>
  <c r="D3565" i="106" s="1"/>
  <c r="B1239" i="106"/>
  <c r="D1239" i="106" s="1"/>
  <c r="E129" i="29"/>
  <c r="B5987" i="106"/>
  <c r="D5987" i="106" s="1"/>
  <c r="K109" i="5"/>
  <c r="B5869" i="106"/>
  <c r="D5869" i="106" s="1"/>
  <c r="G7" i="4"/>
  <c r="B2605" i="106" s="1"/>
  <c r="D2605" i="106" s="1"/>
  <c r="B3274" i="106"/>
  <c r="D3274" i="106" s="1"/>
  <c r="E77" i="4"/>
  <c r="B3277" i="106" s="1"/>
  <c r="D3277" i="106" s="1"/>
  <c r="C151" i="29"/>
  <c r="B1226" i="106" s="1"/>
  <c r="D1226" i="106" s="1"/>
  <c r="B1225" i="106"/>
  <c r="D1225" i="106" s="1"/>
  <c r="B3446" i="106"/>
  <c r="D3446" i="106" s="1"/>
  <c r="D16" i="7"/>
  <c r="B3447" i="106" s="1"/>
  <c r="D3447" i="106" s="1"/>
  <c r="K77" i="4"/>
  <c r="B3587" i="106" s="1"/>
  <c r="D3587" i="106" s="1"/>
  <c r="B1515" i="106"/>
  <c r="D1515" i="106" s="1"/>
  <c r="G16" i="4"/>
  <c r="B2611" i="106" s="1"/>
  <c r="D2611" i="106" s="1"/>
  <c r="B4395" i="106"/>
  <c r="D4395" i="106" s="1"/>
  <c r="F124" i="34"/>
  <c r="C266" i="5"/>
  <c r="B5320" i="106" s="1"/>
  <c r="D5320" i="106" s="1"/>
  <c r="B5246" i="106"/>
  <c r="D5246" i="106" s="1"/>
  <c r="F125" i="34"/>
  <c r="G12" i="145"/>
  <c r="B5102" i="106"/>
  <c r="D5102" i="106" s="1"/>
  <c r="F95" i="34"/>
  <c r="B952" i="106"/>
  <c r="D952" i="106" s="1"/>
  <c r="H114" i="29"/>
  <c r="B1054" i="106" s="1"/>
  <c r="D1054" i="106" s="1"/>
  <c r="B7207" i="106"/>
  <c r="D7207" i="106" s="1"/>
  <c r="J13" i="4"/>
  <c r="K342" i="29"/>
  <c r="B1151" i="106"/>
  <c r="D1151" i="106" s="1"/>
  <c r="K112" i="29"/>
  <c r="F58" i="34"/>
  <c r="B1259" i="106"/>
  <c r="D1259" i="106" s="1"/>
  <c r="B3724" i="106"/>
  <c r="D3724" i="106" s="1"/>
  <c r="F73" i="34"/>
  <c r="G15" i="4"/>
  <c r="B6032" i="106" s="1"/>
  <c r="D6032" i="106" s="1"/>
  <c r="B6858" i="106"/>
  <c r="D6858" i="106" s="1"/>
  <c r="F36" i="34"/>
  <c r="H174" i="29"/>
  <c r="B1318" i="106" s="1"/>
  <c r="D1318" i="106" s="1"/>
  <c r="B1317" i="106"/>
  <c r="D1317" i="106" s="1"/>
  <c r="B1744" i="106"/>
  <c r="D1744" i="106" s="1"/>
  <c r="D4" i="7"/>
  <c r="B19" i="7"/>
  <c r="B1759" i="106" s="1"/>
  <c r="D1759" i="106" s="1"/>
  <c r="B1501" i="106"/>
  <c r="D1501" i="106" s="1"/>
  <c r="K277" i="29"/>
  <c r="B1508" i="106" s="1"/>
  <c r="D1508" i="106" s="1"/>
  <c r="B5161" i="106"/>
  <c r="D5161" i="106" s="1"/>
  <c r="F106" i="34"/>
  <c r="B4157" i="106"/>
  <c r="D4157" i="106" s="1"/>
  <c r="K208" i="29"/>
  <c r="B1754" i="106"/>
  <c r="D1754" i="106" s="1"/>
  <c r="D14" i="7"/>
  <c r="B1770" i="106" s="1"/>
  <c r="D1770" i="106" s="1"/>
  <c r="B1481" i="106"/>
  <c r="D1481" i="106" s="1"/>
  <c r="K279" i="29"/>
  <c r="B1753" i="106"/>
  <c r="D1753" i="106" s="1"/>
  <c r="D12" i="7"/>
  <c r="B1769" i="106" s="1"/>
  <c r="D1769" i="106" s="1"/>
  <c r="B5132" i="106"/>
  <c r="D5132" i="106" s="1"/>
  <c r="C170" i="5"/>
  <c r="B1745" i="106"/>
  <c r="D1745" i="106" s="1"/>
  <c r="D5" i="7"/>
  <c r="B1761" i="106" s="1"/>
  <c r="D1761" i="106" s="1"/>
  <c r="B180" i="106"/>
  <c r="D180" i="106" s="1"/>
  <c r="G367" i="29"/>
  <c r="B3650" i="106" s="1"/>
  <c r="D3650" i="106" s="1"/>
  <c r="B3649" i="106"/>
  <c r="D3649" i="106" s="1"/>
  <c r="B7071" i="106"/>
  <c r="D7071" i="106" s="1"/>
  <c r="F66" i="34"/>
  <c r="B1120" i="106"/>
  <c r="D1120" i="106" s="1"/>
  <c r="K53" i="29"/>
  <c r="B5232" i="106"/>
  <c r="D5232" i="106" s="1"/>
  <c r="F123" i="34"/>
  <c r="K172" i="29"/>
  <c r="B1328" i="106"/>
  <c r="D1328" i="106" s="1"/>
  <c r="I77" i="4"/>
  <c r="B3319" i="106" s="1"/>
  <c r="D3319" i="106" s="1"/>
  <c r="H210" i="29"/>
  <c r="B1376" i="106" s="1"/>
  <c r="D1376" i="106" s="1"/>
  <c r="B157" i="106"/>
  <c r="D157" i="106" s="1"/>
  <c r="B5165" i="106"/>
  <c r="D5165" i="106" s="1"/>
  <c r="F107" i="34"/>
  <c r="B5225" i="106"/>
  <c r="D5225" i="106" s="1"/>
  <c r="B1129" i="106"/>
  <c r="D1129" i="106" s="1"/>
  <c r="G29" i="108"/>
  <c r="B1093" i="106"/>
  <c r="D1093" i="106" s="1"/>
  <c r="K33" i="29"/>
  <c r="F367" i="29"/>
  <c r="B3643" i="106" s="1"/>
  <c r="D3643" i="106" s="1"/>
  <c r="B3642" i="106"/>
  <c r="D3642" i="106" s="1"/>
  <c r="B7215" i="106"/>
  <c r="D7215" i="106" s="1"/>
  <c r="J16" i="4"/>
  <c r="B6226" i="106" s="1"/>
  <c r="D6226" i="106" s="1"/>
  <c r="B5873" i="106"/>
  <c r="D5873" i="106" s="1"/>
  <c r="H109" i="5"/>
  <c r="L114" i="29"/>
  <c r="B1139" i="106"/>
  <c r="D1139" i="106" s="1"/>
  <c r="D37" i="108"/>
  <c r="F37" i="108"/>
  <c r="B1364" i="106"/>
  <c r="D1364" i="106" s="1"/>
  <c r="G210" i="29"/>
  <c r="C114" i="29"/>
  <c r="B757" i="106" s="1"/>
  <c r="D757" i="106" s="1"/>
  <c r="K127" i="29"/>
  <c r="B5334" i="106"/>
  <c r="D5334" i="106" s="1"/>
  <c r="D109" i="5"/>
  <c r="K42" i="29"/>
  <c r="G170" i="5"/>
  <c r="B5770" i="106"/>
  <c r="D5770" i="106" s="1"/>
  <c r="B4411" i="106"/>
  <c r="D4411" i="106" s="1"/>
  <c r="F127" i="34"/>
  <c r="B3252" i="106"/>
  <c r="D3252" i="106" s="1"/>
  <c r="F77" i="4"/>
  <c r="B3255" i="106" s="1"/>
  <c r="D3255" i="106" s="1"/>
  <c r="F267" i="5"/>
  <c r="B6853" i="106"/>
  <c r="D6853" i="106" s="1"/>
  <c r="F35" i="34"/>
  <c r="G22" i="108"/>
  <c r="B1119" i="106"/>
  <c r="D1119" i="106" s="1"/>
  <c r="E22" i="108"/>
  <c r="K352" i="29"/>
  <c r="B3670" i="106"/>
  <c r="D3670" i="106" s="1"/>
  <c r="B5513" i="106"/>
  <c r="D5513" i="106" s="1"/>
  <c r="E109" i="5"/>
  <c r="B5725" i="106"/>
  <c r="D5725" i="106" s="1"/>
  <c r="G109" i="5"/>
  <c r="K196" i="29"/>
  <c r="B2837" i="106"/>
  <c r="D2837" i="106" s="1"/>
  <c r="B1751" i="106"/>
  <c r="D1751" i="106" s="1"/>
  <c r="D9" i="7"/>
  <c r="B1767" i="106" s="1"/>
  <c r="D1767" i="106" s="1"/>
  <c r="B959" i="106"/>
  <c r="D959" i="106" s="1"/>
  <c r="G74" i="29"/>
  <c r="B987" i="106" s="1"/>
  <c r="D987" i="106" s="1"/>
  <c r="K149" i="29"/>
  <c r="B7048" i="106"/>
  <c r="D7048" i="106" s="1"/>
  <c r="B7054" i="106"/>
  <c r="D7054" i="106" s="1"/>
  <c r="J7" i="4"/>
  <c r="B6222" i="106" s="1"/>
  <c r="D6222" i="106" s="1"/>
  <c r="F6" i="4"/>
  <c r="B2593" i="106" s="1"/>
  <c r="D2593" i="106" s="1"/>
  <c r="B5653" i="106"/>
  <c r="D5653" i="106" s="1"/>
  <c r="F94" i="34"/>
  <c r="B5096" i="106"/>
  <c r="D5096" i="106" s="1"/>
  <c r="B5906" i="106"/>
  <c r="D5906" i="106" s="1"/>
  <c r="H6" i="4"/>
  <c r="B2656" i="106" s="1"/>
  <c r="D2656" i="106" s="1"/>
  <c r="F151" i="29"/>
  <c r="B1250" i="106" s="1"/>
  <c r="D1250" i="106" s="1"/>
  <c r="B1249" i="106"/>
  <c r="D1249" i="106" s="1"/>
  <c r="E33" i="108"/>
  <c r="G33" i="108"/>
  <c r="E17" i="145"/>
  <c r="G17" i="145" s="1"/>
  <c r="B1134" i="106"/>
  <c r="D1134" i="106" s="1"/>
  <c r="K72" i="29"/>
  <c r="B1141" i="106" s="1"/>
  <c r="D1141" i="106" s="1"/>
  <c r="H7" i="4"/>
  <c r="B2657" i="106" s="1"/>
  <c r="D2657" i="106" s="1"/>
  <c r="B5914" i="106"/>
  <c r="D5914" i="106" s="1"/>
  <c r="B5125" i="106"/>
  <c r="D5125" i="106" s="1"/>
  <c r="C5" i="4"/>
  <c r="B3405" i="106" s="1"/>
  <c r="D3405" i="106" s="1"/>
  <c r="K6" i="4"/>
  <c r="B3570" i="106" s="1"/>
  <c r="D3570" i="106" s="1"/>
  <c r="B6014" i="106"/>
  <c r="D6014" i="106" s="1"/>
  <c r="B5260" i="106"/>
  <c r="D5260" i="106" s="1"/>
  <c r="F126" i="34"/>
  <c r="B1339" i="106"/>
  <c r="D1339" i="106" s="1"/>
  <c r="C210" i="29"/>
  <c r="B1340" i="106" s="1"/>
  <c r="D1340" i="106" s="1"/>
  <c r="D31" i="108"/>
  <c r="F31" i="108"/>
  <c r="E16" i="145"/>
  <c r="G16" i="145" s="1"/>
  <c r="B1131" i="106"/>
  <c r="D1131" i="106" s="1"/>
  <c r="B5178" i="106"/>
  <c r="D5178" i="106" s="1"/>
  <c r="F111" i="34"/>
  <c r="B1748" i="106"/>
  <c r="D1748" i="106" s="1"/>
  <c r="D8" i="7"/>
  <c r="B1764" i="106" s="1"/>
  <c r="D1764" i="106" s="1"/>
  <c r="B5557" i="106"/>
  <c r="D5557" i="106" s="1"/>
  <c r="F109" i="5"/>
  <c r="B109" i="106"/>
  <c r="D109" i="106" s="1"/>
  <c r="B6024" i="106" l="1"/>
  <c r="D6024" i="106" s="1"/>
  <c r="G4" i="4"/>
  <c r="G268" i="5"/>
  <c r="F59" i="34"/>
  <c r="B7051" i="106"/>
  <c r="D7051" i="106" s="1"/>
  <c r="B5778" i="106"/>
  <c r="D5778" i="106" s="1"/>
  <c r="G6" i="4"/>
  <c r="B2604" i="106" s="1"/>
  <c r="D2604" i="106" s="1"/>
  <c r="B1382" i="106"/>
  <c r="D1382" i="106" s="1"/>
  <c r="F63" i="34"/>
  <c r="F15" i="4"/>
  <c r="B2598" i="106" s="1"/>
  <c r="D2598" i="106" s="1"/>
  <c r="B1365" i="106"/>
  <c r="D1365" i="106" s="1"/>
  <c r="F65" i="34"/>
  <c r="E23" i="108"/>
  <c r="B1122" i="106"/>
  <c r="D1122" i="106" s="1"/>
  <c r="G23" i="108"/>
  <c r="K4" i="4"/>
  <c r="B6028" i="106"/>
  <c r="D6028" i="106" s="1"/>
  <c r="K268" i="5"/>
  <c r="B6026" i="106"/>
  <c r="D6026" i="106" s="1"/>
  <c r="I4" i="4"/>
  <c r="I268" i="5"/>
  <c r="B5946" i="106" s="1"/>
  <c r="D5946" i="106" s="1"/>
  <c r="B4434" i="106"/>
  <c r="D4434" i="106" s="1"/>
  <c r="E7" i="4"/>
  <c r="B4443" i="106" s="1"/>
  <c r="D4443" i="106" s="1"/>
  <c r="B7020" i="106"/>
  <c r="D7020" i="106" s="1"/>
  <c r="F55" i="34"/>
  <c r="F17" i="11"/>
  <c r="J268" i="5"/>
  <c r="J4" i="4"/>
  <c r="B6352" i="106"/>
  <c r="D6352" i="106" s="1"/>
  <c r="E29" i="108"/>
  <c r="B5223" i="106"/>
  <c r="D5223" i="106" s="1"/>
  <c r="C6" i="4"/>
  <c r="B2553" i="106" s="1"/>
  <c r="D2553" i="106" s="1"/>
  <c r="G114" i="29"/>
  <c r="F174" i="34"/>
  <c r="E4" i="4"/>
  <c r="B5527" i="106"/>
  <c r="D5527" i="106" s="1"/>
  <c r="E268" i="5"/>
  <c r="K74" i="29"/>
  <c r="E21" i="108"/>
  <c r="G21" i="108"/>
  <c r="B1115" i="106"/>
  <c r="D1115" i="106" s="1"/>
  <c r="B2633" i="106"/>
  <c r="D2633" i="106" s="1"/>
  <c r="D41" i="108"/>
  <c r="E43" i="108" s="1"/>
  <c r="K184" i="29"/>
  <c r="F16" i="4"/>
  <c r="B2599" i="106" s="1"/>
  <c r="D2599" i="106" s="1"/>
  <c r="B1387" i="106"/>
  <c r="D1387" i="106" s="1"/>
  <c r="B1241" i="106"/>
  <c r="D1241" i="106" s="1"/>
  <c r="E151" i="29"/>
  <c r="B1242" i="106" s="1"/>
  <c r="D1242" i="106" s="1"/>
  <c r="B1358" i="106"/>
  <c r="D1358" i="106" s="1"/>
  <c r="F210" i="29"/>
  <c r="B1359" i="106" s="1"/>
  <c r="D1359" i="106" s="1"/>
  <c r="F7" i="4"/>
  <c r="B2594" i="106" s="1"/>
  <c r="D2594" i="106" s="1"/>
  <c r="B5719" i="106"/>
  <c r="D5719" i="106" s="1"/>
  <c r="B5356" i="106"/>
  <c r="D5356" i="106" s="1"/>
  <c r="D4" i="4"/>
  <c r="C267" i="5"/>
  <c r="B7019" i="106"/>
  <c r="D7019" i="106" s="1"/>
  <c r="C16" i="4"/>
  <c r="B2560" i="106" s="1"/>
  <c r="D2560" i="106" s="1"/>
  <c r="F57" i="34"/>
  <c r="B1282" i="106"/>
  <c r="D1282" i="106" s="1"/>
  <c r="D15" i="4"/>
  <c r="B2571" i="106" s="1"/>
  <c r="D2571" i="106" s="1"/>
  <c r="F41" i="108"/>
  <c r="G43" i="108" s="1"/>
  <c r="F4" i="4"/>
  <c r="B5588" i="106"/>
  <c r="D5588" i="106" s="1"/>
  <c r="F268" i="5"/>
  <c r="K174" i="29"/>
  <c r="B1331" i="106"/>
  <c r="D1331" i="106" s="1"/>
  <c r="E16" i="4"/>
  <c r="B2634" i="106" s="1"/>
  <c r="D2634" i="106" s="1"/>
  <c r="B5121" i="106"/>
  <c r="D5121" i="106" s="1"/>
  <c r="C4" i="4"/>
  <c r="B5501" i="106"/>
  <c r="D5501" i="106" s="1"/>
  <c r="D267" i="5"/>
  <c r="K367" i="29"/>
  <c r="B3678" i="106" s="1"/>
  <c r="D3678" i="106" s="1"/>
  <c r="K13" i="4"/>
  <c r="B3672" i="106"/>
  <c r="D3672" i="106" s="1"/>
  <c r="B1279" i="106"/>
  <c r="D1279" i="106" s="1"/>
  <c r="K129" i="29"/>
  <c r="H268" i="5"/>
  <c r="B6025" i="106"/>
  <c r="D6025" i="106" s="1"/>
  <c r="H4" i="4"/>
  <c r="B1510" i="106"/>
  <c r="D1510" i="106" s="1"/>
  <c r="G13" i="4"/>
  <c r="B2608" i="106" s="1"/>
  <c r="D2608" i="106" s="1"/>
  <c r="F13" i="34"/>
  <c r="B7224" i="106"/>
  <c r="D7224" i="106" s="1"/>
  <c r="G19" i="145"/>
  <c r="J20" i="145" s="1"/>
  <c r="B5421" i="106"/>
  <c r="D5421" i="106" s="1"/>
  <c r="D6" i="4"/>
  <c r="B2566" i="106" s="1"/>
  <c r="D2566" i="106" s="1"/>
  <c r="H17" i="4"/>
  <c r="B2659" i="106"/>
  <c r="D2659" i="106" s="1"/>
  <c r="K295" i="29"/>
  <c r="B7243" i="106"/>
  <c r="D7243" i="106" s="1"/>
  <c r="K16" i="4"/>
  <c r="B3574" i="106" s="1"/>
  <c r="D3574" i="106" s="1"/>
  <c r="B1287" i="106"/>
  <c r="D1287" i="106" s="1"/>
  <c r="D16" i="4"/>
  <c r="B2572" i="106" s="1"/>
  <c r="D2572" i="106" s="1"/>
  <c r="B1760" i="106"/>
  <c r="D1760" i="106" s="1"/>
  <c r="D19" i="7"/>
  <c r="B1775" i="106" s="1"/>
  <c r="D1775" i="106" s="1"/>
  <c r="G19" i="108"/>
  <c r="B1108" i="106"/>
  <c r="D1108" i="106" s="1"/>
  <c r="E19" i="108"/>
  <c r="E41" i="108" s="1"/>
  <c r="E44" i="108" s="1"/>
  <c r="E45" i="108" s="1"/>
  <c r="C12" i="4"/>
  <c r="B7042" i="106"/>
  <c r="D7042" i="106" s="1"/>
  <c r="J17" i="4"/>
  <c r="E19" i="145"/>
  <c r="B2607" i="106"/>
  <c r="D2607" i="106" s="1"/>
  <c r="F53" i="34"/>
  <c r="B1145" i="106"/>
  <c r="D1145" i="106" s="1"/>
  <c r="C15" i="4"/>
  <c r="B2559" i="106" s="1"/>
  <c r="D2559" i="106" s="1"/>
  <c r="G17" i="4" l="1"/>
  <c r="G19" i="4" s="1"/>
  <c r="B4140" i="106" s="1"/>
  <c r="D4140" i="106" s="1"/>
  <c r="B2556" i="106"/>
  <c r="D2556" i="106" s="1"/>
  <c r="C13" i="4"/>
  <c r="B2557" i="106" s="1"/>
  <c r="D2557" i="106" s="1"/>
  <c r="B1143" i="106"/>
  <c r="D1143" i="106" s="1"/>
  <c r="F12" i="34"/>
  <c r="B1517" i="106"/>
  <c r="D1517" i="106" s="1"/>
  <c r="B3572" i="106"/>
  <c r="D3572" i="106" s="1"/>
  <c r="K17" i="4"/>
  <c r="F13" i="4"/>
  <c r="B1381" i="106"/>
  <c r="D1381" i="106" s="1"/>
  <c r="K210" i="29"/>
  <c r="B5552" i="106"/>
  <c r="D5552" i="106" s="1"/>
  <c r="K175" i="29"/>
  <c r="B1333" i="106" s="1"/>
  <c r="D1333" i="106" s="1"/>
  <c r="B2912" i="106"/>
  <c r="D2912" i="106" s="1"/>
  <c r="I41" i="3"/>
  <c r="B140" i="106"/>
  <c r="D140" i="106" s="1"/>
  <c r="E41" i="3"/>
  <c r="G41" i="108"/>
  <c r="G44" i="108" s="1"/>
  <c r="G45" i="108" s="1"/>
  <c r="F10" i="34"/>
  <c r="B1332" i="106"/>
  <c r="D1332" i="106" s="1"/>
  <c r="B6220" i="106"/>
  <c r="D6220" i="106" s="1"/>
  <c r="J8" i="4"/>
  <c r="B3225" i="106"/>
  <c r="D3225" i="106" s="1"/>
  <c r="I8" i="4"/>
  <c r="B6215" i="106"/>
  <c r="D6215" i="106" s="1"/>
  <c r="J41" i="3"/>
  <c r="H19" i="4"/>
  <c r="B4141" i="106" s="1"/>
  <c r="D4141" i="106" s="1"/>
  <c r="B2661" i="106"/>
  <c r="D2661" i="106" s="1"/>
  <c r="B2655" i="106"/>
  <c r="D2655" i="106" s="1"/>
  <c r="H8" i="4"/>
  <c r="D7" i="4"/>
  <c r="B2567" i="106" s="1"/>
  <c r="D2567" i="106" s="1"/>
  <c r="B5507" i="106"/>
  <c r="D5507" i="106" s="1"/>
  <c r="B5720" i="106"/>
  <c r="D5720" i="106" s="1"/>
  <c r="K211" i="29"/>
  <c r="B1389" i="106" s="1"/>
  <c r="D1389" i="106" s="1"/>
  <c r="E17" i="4"/>
  <c r="B2630" i="106"/>
  <c r="D2630" i="106" s="1"/>
  <c r="E8" i="4"/>
  <c r="B7055" i="106"/>
  <c r="D7055" i="106" s="1"/>
  <c r="K343" i="29"/>
  <c r="B7225" i="106" s="1"/>
  <c r="D7225" i="106" s="1"/>
  <c r="K296" i="29"/>
  <c r="B1518" i="106" s="1"/>
  <c r="D1518" i="106" s="1"/>
  <c r="B5870" i="106"/>
  <c r="D5870" i="106" s="1"/>
  <c r="B6227" i="106"/>
  <c r="D6227" i="106" s="1"/>
  <c r="J19" i="4"/>
  <c r="B6229" i="106" s="1"/>
  <c r="D6229" i="106" s="1"/>
  <c r="B5326" i="106"/>
  <c r="D5326" i="106" s="1"/>
  <c r="C7" i="4"/>
  <c r="I17" i="11"/>
  <c r="B7624" i="106"/>
  <c r="D7624" i="106" s="1"/>
  <c r="B6023" i="106"/>
  <c r="D6023" i="106" s="1"/>
  <c r="K368" i="29"/>
  <c r="B3681" i="106" s="1"/>
  <c r="D3681" i="106" s="1"/>
  <c r="B2603" i="106"/>
  <c r="D2603" i="106" s="1"/>
  <c r="G8" i="4"/>
  <c r="B5915" i="106"/>
  <c r="D5915" i="106" s="1"/>
  <c r="K313" i="29"/>
  <c r="B1561" i="106" s="1"/>
  <c r="D1561" i="106" s="1"/>
  <c r="C268" i="5"/>
  <c r="B2591" i="106"/>
  <c r="D2591" i="106" s="1"/>
  <c r="F8" i="4"/>
  <c r="D268" i="5"/>
  <c r="B989" i="106"/>
  <c r="D989" i="106" s="1"/>
  <c r="F54" i="34"/>
  <c r="F76" i="34" s="1"/>
  <c r="K114" i="29"/>
  <c r="B1281" i="106"/>
  <c r="D1281" i="106" s="1"/>
  <c r="D13" i="4"/>
  <c r="K151" i="29"/>
  <c r="B2551" i="106"/>
  <c r="D2551" i="106" s="1"/>
  <c r="C8" i="4"/>
  <c r="B2564" i="106"/>
  <c r="D2564" i="106" s="1"/>
  <c r="B3569" i="106"/>
  <c r="D3569" i="106" s="1"/>
  <c r="K8" i="4"/>
  <c r="B2612" i="106" l="1"/>
  <c r="D2612" i="106" s="1"/>
  <c r="D8" i="4"/>
  <c r="C8" i="146" s="1"/>
  <c r="B6216" i="106"/>
  <c r="D6216" i="106" s="1"/>
  <c r="D51" i="36"/>
  <c r="F10" i="4"/>
  <c r="B4125" i="106" s="1"/>
  <c r="D4125" i="106" s="1"/>
  <c r="B2595" i="106"/>
  <c r="D2595" i="106" s="1"/>
  <c r="D8" i="146"/>
  <c r="B141" i="106"/>
  <c r="D141" i="106" s="1"/>
  <c r="D46" i="36"/>
  <c r="F11" i="34"/>
  <c r="B1388" i="106"/>
  <c r="D1388" i="106" s="1"/>
  <c r="F9" i="34"/>
  <c r="B1288" i="106"/>
  <c r="D1288" i="106" s="1"/>
  <c r="B3226" i="106"/>
  <c r="D3226" i="106" s="1"/>
  <c r="E8" i="146"/>
  <c r="E10" i="146" s="1"/>
  <c r="I20" i="4"/>
  <c r="I10" i="4"/>
  <c r="B4128" i="106" s="1"/>
  <c r="D4128" i="106" s="1"/>
  <c r="D17" i="4"/>
  <c r="D20" i="4" s="1"/>
  <c r="B2569" i="106"/>
  <c r="D2569" i="106" s="1"/>
  <c r="B5327" i="106"/>
  <c r="D5327" i="106" s="1"/>
  <c r="K115" i="29"/>
  <c r="B1153" i="106" s="1"/>
  <c r="D1153" i="106" s="1"/>
  <c r="I18" i="11"/>
  <c r="B7625" i="106"/>
  <c r="D7625" i="106" s="1"/>
  <c r="H10" i="4"/>
  <c r="B4127" i="106" s="1"/>
  <c r="D4127" i="106" s="1"/>
  <c r="B2658" i="106"/>
  <c r="D2658" i="106" s="1"/>
  <c r="H20" i="4"/>
  <c r="B2596" i="106"/>
  <c r="D2596" i="106" s="1"/>
  <c r="F17" i="4"/>
  <c r="F20" i="4" s="1"/>
  <c r="K10" i="4"/>
  <c r="B4130" i="106" s="1"/>
  <c r="D4130" i="106" s="1"/>
  <c r="B3571" i="106"/>
  <c r="D3571" i="106" s="1"/>
  <c r="K20" i="4"/>
  <c r="B2554" i="106"/>
  <c r="D2554" i="106" s="1"/>
  <c r="D10" i="171"/>
  <c r="D19" i="171" s="1"/>
  <c r="D32" i="171" s="1"/>
  <c r="D49" i="171" s="1"/>
  <c r="E20" i="4"/>
  <c r="B2632" i="106"/>
  <c r="D2632" i="106" s="1"/>
  <c r="E10" i="4"/>
  <c r="B4124" i="106" s="1"/>
  <c r="D4124" i="106" s="1"/>
  <c r="J20" i="4"/>
  <c r="J10" i="4"/>
  <c r="B6225" i="106" s="1"/>
  <c r="D6225" i="106" s="1"/>
  <c r="B6223" i="106"/>
  <c r="D6223" i="106" s="1"/>
  <c r="B2913" i="106"/>
  <c r="D2913" i="106" s="1"/>
  <c r="D50" i="36"/>
  <c r="B3575" i="106"/>
  <c r="D3575" i="106" s="1"/>
  <c r="K19" i="4"/>
  <c r="B4144" i="106" s="1"/>
  <c r="D4144" i="106" s="1"/>
  <c r="B5508" i="106"/>
  <c r="D5508" i="106" s="1"/>
  <c r="K152" i="29"/>
  <c r="B1289" i="106" s="1"/>
  <c r="D1289" i="106" s="1"/>
  <c r="B1152" i="106"/>
  <c r="D1152" i="106" s="1"/>
  <c r="F8" i="34"/>
  <c r="C17" i="4"/>
  <c r="C10" i="4"/>
  <c r="B4122" i="106" s="1"/>
  <c r="D4122" i="106" s="1"/>
  <c r="B8" i="146"/>
  <c r="B2555" i="106"/>
  <c r="D2555" i="106" s="1"/>
  <c r="H18" i="118"/>
  <c r="H13" i="118"/>
  <c r="B189" i="106"/>
  <c r="D189" i="106" s="1"/>
  <c r="G41" i="3"/>
  <c r="D10" i="4"/>
  <c r="B4123" i="106" s="1"/>
  <c r="D4123" i="106" s="1"/>
  <c r="B2606" i="106"/>
  <c r="D2606" i="106" s="1"/>
  <c r="G20" i="4"/>
  <c r="G10" i="4"/>
  <c r="B4126" i="106" s="1"/>
  <c r="D4126" i="106" s="1"/>
  <c r="E19" i="4"/>
  <c r="B4138" i="106" s="1"/>
  <c r="D4138" i="106" s="1"/>
  <c r="B2635" i="106"/>
  <c r="D2635" i="106" s="1"/>
  <c r="D16" i="37" l="1"/>
  <c r="B2568" i="106"/>
  <c r="D2568" i="106" s="1"/>
  <c r="B2574" i="106"/>
  <c r="D2574" i="106" s="1"/>
  <c r="D78" i="4"/>
  <c r="B2601" i="106"/>
  <c r="D2601" i="106" s="1"/>
  <c r="F78" i="4"/>
  <c r="F8" i="146"/>
  <c r="B2561" i="106"/>
  <c r="D2561" i="106" s="1"/>
  <c r="H17" i="118"/>
  <c r="F16" i="37"/>
  <c r="C19" i="4"/>
  <c r="B4136" i="106" s="1"/>
  <c r="D4136" i="106" s="1"/>
  <c r="B9" i="146"/>
  <c r="B10" i="146" s="1"/>
  <c r="B3227" i="106"/>
  <c r="D3227" i="106" s="1"/>
  <c r="I78" i="4"/>
  <c r="B190" i="106"/>
  <c r="D190" i="106" s="1"/>
  <c r="D48" i="36"/>
  <c r="B2613" i="106"/>
  <c r="D2613" i="106" s="1"/>
  <c r="G78" i="4"/>
  <c r="F14" i="34"/>
  <c r="F77" i="34" s="1"/>
  <c r="K78" i="4"/>
  <c r="B3576" i="106"/>
  <c r="D3576" i="106" s="1"/>
  <c r="B2662" i="106"/>
  <c r="D2662" i="106" s="1"/>
  <c r="H78" i="4"/>
  <c r="F176" i="34"/>
  <c r="B7631" i="106"/>
  <c r="D7631" i="106" s="1"/>
  <c r="B212" i="106"/>
  <c r="D212" i="106" s="1"/>
  <c r="H41" i="3"/>
  <c r="E78" i="4"/>
  <c r="B2636" i="106"/>
  <c r="D2636" i="106" s="1"/>
  <c r="D19" i="4"/>
  <c r="B4137" i="106" s="1"/>
  <c r="D4137" i="106" s="1"/>
  <c r="C9" i="146"/>
  <c r="C10" i="146" s="1"/>
  <c r="B2573" i="106"/>
  <c r="D2573" i="106" s="1"/>
  <c r="B3567" i="106"/>
  <c r="D3567" i="106" s="1"/>
  <c r="K41" i="3"/>
  <c r="C20" i="4"/>
  <c r="B6230" i="106"/>
  <c r="D6230" i="106" s="1"/>
  <c r="J78" i="4"/>
  <c r="H16" i="37"/>
  <c r="D9" i="146"/>
  <c r="D10" i="146" s="1"/>
  <c r="F19" i="4"/>
  <c r="B4139" i="106" s="1"/>
  <c r="D4139" i="106" s="1"/>
  <c r="B2600" i="106"/>
  <c r="D2600" i="106" s="1"/>
  <c r="B282" i="106"/>
  <c r="D282" i="106" s="1"/>
  <c r="N23" i="3"/>
  <c r="B123" i="106"/>
  <c r="D123" i="106" s="1"/>
  <c r="D41" i="3"/>
  <c r="F175" i="34" l="1"/>
  <c r="F177" i="34" s="1"/>
  <c r="F179" i="34" s="1"/>
  <c r="F79" i="34"/>
  <c r="H25" i="118"/>
  <c r="K24" i="118" s="1"/>
  <c r="O23" i="118" s="1"/>
  <c r="O25" i="118" s="1"/>
  <c r="K17" i="118"/>
  <c r="B124" i="106"/>
  <c r="D124" i="106" s="1"/>
  <c r="D45" i="36"/>
  <c r="B92" i="106"/>
  <c r="D92" i="106" s="1"/>
  <c r="D76" i="36"/>
  <c r="C41" i="3"/>
  <c r="J81" i="4"/>
  <c r="B6263" i="106"/>
  <c r="D6263" i="106" s="1"/>
  <c r="B3300" i="106"/>
  <c r="D3300" i="106" s="1"/>
  <c r="H81" i="4"/>
  <c r="B3320" i="106"/>
  <c r="D3320" i="106" s="1"/>
  <c r="I81" i="4"/>
  <c r="B284" i="106"/>
  <c r="D284" i="106" s="1"/>
  <c r="D55" i="36"/>
  <c r="B2562" i="106"/>
  <c r="D2562" i="106" s="1"/>
  <c r="C78" i="4"/>
  <c r="B3278" i="106"/>
  <c r="D3278" i="106" s="1"/>
  <c r="E81" i="4"/>
  <c r="B3256" i="106"/>
  <c r="D3256" i="106" s="1"/>
  <c r="F81" i="4"/>
  <c r="B213" i="106"/>
  <c r="D213" i="106" s="1"/>
  <c r="D49" i="36"/>
  <c r="K81" i="4"/>
  <c r="B3588" i="106"/>
  <c r="D3588" i="106" s="1"/>
  <c r="F9" i="146"/>
  <c r="F10" i="146" s="1"/>
  <c r="B170" i="106"/>
  <c r="D170" i="106" s="1"/>
  <c r="D60" i="36"/>
  <c r="F41" i="3"/>
  <c r="B3568" i="106"/>
  <c r="D3568" i="106" s="1"/>
  <c r="D52" i="36"/>
  <c r="D81" i="4"/>
  <c r="B3239" i="106"/>
  <c r="D3239" i="106" s="1"/>
  <c r="G81" i="4"/>
  <c r="B3262" i="106"/>
  <c r="D3262" i="106" s="1"/>
  <c r="B93" i="106" l="1"/>
  <c r="D93" i="106" s="1"/>
  <c r="D44" i="36"/>
  <c r="D82" i="4"/>
  <c r="C11" i="146"/>
  <c r="B1644" i="106"/>
  <c r="D1644" i="106" s="1"/>
  <c r="D58" i="36"/>
  <c r="B3591" i="106"/>
  <c r="D3591" i="106" s="1"/>
  <c r="K82" i="4"/>
  <c r="D65" i="36"/>
  <c r="J82" i="4"/>
  <c r="B6266" i="106"/>
  <c r="D6266" i="106" s="1"/>
  <c r="D64" i="36"/>
  <c r="B171" i="106"/>
  <c r="D171" i="106" s="1"/>
  <c r="D47" i="36"/>
  <c r="B1672" i="106"/>
  <c r="D1672" i="106" s="1"/>
  <c r="D11" i="146"/>
  <c r="F82" i="4"/>
  <c r="B3323" i="106"/>
  <c r="D3323" i="106" s="1"/>
  <c r="I82" i="4"/>
  <c r="E11" i="146"/>
  <c r="D63" i="36"/>
  <c r="B1658" i="106"/>
  <c r="D1658" i="106" s="1"/>
  <c r="E82" i="4"/>
  <c r="D59" i="36"/>
  <c r="B1700" i="106"/>
  <c r="D1700" i="106" s="1"/>
  <c r="H82" i="4"/>
  <c r="D62" i="36"/>
  <c r="G82" i="4"/>
  <c r="B1686" i="106"/>
  <c r="D1686" i="106" s="1"/>
  <c r="D61" i="36"/>
  <c r="B3233" i="106"/>
  <c r="D3233" i="106" s="1"/>
  <c r="C81" i="4"/>
  <c r="O16" i="118"/>
  <c r="J20" i="118"/>
  <c r="K20" i="118"/>
  <c r="O17" i="118" l="1"/>
  <c r="O20" i="118" s="1"/>
  <c r="B6275" i="106"/>
  <c r="D6275" i="106" s="1"/>
  <c r="K83" i="4"/>
  <c r="B6284" i="106" s="1"/>
  <c r="D6284" i="106" s="1"/>
  <c r="B6269" i="106"/>
  <c r="D6269" i="106" s="1"/>
  <c r="E83" i="4"/>
  <c r="B6278" i="106" s="1"/>
  <c r="D6278" i="106" s="1"/>
  <c r="B6271" i="106"/>
  <c r="D6271" i="106" s="1"/>
  <c r="G83" i="4"/>
  <c r="B6280" i="106" s="1"/>
  <c r="D6280" i="106" s="1"/>
  <c r="F11" i="146"/>
  <c r="I83" i="4"/>
  <c r="B6282" i="106" s="1"/>
  <c r="D6282" i="106" s="1"/>
  <c r="B6273" i="106"/>
  <c r="D6273" i="106" s="1"/>
  <c r="B6268" i="106"/>
  <c r="D6268" i="106" s="1"/>
  <c r="D83" i="4"/>
  <c r="B6277" i="106" s="1"/>
  <c r="D6277" i="106" s="1"/>
  <c r="B11" i="146"/>
  <c r="C82" i="4"/>
  <c r="B1630" i="106"/>
  <c r="D1630" i="106" s="1"/>
  <c r="H12" i="118"/>
  <c r="K12" i="118" s="1"/>
  <c r="O11" i="118" s="1"/>
  <c r="O13" i="118" s="1"/>
  <c r="O35" i="118" s="1"/>
  <c r="O37" i="118" s="1"/>
  <c r="J16" i="37"/>
  <c r="B4269" i="106" s="1"/>
  <c r="D4269" i="106" s="1"/>
  <c r="D57" i="36"/>
  <c r="H83" i="4"/>
  <c r="B6281" i="106" s="1"/>
  <c r="D6281" i="106" s="1"/>
  <c r="B6272" i="106"/>
  <c r="D6272" i="106" s="1"/>
  <c r="J83" i="4"/>
  <c r="B6283" i="106" s="1"/>
  <c r="D6283" i="106" s="1"/>
  <c r="B6274" i="106"/>
  <c r="D6274" i="106" s="1"/>
  <c r="F83" i="4"/>
  <c r="B6279" i="106" s="1"/>
  <c r="D6279" i="106" s="1"/>
  <c r="B6270" i="106"/>
  <c r="D6270" i="106" s="1"/>
  <c r="D29" i="36" l="1"/>
  <c r="J24" i="24" s="1"/>
  <c r="C12" i="146"/>
  <c r="B6267" i="106"/>
  <c r="D6267" i="106" s="1"/>
  <c r="C83" i="4"/>
  <c r="B6276" i="106" s="1"/>
  <c r="D6276"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<sst xmlns="http://schemas.openxmlformats.org/spreadsheetml/2006/main" count="5384" uniqueCount="2253">
  <si>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</si>
  <si>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</si>
  <si>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</si>
  <si>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</si>
  <si>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</si>
  <si>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</si>
  <si>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</si>
  <si>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</si>
  <si>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</si>
  <si>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</si>
  <si>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</si>
  <si>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</si>
  <si>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</si>
  <si>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</si>
  <si>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</si>
  <si>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</si>
  <si>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</si>
  <si>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</si>
  <si>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</si>
  <si>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</si>
  <si>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</si>
  <si>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</si>
  <si>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</si>
  <si>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</si>
  <si>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</si>
  <si>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</si>
  <si>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</si>
  <si>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</si>
  <si>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</si>
  <si>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</si>
  <si>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</si>
  <si>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</si>
  <si>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</si>
  <si>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</si>
  <si>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</si>
  <si>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</si>
  <si>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</si>
  <si>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</si>
  <si>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</si>
  <si>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</si>
  <si>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</si>
  <si>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</si>
  <si>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</si>
  <si>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</si>
  <si>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</si>
  <si>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</si>
  <si>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</si>
  <si>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</si>
  <si>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</si>
  <si>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</si>
  <si>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</si>
  <si>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</si>
  <si>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</si>
  <si>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</si>
  <si>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</si>
  <si>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</si>
  <si>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</si>
  <si>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</si>
  <si>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</si>
  <si>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</si>
  <si>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</si>
  <si>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</si>
  <si>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</si>
  <si>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</si>
  <si>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</si>
  <si>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</si>
  <si>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</si>
  <si>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</si>
  <si>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</si>
  <si>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</si>
  <si>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</si>
  <si>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</si>
  <si>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</si>
  <si>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</si>
  <si>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</si>
  <si>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</si>
  <si>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</si>
  <si>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</si>
  <si>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</si>
  <si>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</si>
  <si>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</si>
  <si>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</si>
  <si>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</si>
  <si>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</si>
  <si>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</si>
  <si>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</si>
  <si>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</si>
  <si>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</si>
  <si>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</si>
  <si>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</si>
  <si>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</si>
  <si>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</si>
  <si>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</si>
  <si>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</si>
  <si>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</si>
  <si>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</si>
  <si>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</si>
  <si>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</si>
  <si>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</si>
  <si>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</si>
  <si>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</si>
  <si>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</si>
  <si>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</si>
  <si>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</si>
  <si>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</si>
  <si>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</si>
  <si>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</si>
  <si>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</si>
  <si>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</si>
  <si>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</si>
  <si>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</si>
  <si>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</si>
  <si>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</si>
  <si>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</si>
  <si>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</si>
  <si>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</si>
  <si>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</si>
  <si>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</si>
  <si>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</si>
  <si>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</si>
  <si>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</si>
  <si>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</si>
  <si>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</si>
  <si>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</si>
  <si>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</si>
  <si>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</si>
  <si>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</si>
  <si>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</si>
  <si>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</si>
  <si>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</si>
  <si>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</si>
  <si>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</si>
  <si>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</si>
  <si>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</si>
  <si>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</si>
  <si>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</si>
  <si>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</si>
  <si>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</si>
  <si>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</si>
  <si>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</si>
  <si>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</si>
  <si>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</si>
  <si>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</si>
  <si>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</si>
  <si>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</si>
  <si>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</si>
  <si>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</si>
  <si>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</si>
  <si>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</si>
  <si>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</si>
  <si>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</si>
  <si>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</si>
  <si>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</si>
  <si>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</si>
  <si>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</si>
  <si>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</si>
  <si>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</si>
  <si>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</si>
  <si>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</si>
  <si>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</si>
  <si>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</si>
  <si>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</si>
  <si>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</si>
  <si>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</si>
  <si>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</si>
  <si>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</si>
  <si>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</si>
  <si>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</si>
  <si>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</si>
  <si>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</si>
  <si>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</si>
  <si>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</si>
  <si>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</si>
  <si>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</si>
  <si>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</si>
  <si>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</si>
  <si>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</si>
  <si>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</si>
  <si>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</si>
  <si>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</si>
  <si>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</si>
  <si>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</si>
  <si>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</si>
  <si>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</si>
  <si>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</si>
  <si>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</si>
  <si>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</si>
  <si>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</si>
  <si>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</si>
  <si>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</si>
  <si>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</si>
  <si>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</si>
  <si>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</si>
  <si>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</si>
  <si>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</si>
  <si>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</si>
  <si>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</si>
  <si>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</si>
  <si>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</si>
  <si>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</si>
  <si>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</si>
  <si>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</si>
  <si>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</si>
  <si>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</si>
  <si>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</si>
  <si>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</si>
  <si>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</si>
  <si>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</si>
  <si>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</si>
  <si>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</si>
  <si>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</si>
  <si>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</si>
  <si>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</si>
  <si>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</si>
  <si>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</si>
  <si>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</si>
  <si>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</si>
  <si>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</si>
  <si>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</si>
  <si>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</si>
  <si>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</si>
  <si>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</si>
  <si>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</si>
  <si>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</si>
  <si>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</si>
  <si>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</si>
  <si>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</si>
  <si>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</si>
  <si>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</si>
  <si>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</si>
  <si>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</si>
  <si>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</si>
  <si>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</si>
  <si>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</si>
  <si>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</si>
  <si>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</si>
  <si>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</si>
  <si>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</si>
  <si>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</si>
  <si>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</si>
  <si>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</si>
  <si>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</si>
  <si>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</si>
  <si>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</si>
  <si>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</si>
  <si>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</si>
  <si>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</si>
  <si>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</si>
  <si>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</si>
  <si>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</si>
  <si>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</si>
  <si>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</si>
  <si>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</si>
  <si>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</si>
  <si>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</si>
  <si>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</si>
  <si>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</si>
  <si>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</si>
  <si>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</si>
  <si>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</si>
  <si>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</si>
  <si>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</si>
  <si>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</si>
  <si>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</si>
  <si>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</si>
  <si>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</si>
  <si>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</si>
  <si>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</si>
  <si>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</si>
  <si>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</si>
  <si>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</si>
  <si>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</si>
  <si>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</si>
  <si>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</si>
  <si>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</si>
  <si>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</si>
  <si>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</si>
  <si>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</si>
  <si>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</si>
  <si>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</si>
  <si>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</si>
  <si>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</si>
  <si>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</si>
  <si>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</si>
  <si>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</si>
  <si>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</si>
  <si>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</si>
  <si>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</si>
  <si>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</si>
  <si>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</si>
  <si>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</si>
  <si>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</si>
  <si>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</si>
  <si>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</si>
  <si>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</si>
  <si>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</si>
  <si>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</si>
  <si>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</si>
  <si>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</si>
  <si>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</si>
  <si>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</si>
  <si>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</si>
  <si>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</si>
  <si>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</si>
  <si>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</si>
  <si>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</si>
  <si>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</si>
  <si>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</si>
  <si>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</si>
  <si>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</si>
  <si>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</si>
  <si>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</si>
  <si>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</si>
  <si>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</si>
  <si>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</si>
  <si>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</si>
  <si>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</si>
  <si>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</si>
  <si>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</si>
  <si>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</si>
  <si>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</si>
  <si>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</si>
  <si>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</si>
  <si>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</si>
  <si>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</si>
  <si>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</si>
  <si>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</si>
  <si>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</si>
  <si>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</si>
  <si>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</si>
  <si>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</si>
  <si>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</si>
  <si>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</si>
  <si>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</si>
  <si>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</si>
  <si>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</si>
  <si>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</si>
  <si>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</si>
  <si>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</si>
  <si>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</si>
  <si>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</si>
  <si>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</si>
  <si>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</si>
  <si>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</si>
  <si>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</si>
  <si>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</si>
  <si>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</si>
  <si>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</si>
  <si>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</si>
  <si>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</si>
  <si>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</si>
  <si>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</si>
  <si>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</si>
  <si>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</si>
  <si>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</si>
  <si>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</si>
  <si>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</si>
  <si>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</si>
  <si>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</si>
  <si>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</si>
  <si>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</si>
  <si>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</si>
  <si>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</si>
  <si>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</si>
  <si>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</si>
  <si>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</si>
  <si>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</si>
  <si>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</si>
  <si>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</si>
  <si>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</si>
  <si>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</si>
  <si>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</si>
  <si>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</si>
  <si>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</si>
  <si>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</si>
  <si>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</si>
  <si>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</si>
  <si>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</si>
  <si>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</si>
  <si>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</si>
  <si>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</si>
  <si>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</si>
  <si>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</si>
  <si>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</si>
  <si>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</si>
  <si>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</si>
  <si>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</si>
  <si>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</si>
  <si>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</si>
  <si>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</si>
  <si>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</si>
  <si>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</si>
  <si>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</si>
  <si>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</si>
  <si>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</si>
  <si>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</si>
  <si>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</si>
  <si>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</si>
  <si>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</si>
  <si>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</si>
  <si>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</si>
  <si>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</si>
  <si>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</si>
  <si>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</si>
  <si>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</si>
  <si>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</si>
  <si>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</si>
  <si>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</si>
  <si>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</si>
  <si>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</si>
  <si>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</si>
  <si>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</si>
  <si>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</si>
  <si>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</si>
  <si>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</si>
  <si>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</si>
  <si>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</si>
  <si>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</si>
  <si>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</si>
  <si>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</si>
  <si>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</si>
  <si>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</si>
  <si>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</si>
  <si>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</si>
  <si>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</si>
  <si>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</si>
  <si>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</si>
  <si>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</si>
  <si>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</si>
  <si>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</si>
  <si>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</si>
  <si>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</si>
  <si>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</si>
  <si>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</si>
  <si>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</si>
  <si>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</si>
  <si>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</si>
  <si>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</si>
  <si>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</si>
  <si>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</si>
  <si>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</si>
  <si>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</si>
  <si>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</si>
  <si>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</si>
  <si>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</si>
  <si>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</si>
  <si>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</si>
  <si>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</si>
  <si>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</si>
  <si>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</si>
  <si>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</si>
  <si>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</si>
  <si>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</si>
  <si>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</si>
  <si>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</si>
  <si>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</si>
  <si>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</si>
  <si>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</si>
  <si>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</si>
  <si>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</si>
  <si>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</si>
  <si>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</si>
  <si>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</si>
  <si>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</si>
  <si>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</si>
  <si>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</si>
  <si>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</si>
  <si>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</si>
  <si>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</si>
  <si>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</si>
  <si>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</si>
  <si>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</si>
  <si>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</si>
  <si>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</si>
  <si>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</si>
  <si>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</si>
  <si>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</si>
  <si>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</si>
  <si>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</si>
  <si>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</si>
  <si>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</si>
  <si>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</si>
  <si>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</si>
  <si>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</si>
  <si>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</si>
  <si>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</si>
  <si>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</si>
  <si>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</si>
  <si>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</si>
  <si>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</si>
  <si>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</si>
  <si>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</si>
  <si>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</si>
  <si>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</si>
  <si>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</si>
  <si>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</si>
  <si>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</si>
  <si>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</si>
  <si>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</si>
  <si>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</si>
  <si>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</si>
  <si>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</si>
  <si>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</si>
  <si>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</si>
  <si>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</si>
  <si>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</si>
  <si>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</si>
  <si>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</si>
  <si>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</si>
  <si>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</si>
  <si>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</si>
  <si>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</si>
  <si>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</si>
  <si>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</si>
  <si>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</si>
  <si>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</si>
  <si>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</si>
  <si>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</si>
  <si>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</si>
  <si>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</si>
  <si>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</si>
  <si>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</si>
  <si>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</si>
  <si>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</si>
  <si>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</si>
  <si>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</si>
  <si>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</si>
  <si>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</si>
  <si>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</si>
  <si>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</si>
  <si>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</si>
  <si>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</si>
  <si>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</si>
  <si>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</si>
  <si>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</si>
  <si>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</si>
  <si>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</si>
  <si>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</si>
  <si>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</si>
  <si>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</si>
  <si>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</si>
  <si>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</si>
  <si>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</si>
  <si>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</si>
  <si>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</si>
  <si>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</si>
  <si>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</si>
  <si>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</si>
  <si>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</si>
  <si>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</si>
  <si>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</si>
  <si>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</si>
  <si>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</si>
  <si>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</si>
  <si>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</si>
  <si>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</si>
  <si>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</si>
  <si>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</si>
  <si>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</si>
  <si>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</si>
  <si>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</si>
  <si>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</si>
  <si>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</si>
  <si>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</si>
  <si>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</si>
  <si>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</si>
  <si>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</si>
  <si>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</si>
  <si>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</si>
  <si>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</si>
  <si>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</si>
  <si>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</si>
  <si>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</si>
  <si>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</si>
  <si>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</si>
  <si>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</si>
  <si>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</si>
  <si>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</si>
  <si>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</si>
  <si>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</si>
  <si>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</si>
  <si>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</si>
  <si>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</si>
  <si>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</si>
  <si>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</si>
  <si>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</si>
  <si>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</si>
  <si>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</si>
  <si>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</si>
  <si>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</si>
  <si>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</si>
  <si>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</si>
  <si>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</si>
  <si>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</si>
  <si>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</si>
  <si>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</si>
  <si>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</si>
  <si>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</si>
  <si>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</si>
  <si>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</si>
  <si>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</si>
  <si>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</si>
  <si>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</si>
  <si>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</si>
  <si>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</si>
  <si>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</si>
  <si>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</si>
  <si>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</si>
  <si>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</si>
  <si>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</si>
  <si>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</si>
  <si>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</si>
  <si>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</si>
  <si>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</si>
  <si>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</si>
  <si>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</si>
  <si>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</si>
  <si>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</si>
  <si>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</si>
  <si>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</si>
  <si>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</si>
  <si>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</si>
  <si>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</si>
  <si>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</si>
  <si>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</si>
  <si>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</si>
  <si>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</si>
  <si>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</si>
  <si>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</si>
  <si>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</si>
  <si>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</si>
  <si>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</si>
  <si>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</si>
  <si>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</si>
  <si>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</si>
  <si>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</si>
  <si>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</si>
  <si>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</si>
  <si>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</si>
  <si>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</si>
  <si>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</si>
  <si>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</si>
  <si>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</si>
  <si>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</si>
  <si>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</si>
  <si>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</si>
  <si>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</si>
  <si>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</si>
  <si>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</si>
  <si>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</si>
  <si>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</si>
  <si>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</si>
  <si>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</si>
  <si>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</si>
  <si>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</si>
  <si>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</si>
  <si>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</si>
  <si>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</si>
  <si>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</si>
  <si>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</si>
  <si>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</si>
  <si>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</si>
  <si>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</si>
  <si>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</si>
  <si>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</si>
  <si>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</si>
  <si>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</si>
  <si>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</si>
  <si>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</si>
  <si>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</si>
  <si>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</si>
  <si>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</si>
  <si>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</si>
  <si>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</si>
  <si>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</si>
  <si>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</si>
  <si>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</si>
  <si>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</si>
  <si>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</si>
  <si>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</si>
  <si>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</si>
  <si>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</si>
  <si>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</si>
  <si>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</si>
  <si>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</si>
  <si>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</si>
  <si>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</si>
  <si>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</si>
  <si>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</si>
  <si>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</si>
  <si>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</si>
  <si>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</si>
  <si>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</si>
  <si>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</si>
  <si>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</si>
  <si>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</si>
  <si>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</si>
  <si>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</si>
  <si>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</si>
  <si>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</si>
  <si>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</si>
  <si>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</si>
  <si>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</si>
  <si>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</si>
  <si>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</si>
  <si>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</si>
  <si>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</si>
  <si>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</si>
  <si>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</si>
  <si>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</si>
  <si>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</si>
  <si>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</si>
  <si>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</si>
  <si>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</si>
  <si>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</si>
  <si>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</si>
  <si>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</si>
  <si>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</si>
  <si>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</si>
  <si>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</si>
  <si>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</si>
  <si>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</si>
  <si>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</si>
  <si>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</si>
  <si>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</si>
  <si>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</si>
  <si>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</si>
  <si>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</si>
  <si>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</si>
  <si>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</si>
  <si>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</si>
  <si>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</si>
  <si>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</si>
  <si>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</si>
  <si>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</si>
  <si>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</si>
  <si>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</si>
  <si>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</si>
  <si>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</si>
  <si>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</si>
  <si>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</si>
  <si>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</si>
  <si>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</si>
  <si>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</si>
  <si>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</si>
  <si>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</si>
  <si>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</si>
  <si>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</si>
  <si>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</si>
  <si>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</si>
  <si>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</si>
  <si>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</si>
  <si>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</si>
  <si>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</si>
  <si>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</si>
  <si>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</si>
  <si>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</si>
  <si>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</si>
  <si>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</si>
  <si>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</si>
  <si>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</si>
  <si>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</si>
  <si>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</si>
  <si>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</si>
  <si>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</si>
  <si>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</si>
  <si>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</si>
  <si>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</si>
  <si>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</si>
  <si>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</si>
  <si>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</si>
  <si>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</si>
  <si>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</si>
  <si>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</si>
  <si>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</si>
  <si>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</si>
  <si>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</si>
  <si>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</si>
  <si>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</si>
  <si>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</si>
  <si>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</si>
  <si>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</si>
  <si>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</si>
  <si>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</si>
  <si>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</si>
  <si>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</si>
  <si>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</si>
  <si>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</si>
  <si>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</si>
  <si>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</si>
  <si>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</si>
  <si>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</si>
  <si>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</si>
  <si>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</si>
  <si>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</si>
  <si>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</si>
  <si>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</si>
  <si>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</si>
  <si>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</si>
  <si>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</si>
  <si>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</si>
  <si>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</si>
  <si>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</si>
  <si>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</si>
  <si>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</si>
  <si>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</si>
  <si>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</si>
  <si>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</si>
  <si>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</si>
  <si>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</si>
  <si>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</si>
  <si>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</si>
  <si>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</si>
  <si>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</si>
  <si>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</si>
  <si>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</si>
  <si>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</si>
  <si>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</si>
  <si>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</si>
  <si>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</si>
  <si>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</si>
  <si>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</si>
  <si>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</si>
  <si>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</si>
  <si>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</si>
  <si>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</si>
  <si>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</si>
  <si>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</si>
  <si>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</si>
  <si>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</si>
  <si>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</si>
  <si>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</si>
  <si>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</si>
  <si>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</si>
  <si>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</si>
  <si>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</si>
  <si>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</si>
  <si>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</si>
  <si>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</si>
  <si>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</si>
  <si>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</si>
  <si>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</si>
  <si>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</si>
  <si>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</si>
  <si>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</si>
  <si>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</si>
  <si>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</si>
  <si>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</si>
  <si>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</si>
  <si>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</si>
  <si>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</si>
  <si>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</si>
  <si>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</si>
  <si>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</si>
  <si>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</si>
  <si>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</si>
  <si>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</si>
  <si>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</si>
  <si>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</si>
  <si>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</si>
  <si>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</si>
  <si>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</si>
  <si>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</si>
  <si>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</si>
  <si>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</si>
  <si>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</si>
  <si>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</si>
  <si>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</si>
  <si>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</si>
  <si>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</si>
  <si>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</si>
  <si>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</si>
  <si>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</si>
  <si>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</si>
  <si>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</si>
  <si>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</si>
  <si>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</si>
  <si>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</si>
  <si>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</si>
  <si>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</si>
  <si>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</si>
  <si>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</si>
  <si>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</si>
  <si>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</si>
  <si>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</si>
  <si>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</si>
  <si>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</si>
  <si>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</si>
  <si>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</si>
  <si>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</si>
  <si>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</si>
  <si>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</si>
  <si>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</si>
  <si>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</si>
  <si>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</si>
  <si>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</si>
  <si>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</si>
  <si>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</si>
  <si>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</si>
  <si>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</si>
  <si>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</si>
  <si>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</si>
  <si>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</si>
  <si>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</si>
  <si>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</si>
  <si>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</si>
  <si>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</si>
  <si>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</si>
  <si>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</si>
  <si>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</si>
  <si>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</si>
  <si>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</si>
  <si>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</si>
  <si>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</si>
  <si>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</si>
  <si>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</si>
  <si>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</si>
  <si>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</si>
  <si>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</si>
  <si>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</si>
  <si>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</si>
  <si>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</si>
  <si>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</si>
  <si>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</si>
  <si>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</si>
  <si>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</si>
  <si>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</si>
  <si>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</si>
  <si>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</si>
  <si>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</si>
  <si>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</si>
  <si>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</si>
  <si>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</si>
  <si>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</si>
  <si>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</si>
  <si>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</si>
  <si>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</si>
  <si>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</si>
  <si>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</si>
  <si>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</si>
  <si>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</si>
  <si>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</si>
  <si>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</si>
  <si>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</si>
  <si>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</si>
  <si>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</si>
  <si>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</si>
  <si>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</si>
  <si>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</si>
  <si>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</si>
  <si>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</si>
  <si>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</si>
  <si>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</si>
  <si>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</si>
  <si>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</si>
  <si>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</si>
  <si>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</si>
  <si>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</si>
  <si>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</si>
  <si>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</si>
  <si>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</si>
  <si>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</si>
  <si>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</si>
  <si>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</si>
  <si>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</si>
  <si>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</si>
  <si>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</si>
  <si>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</si>
  <si>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</si>
  <si>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</si>
  <si>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</si>
  <si>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</si>
  <si>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</si>
  <si>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</si>
  <si>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</si>
  <si>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</si>
  <si>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</si>
  <si>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</si>
  <si>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</si>
  <si>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</si>
  <si>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</si>
  <si>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</si>
  <si>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</si>
  <si>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</si>
  <si>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</si>
  <si>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</si>
  <si>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</si>
  <si>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</si>
  <si>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</si>
  <si>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</si>
  <si>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</si>
  <si>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</si>
  <si>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</si>
  <si>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</si>
  <si>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</si>
  <si>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</si>
  <si>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</si>
  <si>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</si>
  <si>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</si>
  <si>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</si>
  <si>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</si>
  <si>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</si>
  <si>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</si>
  <si>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</si>
  <si>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</si>
  <si>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</si>
  <si>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</si>
  <si>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</si>
  <si>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</si>
  <si>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</si>
  <si>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</si>
  <si>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</si>
  <si>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</si>
  <si>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</si>
  <si>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</si>
  <si>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</si>
  <si>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</si>
  <si>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</si>
  <si>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</si>
  <si>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</si>
  <si>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</si>
  <si>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</si>
  <si>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</si>
  <si>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</si>
  <si>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</si>
  <si>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</si>
  <si>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</si>
  <si>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</si>
  <si>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</si>
  <si>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</si>
  <si>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</si>
  <si>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</si>
  <si>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</si>
  <si>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</si>
  <si>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</si>
  <si>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</si>
  <si>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</si>
  <si>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</si>
  <si>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</si>
  <si>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</si>
  <si>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</si>
  <si>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</si>
  <si>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</si>
  <si>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</si>
  <si>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</si>
  <si>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</si>
  <si>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</si>
  <si>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</si>
  <si>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</si>
  <si>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</si>
  <si>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</si>
  <si>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</si>
  <si>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</si>
  <si>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</si>
  <si>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</si>
  <si>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</si>
  <si>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</si>
  <si>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</si>
  <si>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</si>
  <si>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</si>
  <si>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</si>
  <si>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</si>
  <si>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</si>
  <si>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</si>
  <si>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</si>
  <si>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</si>
  <si>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</si>
  <si>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</si>
  <si>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</si>
  <si>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</si>
  <si>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</si>
  <si>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</si>
  <si>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</si>
  <si>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</si>
  <si>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</si>
  <si>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</si>
  <si>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</si>
  <si>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</si>
  <si>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</si>
  <si>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</si>
  <si>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</si>
  <si>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</si>
  <si>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</si>
  <si>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</si>
  <si>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</si>
  <si>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</si>
  <si>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</si>
  <si>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</si>
  <si>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</si>
  <si>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</si>
  <si>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</si>
  <si>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</si>
  <si>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</si>
  <si>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</si>
  <si>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</si>
  <si>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</si>
  <si>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</si>
  <si>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</si>
  <si>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</si>
  <si>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</si>
  <si>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</si>
  <si>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</si>
  <si>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</si>
  <si>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</si>
  <si>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</si>
  <si>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</si>
  <si>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</si>
  <si>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</si>
  <si>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</si>
  <si>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</si>
  <si>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</si>
  <si>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</si>
  <si>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</si>
  <si>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</si>
  <si>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</si>
  <si>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</si>
  <si>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</si>
  <si>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</si>
  <si>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</si>
  <si>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</si>
  <si>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</si>
  <si>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</si>
  <si>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</si>
  <si>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</si>
  <si>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</si>
  <si>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</si>
  <si>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</si>
  <si>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</si>
  <si>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</si>
  <si>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</si>
  <si>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</si>
  <si>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</si>
  <si>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</si>
  <si>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</si>
  <si>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</si>
  <si>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</si>
  <si>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</si>
  <si>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</si>
  <si>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</si>
  <si>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</si>
  <si>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</si>
  <si>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</si>
  <si>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</si>
  <si>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</si>
  <si>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</si>
  <si>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</si>
  <si>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</si>
  <si>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</si>
  <si>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</si>
  <si>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</si>
  <si>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</si>
  <si>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</si>
  <si>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</si>
  <si>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</si>
  <si>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</si>
  <si>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</si>
  <si>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</si>
  <si>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</si>
  <si>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</si>
  <si>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</si>
  <si>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</si>
  <si>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</si>
  <si>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</si>
  <si>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</si>
  <si>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</si>
  <si>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</si>
  <si>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</si>
  <si>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</si>
  <si>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</si>
  <si>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</si>
  <si>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</si>
  <si>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</si>
  <si>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</si>
  <si>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</si>
  <si>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</si>
  <si>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</si>
  <si>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</si>
  <si>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</si>
  <si>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</si>
  <si>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</si>
  <si>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</si>
  <si>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</si>
  <si>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</si>
  <si>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</si>
  <si>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</si>
  <si>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</si>
  <si>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</si>
  <si>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</si>
  <si>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</si>
  <si>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</si>
  <si>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</si>
  <si>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</si>
  <si>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</si>
  <si>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</si>
  <si>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</si>
  <si>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</si>
  <si>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</si>
  <si>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</si>
  <si>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</si>
  <si>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</si>
  <si>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</si>
  <si>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</si>
  <si>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</si>
  <si>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</si>
  <si>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</si>
  <si>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</si>
  <si>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</si>
  <si>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</si>
  <si>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</si>
  <si>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</si>
  <si>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</si>
  <si>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</si>
  <si>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</si>
  <si>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</si>
  <si>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</si>
  <si>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</si>
  <si>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</si>
  <si>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</si>
  <si>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</si>
  <si>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</si>
  <si>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</si>
  <si>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</si>
  <si>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</si>
  <si>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</si>
  <si>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</si>
  <si>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</si>
  <si>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</si>
  <si>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</si>
  <si>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</si>
  <si>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</si>
  <si>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</si>
  <si>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</si>
  <si>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</si>
  <si>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</si>
  <si>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</si>
  <si>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</si>
  <si>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</si>
  <si>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</si>
  <si>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</si>
  <si>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</si>
  <si>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</si>
  <si>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</si>
  <si>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</si>
  <si>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</si>
  <si>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</si>
  <si>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</si>
  <si>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</si>
  <si>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</si>
  <si>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</si>
  <si>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</si>
  <si>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</si>
  <si>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</si>
  <si>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</si>
  <si>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</si>
  <si>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</si>
  <si>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</si>
  <si>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</si>
  <si>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</si>
  <si>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</si>
  <si>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</si>
  <si>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</si>
  <si>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</si>
  <si>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</si>
  <si>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</si>
  <si>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</si>
  <si>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</si>
  <si>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</si>
  <si>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</si>
  <si>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</si>
  <si>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</si>
  <si>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</si>
  <si>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</si>
  <si>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</si>
  <si>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</si>
  <si>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</si>
  <si>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</si>
  <si>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</si>
  <si>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</si>
  <si>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</si>
  <si>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</si>
  <si>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</si>
  <si>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</si>
  <si>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</si>
  <si>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</si>
  <si>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</si>
  <si>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</si>
  <si>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</si>
  <si>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</si>
  <si>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</si>
  <si>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</si>
  <si>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</si>
  <si>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</si>
  <si>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</si>
  <si>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</si>
  <si>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</si>
  <si>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</si>
  <si>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</si>
  <si>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</si>
  <si>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</si>
  <si>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</si>
  <si>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</si>
  <si>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</si>
  <si>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</si>
  <si>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</si>
  <si>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</si>
  <si>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</si>
  <si>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</si>
  <si>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</si>
  <si>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</si>
  <si>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</si>
  <si>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</si>
  <si>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</si>
  <si>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</si>
  <si>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</si>
  <si>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</si>
  <si>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</si>
  <si>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</si>
  <si>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</si>
  <si>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</si>
  <si>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</si>
  <si>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</si>
  <si>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</si>
  <si>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</si>
  <si>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</si>
  <si>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</si>
  <si>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</si>
  <si>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</si>
  <si>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</si>
  <si>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</si>
  <si>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</si>
  <si>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</si>
  <si>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</si>
  <si>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</si>
  <si>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</si>
  <si>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</si>
  <si>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</si>
  <si>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</si>
  <si>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</si>
  <si>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</si>
  <si>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</si>
  <si>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</si>
  <si>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</si>
  <si>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</si>
  <si>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</si>
  <si>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</si>
  <si>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</si>
  <si>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</si>
  <si>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</si>
  <si>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</si>
  <si>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</si>
  <si>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</si>
  <si>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</si>
  <si>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</si>
  <si>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</si>
  <si>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</si>
  <si>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</si>
  <si>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</si>
  <si>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</si>
  <si>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</si>
  <si>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</si>
  <si>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</si>
  <si>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</si>
  <si>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</si>
  <si>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</si>
  <si>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</si>
  <si>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</si>
  <si>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</si>
  <si>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</si>
  <si>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</si>
  <si>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</si>
  <si>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</si>
  <si>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</si>
  <si>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</si>
  <si>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</si>
  <si>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</si>
  <si>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</si>
  <si>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</si>
  <si>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</si>
  <si>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</si>
  <si>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</si>
  <si>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</si>
  <si>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</si>
  <si>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</si>
  <si>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</si>
  <si>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</si>
  <si>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</si>
  <si>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</si>
  <si>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</si>
  <si>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</si>
  <si>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</si>
  <si>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</si>
  <si>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</si>
  <si>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</si>
  <si>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</si>
  <si>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</si>
  <si>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</si>
  <si>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</si>
  <si>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</si>
  <si>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</si>
  <si>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</si>
  <si>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</si>
  <si>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</si>
  <si>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</si>
  <si>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</si>
  <si>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</si>
  <si>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</si>
  <si>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</si>
  <si>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</si>
  <si>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</si>
  <si>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</si>
  <si>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</si>
  <si>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</si>
  <si>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</si>
  <si>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</si>
  <si>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</si>
  <si>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</si>
  <si>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</si>
  <si>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</si>
  <si>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</si>
  <si>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</si>
  <si>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</si>
  <si>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</si>
  <si>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</si>
  <si>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</si>
  <si>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</si>
  <si>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</si>
  <si>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</si>
  <si>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</si>
  <si>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</si>
  <si>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</si>
  <si>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</si>
  <si>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</si>
  <si>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</si>
  <si>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</si>
  <si>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</si>
  <si>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</si>
  <si>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</si>
  <si>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</si>
  <si>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</si>
  <si>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</si>
  <si>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</si>
  <si>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</si>
  <si>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</si>
  <si>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</si>
  <si>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</si>
  <si>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</si>
  <si>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</si>
  <si>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</si>
  <si>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</si>
  <si>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</si>
  <si>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</si>
  <si>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</si>
  <si>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</si>
  <si>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</si>
  <si>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</si>
  <si>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</si>
  <si>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</si>
  <si>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</si>
  <si>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</si>
  <si>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</si>
  <si>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</si>
  <si>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</si>
  <si>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</si>
  <si>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</si>
  <si>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</si>
  <si>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</si>
  <si>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</si>
  <si>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</si>
  <si>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</si>
  <si>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</si>
  <si>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</si>
  <si>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</si>
  <si>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</si>
  <si>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</si>
  <si>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</si>
  <si>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</si>
  <si>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</si>
  <si>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</si>
  <si>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</si>
  <si>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</si>
  <si>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</si>
  <si>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</si>
  <si>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</si>
  <si>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</si>
  <si>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</si>
  <si>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</si>
  <si>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</si>
  <si>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</si>
  <si>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</si>
  <si>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</si>
  <si>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</si>
  <si>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</si>
  <si>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</si>
  <si>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</si>
  <si>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</si>
  <si>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</si>
  <si>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</si>
  <si>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</si>
  <si>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</si>
  <si>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</si>
  <si>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</si>
  <si>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</si>
  <si>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</si>
  <si>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</si>
  <si>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</si>
  <si>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</si>
  <si>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</si>
  <si>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</si>
  <si>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</si>
  <si>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</si>
  <si>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</si>
  <si>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</si>
  <si>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</si>
  <si>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</si>
  <si>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</si>
  <si>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</si>
  <si>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</si>
  <si>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</si>
  <si>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</si>
  <si>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</si>
  <si>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</si>
  <si>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</si>
  <si>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</si>
  <si>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</si>
  <si>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</si>
  <si>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</si>
  <si>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</si>
  <si>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</si>
  <si>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</si>
  <si>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</si>
  <si>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</si>
  <si>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</si>
  <si>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</si>
  <si>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</si>
  <si>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</si>
  <si>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</si>
  <si>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</si>
  <si>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</si>
  <si>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</si>
  <si>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</si>
  <si>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</si>
  <si>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</si>
  <si>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</si>
  <si>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</si>
  <si>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</si>
  <si>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</si>
  <si>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</si>
  <si>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</si>
  <si>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</si>
  <si>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</si>
  <si>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</si>
  <si>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</si>
  <si>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</si>
  <si>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</si>
  <si>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</si>
  <si>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</si>
  <si>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</si>
  <si>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</si>
  <si>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</si>
  <si>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</si>
  <si>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</si>
  <si>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</si>
  <si>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</si>
  <si>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</si>
  <si>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</si>
  <si>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</si>
  <si>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</si>
  <si>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</si>
  <si>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</si>
  <si>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</si>
  <si>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</si>
  <si>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</si>
  <si>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</si>
  <si>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</si>
  <si>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</si>
  <si>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</si>
  <si>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</si>
  <si>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</si>
  <si>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</si>
  <si>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</si>
  <si>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</si>
  <si>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</si>
  <si>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</si>
  <si>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</si>
  <si>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</si>
  <si>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</si>
  <si>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</si>
  <si>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</si>
  <si>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</si>
  <si>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</si>
  <si>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</si>
  <si>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</si>
  <si>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</si>
  <si>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</si>
  <si>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</si>
  <si>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</si>
  <si>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</si>
  <si>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</si>
  <si>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</si>
  <si>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</si>
  <si>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</si>
  <si>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</si>
  <si>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</si>
  <si>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</si>
  <si>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</si>
  <si>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</si>
  <si>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</si>
  <si>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</si>
  <si>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</si>
  <si>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</si>
  <si>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</si>
  <si>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</si>
  <si>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</si>
  <si>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</si>
  <si>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</si>
  <si>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</si>
  <si>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</si>
  <si>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</si>
  <si>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</si>
  <si>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</si>
  <si>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</si>
  <si>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</si>
  <si>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</si>
  <si>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</si>
  <si>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</si>
  <si>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</si>
  <si>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</si>
  <si>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</si>
  <si>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</si>
  <si>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</si>
  <si>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</si>
  <si>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</si>
  <si>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</si>
  <si>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</si>
  <si>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</si>
  <si>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</si>
  <si>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</si>
  <si>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</si>
  <si>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</si>
  <si>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</si>
  <si>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</si>
  <si>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</si>
  <si>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</si>
  <si>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</si>
  <si>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</si>
  <si>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</si>
  <si>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</si>
  <si>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</si>
  <si>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</si>
  <si>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</si>
  <si>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</si>
  <si>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</si>
  <si>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</si>
  <si>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</si>
  <si>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</si>
  <si>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</si>
  <si>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</si>
  <si>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</si>
  <si>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</si>
  <si>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</si>
  <si>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</si>
  <si>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</si>
  <si>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</si>
  <si>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</si>
  <si>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</si>
  <si>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</si>
  <si>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</si>
  <si>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</si>
  <si>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</si>
  <si>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</si>
  <si>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</si>
  <si>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</si>
  <si>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</si>
  <si>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</si>
  <si>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</si>
  <si>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</si>
  <si>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</si>
  <si>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</si>
  <si>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</si>
  <si>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</si>
  <si>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</si>
  <si>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</si>
  <si>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</si>
  <si>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</si>
  <si>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</si>
  <si>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</si>
  <si>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</si>
  <si>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</si>
  <si>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</si>
  <si>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</si>
  <si>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</si>
  <si>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</si>
  <si>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</si>
  <si>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</si>
  <si>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</si>
  <si>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</si>
  <si>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</si>
  <si>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</si>
  <si>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</si>
  <si>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</si>
  <si>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</si>
  <si>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</si>
  <si>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</si>
  <si>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</si>
  <si>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</si>
  <si>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</si>
  <si>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</si>
  <si>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</si>
  <si>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</si>
  <si>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</si>
  <si>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</si>
  <si>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</si>
  <si>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</si>
  <si>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</si>
  <si>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</si>
  <si>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</si>
  <si>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</si>
  <si>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</si>
  <si>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</si>
  <si>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</si>
  <si>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</si>
  <si>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</si>
  <si>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</si>
  <si>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</si>
  <si>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</si>
  <si>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</si>
  <si>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</si>
  <si>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</si>
  <si>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</si>
  <si>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</si>
  <si>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</si>
  <si>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</si>
  <si>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</si>
  <si>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</si>
  <si>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</si>
  <si>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</si>
  <si>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</si>
  <si>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</si>
  <si>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</si>
  <si>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</si>
  <si>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</si>
  <si>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</si>
  <si>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</si>
  <si>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</si>
  <si>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</si>
  <si>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</si>
  <si>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</si>
  <si>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</si>
  <si>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</si>
  <si>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</si>
  <si>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</si>
  <si>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</si>
  <si>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</si>
  <si>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</si>
  <si>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</si>
  <si>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</si>
  <si>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</si>
  <si>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</si>
  <si>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</si>
  <si>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</si>
  <si>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</si>
  <si>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</si>
  <si>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</si>
  <si>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</si>
  <si>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</si>
  <si>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</si>
  <si>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</si>
  <si>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</si>
  <si>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</si>
  <si>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</si>
  <si>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</si>
  <si>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</si>
  <si>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</si>
  <si>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</si>
  <si>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</si>
  <si>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</si>
  <si>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</si>
  <si>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</si>
  <si>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</si>
  <si>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</si>
  <si>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</si>
  <si>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</si>
  <si>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</si>
  <si>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</si>
  <si>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</si>
  <si>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</si>
  <si>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</si>
  <si>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</si>
  <si>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</si>
  <si>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</si>
  <si>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</si>
  <si>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</si>
  <si>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</si>
  <si>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</si>
  <si>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</si>
  <si>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</si>
  <si>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</si>
  <si>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</si>
  <si>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</si>
  <si>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</si>
  <si>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</si>
  <si>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</si>
  <si>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</si>
  <si>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</si>
  <si>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</si>
  <si>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</si>
  <si>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</si>
  <si>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</si>
  <si>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</si>
  <si>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</si>
  <si>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</si>
  <si>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</si>
  <si>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</si>
  <si>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</si>
  <si>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</si>
  <si>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</si>
  <si>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</si>
  <si>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</si>
  <si>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</si>
  <si>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</si>
  <si>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</si>
  <si>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</si>
  <si>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</si>
  <si>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</si>
  <si>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</si>
  <si>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</si>
  <si>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</si>
  <si>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</si>
  <si>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</si>
  <si>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</si>
  <si>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</si>
  <si>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</si>
  <si>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</si>
  <si>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</si>
  <si>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</si>
  <si>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</si>
  <si>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</si>
  <si>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</si>
  <si>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</si>
  <si>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</si>
  <si>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</si>
  <si>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</si>
  <si>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</si>
  <si>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</si>
  <si>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</si>
  <si>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</si>
  <si>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</si>
  <si>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</si>
  <si>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</si>
  <si>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</si>
  <si>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</si>
  <si>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</si>
  <si>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</si>
  <si>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</si>
  <si>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</si>
  <si>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</si>
  <si>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</si>
  <si>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</si>
  <si>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</si>
  <si>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</si>
  <si>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</si>
  <si>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</si>
  <si>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</si>
  <si>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</si>
  <si>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</si>
  <si>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</si>
  <si>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</si>
  <si>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</si>
  <si>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</si>
  <si>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</si>
  <si>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</si>
  <si>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</si>
  <si>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</si>
  <si>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</si>
  <si>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</si>
  <si>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</si>
  <si>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</si>
  <si>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</si>
  <si>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</si>
  <si>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</si>
  <si>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</si>
  <si>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</si>
  <si>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</si>
  <si>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</si>
  <si>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</si>
  <si>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</si>
  <si>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</si>
  <si>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</si>
  <si>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</si>
  <si>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</si>
  <si>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</si>
  <si>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</si>
  <si>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</si>
  <si>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</si>
  <si>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</si>
  <si>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</si>
  <si>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</si>
  <si>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</si>
  <si>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</si>
  <si>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</si>
  <si>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</si>
  <si>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</si>
  <si>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</si>
  <si>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</si>
  <si>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</si>
  <si>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</si>
  <si>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</si>
  <si>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</si>
  <si>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</si>
  <si>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</si>
  <si>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</si>
  <si>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</si>
  <si>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</si>
  <si>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</si>
  <si>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</si>
  <si>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</si>
  <si>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</si>
  <si>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</si>
  <si>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</si>
  <si>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</si>
  <si>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</si>
  <si>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</si>
  <si>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</si>
  <si>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</si>
  <si>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</si>
  <si>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</si>
  <si>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</si>
  <si>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</si>
  <si>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</si>
  <si>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</si>
  <si>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</si>
  <si>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</si>
  <si>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</si>
  <si>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</si>
  <si>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</si>
  <si>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</si>
  <si>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</si>
  <si>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</si>
  <si>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</si>
  <si>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</si>
  <si>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</si>
  <si>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</si>
  <si>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</si>
  <si>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</si>
  <si>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</si>
  <si>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</si>
  <si>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</si>
  <si>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</si>
  <si>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</si>
  <si>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</si>
  <si>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</si>
  <si>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</si>
  <si>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</si>
  <si>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</si>
  <si>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</si>
  <si>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</si>
  <si>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</si>
  <si>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</si>
  <si>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</si>
  <si>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</si>
  <si>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</si>
  <si>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</si>
  <si>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</si>
  <si>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</si>
  <si>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</si>
  <si>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</si>
  <si>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</si>
  <si>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</si>
  <si>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</si>
  <si>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</si>
  <si>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</si>
  <si>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</si>
  <si>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</si>
  <si>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</si>
  <si>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</si>
  <si>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</si>
  <si>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</si>
  <si>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</si>
  <si>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</si>
  <si>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</si>
  <si>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</si>
  <si>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</si>
  <si>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</si>
  <si>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</si>
  <si>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</si>
  <si>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</si>
  <si>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</si>
  <si>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</si>
  <si>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</si>
  <si>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</si>
  <si>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</si>
  <si>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</si>
  <si>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</si>
  <si>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</si>
  <si>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</si>
  <si>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</si>
  <si>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</si>
  <si>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</si>
  <si>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</si>
  <si>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</si>
  <si>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</si>
  <si>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</si>
  <si>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</si>
  <si>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</si>
  <si>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</si>
  <si>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</si>
  <si>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</si>
  <si>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</si>
  <si>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</si>
  <si>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</si>
  <si>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</si>
  <si>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</si>
  <si>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</si>
  <si>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</si>
  <si>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</si>
  <si>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</si>
  <si>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</si>
  <si>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</si>
  <si>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</si>
  <si>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</si>
  <si>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</si>
  <si>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</si>
  <si>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</si>
  <si>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</si>
  <si>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</si>
  <si>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</si>
  <si>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</si>
  <si>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</si>
  <si>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</si>
  <si>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</si>
  <si>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</si>
  <si>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</si>
  <si>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</si>
  <si>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</si>
  <si>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</si>
  <si>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</si>
  <si>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</si>
  <si>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</si>
  <si>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</si>
  <si>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</si>
  <si>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</si>
  <si>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</si>
  <si>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</si>
  <si>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</si>
  <si>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</si>
  <si>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</si>
  <si>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</si>
  <si>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</si>
  <si>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</si>
  <si>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</si>
  <si>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</si>
  <si>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</si>
  <si>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</si>
  <si>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</si>
  <si>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</si>
  <si>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</si>
  <si>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</si>
  <si>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</si>
  <si>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</si>
  <si>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</si>
  <si>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</si>
  <si>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</si>
  <si>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</si>
  <si>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</si>
  <si>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</si>
  <si>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</si>
  <si>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</si>
  <si>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</si>
  <si>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</si>
  <si>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</si>
  <si>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17-053-4290-04</t>
  </si>
  <si>
    <t>Livingston</t>
  </si>
  <si>
    <t>600 N. Morrow Street</t>
  </si>
  <si>
    <t>Pontiac, IL</t>
  </si>
  <si>
    <t>dukesbri@pontiac429.org</t>
  </si>
  <si>
    <t>x</t>
  </si>
  <si>
    <t>Brian Dukes</t>
  </si>
  <si>
    <t>Tim C. Custis, CPA</t>
  </si>
  <si>
    <t>tcustis@gorenzcpa.com</t>
  </si>
  <si>
    <t>Alternate Revenue Bond</t>
  </si>
  <si>
    <t>Working Cash GO Bonds</t>
  </si>
  <si>
    <t>Technology Lease</t>
  </si>
  <si>
    <t>Capital Lease</t>
  </si>
  <si>
    <t>Alternative Revenue Bond</t>
  </si>
  <si>
    <t>NONE</t>
  </si>
  <si>
    <t>The accompanying Schedule of Expenditures of Federal Awards includes the federal grant activity of Pontiac CCSD #429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</si>
  <si>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PONTIAC COMMUNITY CONSOLIDATED SCHOOL DISTRICT NO. 429</t>
  </si>
  <si>
    <t xml:space="preserve">                                                  Year Ended June 30, 2019                                                  </t>
  </si>
  <si>
    <t>ISBE</t>
  </si>
  <si>
    <t xml:space="preserve">          Receipts/Revenues          </t>
  </si>
  <si>
    <t xml:space="preserve">  Expenditures/Disbursements  </t>
  </si>
  <si>
    <t>Project</t>
  </si>
  <si>
    <t xml:space="preserve">Prior to </t>
  </si>
  <si>
    <t>7/01/2018</t>
  </si>
  <si>
    <t>Prior to</t>
  </si>
  <si>
    <t>Final</t>
  </si>
  <si>
    <t>Federal Grantor/Pass-Through Grantor,</t>
  </si>
  <si>
    <t>Number</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</si>
  <si>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</si>
  <si>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</si>
  <si>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</si>
  <si>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</si>
  <si>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</si>
  <si>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</si>
  <si>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</si>
  <si>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</si>
  <si>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</si>
  <si>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t>
  </si>
  <si>
    <t xml:space="preserve">         (H)         </t>
  </si>
  <si>
    <t xml:space="preserve">         (I)         </t>
  </si>
  <si>
    <t xml:space="preserve">U.S. Department of Agriculture - </t>
  </si>
  <si>
    <t xml:space="preserve">   Pass-through program from</t>
  </si>
  <si>
    <t xml:space="preserve">   Illinois State Board of Education</t>
  </si>
  <si>
    <t>(M)</t>
  </si>
  <si>
    <t>18-4215-00</t>
  </si>
  <si>
    <t>N/A</t>
  </si>
  <si>
    <t>19-4215-00</t>
  </si>
  <si>
    <t>Total CFDA 10.556</t>
  </si>
  <si>
    <t>18-4220-00</t>
  </si>
  <si>
    <t>19-4220-00</t>
  </si>
  <si>
    <t>Total CFDA 10.553</t>
  </si>
  <si>
    <t>18-4225-00</t>
  </si>
  <si>
    <t>19-4225-00</t>
  </si>
  <si>
    <t>School Lunch - Regular, Free &amp; Reduced</t>
  </si>
  <si>
    <t>18-4210-00</t>
  </si>
  <si>
    <t>19-4210-00</t>
  </si>
  <si>
    <t xml:space="preserve">    Department of Defense</t>
  </si>
  <si>
    <t>Fruits and Vegetables (2)</t>
  </si>
  <si>
    <t>FY 18</t>
  </si>
  <si>
    <t>FY 19</t>
  </si>
  <si>
    <t>Food Donation (2)</t>
  </si>
  <si>
    <t>Total CFDA 10.555</t>
  </si>
  <si>
    <t>Total U.S. Department of Agriculture - Pass-through program</t>
  </si>
  <si>
    <t>Total Child Nutrition Cluster</t>
  </si>
  <si>
    <t xml:space="preserve">U.S. Department of Education - </t>
  </si>
  <si>
    <t>Fed. - Sp. Ed. -  Pre-School Flow Through</t>
  </si>
  <si>
    <t>18-4600-00</t>
  </si>
  <si>
    <t>19-4600-00</t>
  </si>
  <si>
    <t>Total CFDA 84.173</t>
  </si>
  <si>
    <t xml:space="preserve">Fed. - Sp. Ed. - IDEA Flow Through </t>
  </si>
  <si>
    <t>18-4620-00</t>
  </si>
  <si>
    <t>19-4620-00</t>
  </si>
  <si>
    <t>Fed. - Sp. Ed. - IDEA Room &amp; Board Excess Costs</t>
  </si>
  <si>
    <t>18-4625-XC</t>
  </si>
  <si>
    <t>19-4625-XC</t>
  </si>
  <si>
    <t>Total CFDA 84.027</t>
  </si>
  <si>
    <t>Total IDEA Sp Ed Cluster</t>
  </si>
  <si>
    <t>Title V - Rural Education Initiative</t>
  </si>
  <si>
    <t>19-4107-00</t>
  </si>
  <si>
    <t>18-4932-00</t>
  </si>
  <si>
    <t>19-4932-00</t>
  </si>
  <si>
    <t>Title I - School Improvement &amp; Accountability</t>
  </si>
  <si>
    <t>19-4331-19</t>
  </si>
  <si>
    <t>18-4300-00</t>
  </si>
  <si>
    <t>19-4300-00</t>
  </si>
  <si>
    <t>Total CFDA 84.010</t>
  </si>
  <si>
    <t>Total U.S. Department of Education - Pass-through programs from ISBE</t>
  </si>
  <si>
    <t xml:space="preserve">U.S. Department of Health &amp; Human Services - </t>
  </si>
  <si>
    <t xml:space="preserve">     Illinois Department of Healthcare and Family Services</t>
  </si>
  <si>
    <t>Medicaid Administrative Outreach</t>
  </si>
  <si>
    <t>18-4991-00</t>
  </si>
  <si>
    <t>19-4991-00</t>
  </si>
  <si>
    <t>Total CFDA 93.778</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</si>
  <si>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</si>
  <si>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</si>
  <si>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</si>
  <si>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</si>
  <si>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</si>
  <si>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</si>
  <si>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</si>
  <si>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2019</t>
  </si>
  <si>
    <t>*** - No Subrecipients</t>
  </si>
  <si>
    <t xml:space="preserve">Of the federal expenditures presented in the schedule, Pontiac CCSD #429 provided federal awards to subrecipients as follows: </t>
  </si>
  <si>
    <t>The District did not have any Subrecipients in FY'19</t>
  </si>
  <si>
    <t>The following amounts were expended in the form of non-cash assistance by Pontiac CCSD #429 and should be included in the Schedule of Expenditures of Federal Awards:</t>
  </si>
  <si>
    <t>Unmodified</t>
  </si>
  <si>
    <t>10.553, 10.555, 10.556, 10.559</t>
  </si>
  <si>
    <t>Child Nutrition Cluster</t>
  </si>
  <si>
    <t>Segregation of duties amount accounting personnel is an integral part of an internal control structure.</t>
  </si>
  <si>
    <t>Two individuals have the primary responsibility for performing most of the accounting and financial duties, which significantly reduces certain aspects of the internal control structure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</si>
  <si>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</si>
  <si>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</si>
  <si>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</si>
  <si>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</si>
  <si>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</si>
  <si>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r>
      <t>CORRECTIVE ACTION PLAN FOR CURRENT YEAR AUDIT FINDINGS</t>
    </r>
    <r>
      <rPr>
        <b/>
        <vertAlign val="superscript"/>
        <sz val="9"/>
        <rFont val="Arial"/>
        <family val="2"/>
      </rPr>
      <t>21</t>
    </r>
  </si>
  <si>
    <t>Corrective Action Plan</t>
  </si>
  <si>
    <t>Finding No.:</t>
  </si>
  <si>
    <t>Condition:</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</si>
  <si>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</si>
  <si>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</si>
  <si>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</si>
  <si>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</si>
  <si>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</si>
  <si>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</si>
  <si>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</si>
  <si>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</si>
  <si>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</si>
  <si>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Brian Dukes, Superintendent</t>
  </si>
  <si>
    <t>2018-001</t>
  </si>
  <si>
    <t>Lack of Segregation of Duties</t>
  </si>
  <si>
    <t>Repeated - See Finding 2019-001</t>
  </si>
  <si>
    <t>Part C - 20 - See Finding 2019-001</t>
  </si>
  <si>
    <t>Alternate Revenue Bond, 2019</t>
  </si>
  <si>
    <t>Page 10, Line 72 - Additional Milk Sales</t>
  </si>
  <si>
    <t>Page 10, Line 74 - Food sales and Cafeteria rebates</t>
  </si>
  <si>
    <t>Page 10, Line 81 - Summer Camp Revenue, STEAM Camp Revenue, and Chromebook Insurance</t>
  </si>
  <si>
    <t>Page 10, Line 107 -</t>
  </si>
  <si>
    <t>Educational Fund - Jury Duty, Fundraiser Revenue, Tech Equipment, and Dividends</t>
  </si>
  <si>
    <t>Transportation Fund - ODELL Charters</t>
  </si>
  <si>
    <t>Page 16, Line 83 - Homebound and Hospital Tutoring</t>
  </si>
  <si>
    <t>Page 18, Line 171 - Bond Service Fees</t>
  </si>
  <si>
    <t>Page 25, Line 20 - Bond Service Fees</t>
  </si>
  <si>
    <t>Operations and Maintenance Fund - Reimbursement</t>
  </si>
  <si>
    <t>Page 18, Line 180 - Transportation - Superintendent Expenditures</t>
  </si>
  <si>
    <t>Audit Check Tab - Line 80 - "Enter Contracts Paid in the Current Year" - No qualifying contracts over $25,000.</t>
  </si>
  <si>
    <t>Illinois State Board of Education</t>
  </si>
  <si>
    <t>U.S. Department of Agriculture</t>
  </si>
  <si>
    <t>The District is required to monitor, through review or audit or by other means, the net cash resources of the nonprofit school food service program in accordance with Section 210.19 of the Code of Federal Regulations.</t>
  </si>
  <si>
    <t xml:space="preserve">The District has not established internal controls to ensure that net cash resources are being properly monitored. </t>
  </si>
  <si>
    <t>None.</t>
  </si>
  <si>
    <t>During the audit, it was determined that the District has not maintained and monitored the balance in the school food accounts to ensure compliance with Section 210.19 of the Code of Federal Regulations.</t>
  </si>
  <si>
    <t>The District is unaware of the cash balance in the food services account.</t>
  </si>
  <si>
    <t xml:space="preserve">Management has not implemented controls that would allow the District to monitor the net cash resources. </t>
  </si>
  <si>
    <t>It is recommended that the District  monitor the cash balances it accumulates to help ensure that net resources are being properly maintained.</t>
  </si>
  <si>
    <t xml:space="preserve">The District will establish internal controls to ensure the monitoring of the net cash resources in the food services account. </t>
  </si>
  <si>
    <t>The District has not established internal controls to ensure compliance with the requirements of the Child Nutrition Cluster guidelines with respect to Cash Management.</t>
  </si>
  <si>
    <t>The District will implement controls that monitor the cash balances in the Food Services Account and ensure compliance with Child Nutrition Cluster guidelines.</t>
  </si>
  <si>
    <t>The District will establish internal controls to ensure the monitoring of the net cash</t>
  </si>
  <si>
    <t>resources in the food services account.</t>
  </si>
  <si>
    <t>June 2020</t>
  </si>
  <si>
    <t>19-4210, 4215, 4220, and 4225</t>
  </si>
  <si>
    <t>10.555, 556, 553, and 559</t>
  </si>
  <si>
    <t>Child Nutrition Cluster - 2019</t>
  </si>
  <si>
    <t>The Code of Federal Regulations (CFR) Title 2, part 180.220 states that non-Federal entities are prohibited from contracting with or making sub-awards under covered transactions to parties that are suspended or disbarred.</t>
  </si>
  <si>
    <t>The District did not obtain debarment certification or check the System for Award Management website for vendors contracted in excess of $25,000 related to the grant program. Upon further review, it was determined that the vendors were not suspended or debarred.</t>
  </si>
  <si>
    <t>The District did not verify that selected vendors were not suspended or debarred.</t>
  </si>
  <si>
    <t>Noncompliance with the federal award program's suspension and debarment compliance requirements could occur and not be detected and corrected timely.</t>
  </si>
  <si>
    <t>Procedures are not in place to verify if vendors contracted with in excess of $25,000 related to the Child Nutrition Cluster program are not suspended, debarred, or otherwise excluded from doing business.</t>
  </si>
  <si>
    <t>Procedures need to be implemented to ensure all vendors contracted with have not been suspended or debarred or otherwise excluded from doing business, prior to procuring their services.</t>
  </si>
  <si>
    <t>There is no disagreement with this finding and procedures will be implemented to ensure all vendors contracted with have not been suspended or debarred or otherwise excluded from doing business, prior to procuring their services.</t>
  </si>
  <si>
    <t>For ISBE Review</t>
  </si>
  <si>
    <t xml:space="preserve">Date:   </t>
  </si>
  <si>
    <t>Resolution Criteria Code Number</t>
  </si>
  <si>
    <t xml:space="preserve">Initials: </t>
  </si>
  <si>
    <t>Disposition of Questioned Costs Code Letter</t>
  </si>
  <si>
    <t>CORRECTIVE ACTION PLAN FOR CURRENT YEAR AUDIT FINDINGS</t>
  </si>
  <si>
    <t>The District did not obtain debarment certification or check the System for Award Management website for vendors
contracted in excess of $25,000 related to the grant program. Upon further review, it was determined that the vendors were not suspended or debarred.</t>
  </si>
  <si>
    <t>Procedures will be implemented to ensure all vendors contracted with have not been suspended or debarred or otherwise excluded from doing business, prior to procuring their services.</t>
  </si>
  <si>
    <t>July 2020</t>
  </si>
  <si>
    <t>There is no disagreement with the finding and the corrective action plan will be implemented.</t>
  </si>
  <si>
    <t>See PDF version</t>
  </si>
  <si>
    <t>Pontiac CCSD 429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</si>
</sst>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000_);\(#,##0.000\)"/>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Times New Roman"/>
      <family val="1"/>
    </font>
    <font>
      <sz val="12"/>
      <color indexed="10"/>
      <name val="Times New Roman"/>
      <family val="2"/>
    </font>
    <font>
      <sz val="12"/>
      <name val="Times New Roman"/>
      <family val="2"/>
    </font>
    <font>
      <sz val="11"/>
      <name val="Times New Roman"/>
      <family val="1"/>
    </font>
    <font>
      <sz val="11"/>
      <name val="Courier"/>
      <family val="3"/>
    </font>
    <font>
      <u/>
      <sz val="11"/>
      <name val="Times New Roman"/>
      <family val="1"/>
    </font>
    <font>
      <b/>
      <sz val="11"/>
      <name val="Times New Roman"/>
      <family val="1"/>
    </font>
    <font>
      <u val="singleAccounting"/>
      <sz val="11"/>
      <name val="Times New Roman"/>
      <family val="1"/>
    </font>
    <font>
      <u val="doubleAccounting"/>
      <sz val="11"/>
      <name val="Times New Roman"/>
      <family val="1"/>
    </font>
    <font>
      <vertAlign val="superscript"/>
      <sz val="8"/>
      <name val="Arial"/>
      <family val="2"/>
    </font>
    <font>
      <b/>
      <vertAlign val="superscript"/>
      <sz val="9"/>
      <name val="Arial"/>
      <family val="2"/>
    </font>
    <font>
      <b/>
      <u/>
      <sz val="8"/>
      <name val="Arial"/>
      <family val="2"/>
    </font>
    <font>
      <b/>
      <i/>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0" fontId="139" fillId="0" borderId="0" applyNumberFormat="0" applyFill="0" applyBorder="0" applyAlignment="0" applyProtection="0"/>
    <xf numFmtId="43" fontId="44" fillId="0" borderId="0" applyFont="0" applyFill="0" applyBorder="0" applyAlignment="0" applyProtection="0"/>
    <xf numFmtId="9" fontId="44" fillId="0" borderId="0" applyFont="0" applyFill="0" applyBorder="0" applyAlignment="0" applyProtection="0"/>
  </cellStyleXfs>
  <cellXfs count="26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37" fontId="137" fillId="0" borderId="0" xfId="19" applyFill="1" applyAlignment="1">
      <alignment vertical="center"/>
    </xf>
    <xf numFmtId="37" fontId="44" fillId="0" borderId="0" xfId="19" applyFont="1" applyFill="1" applyBorder="1" applyAlignment="1">
      <alignment horizontal="centerContinuous"/>
    </xf>
    <xf numFmtId="37" fontId="44" fillId="0" borderId="0" xfId="19" applyFont="1" applyFill="1" applyBorder="1" applyAlignment="1">
      <alignment horizontal="left"/>
    </xf>
    <xf numFmtId="37" fontId="44" fillId="0" borderId="0" xfId="19" applyFont="1" applyFill="1" applyBorder="1"/>
    <xf numFmtId="37" fontId="44" fillId="0" borderId="0" xfId="19" applyFont="1" applyFill="1" applyBorder="1" applyAlignment="1">
      <alignment horizontal="center"/>
    </xf>
    <xf numFmtId="37" fontId="141" fillId="0" borderId="0" xfId="19" applyFont="1" applyFill="1" applyBorder="1" applyAlignment="1">
      <alignment horizontal="centerContinuous"/>
    </xf>
    <xf numFmtId="37" fontId="141" fillId="0" borderId="0" xfId="19" applyFont="1" applyFill="1" applyBorder="1" applyAlignment="1">
      <alignment horizontal="left"/>
    </xf>
    <xf numFmtId="37" fontId="141" fillId="0" borderId="0" xfId="19" applyFont="1" applyFill="1" applyBorder="1"/>
    <xf numFmtId="37" fontId="141" fillId="0" borderId="0" xfId="19" applyFont="1" applyFill="1" applyBorder="1" applyAlignment="1">
      <alignment horizontal="center"/>
    </xf>
    <xf numFmtId="37" fontId="141" fillId="0" borderId="0" xfId="19" applyFont="1" applyFill="1"/>
    <xf numFmtId="37" fontId="142" fillId="0" borderId="0" xfId="19" applyFont="1" applyFill="1" applyAlignment="1">
      <alignment vertical="center"/>
    </xf>
    <xf numFmtId="37" fontId="143" fillId="0" borderId="0" xfId="19" applyFont="1" applyFill="1" applyBorder="1" applyAlignment="1">
      <alignment horizontal="centerContinuous"/>
    </xf>
    <xf numFmtId="37" fontId="141" fillId="0" borderId="0" xfId="19" applyFont="1" applyFill="1" applyAlignment="1">
      <alignment horizontal="center" vertical="top"/>
    </xf>
    <xf numFmtId="37" fontId="141" fillId="0" borderId="0" xfId="19" applyFont="1" applyFill="1" applyAlignment="1">
      <alignment horizontal="left" vertical="top"/>
    </xf>
    <xf numFmtId="37" fontId="141" fillId="0" borderId="0" xfId="19" applyFont="1" applyFill="1" applyAlignment="1">
      <alignment vertical="top"/>
    </xf>
    <xf numFmtId="37" fontId="141" fillId="0" borderId="0" xfId="19" quotePrefix="1" applyFont="1" applyFill="1" applyAlignment="1">
      <alignment horizontal="center" vertical="top"/>
    </xf>
    <xf numFmtId="37" fontId="142" fillId="0" borderId="0" xfId="19" applyFont="1" applyFill="1" applyAlignment="1">
      <alignment vertical="top"/>
    </xf>
    <xf numFmtId="14" fontId="141" fillId="0" borderId="0" xfId="19" applyNumberFormat="1" applyFont="1" applyFill="1" applyAlignment="1">
      <alignment horizontal="center" vertical="top"/>
    </xf>
    <xf numFmtId="37" fontId="143" fillId="0" borderId="0" xfId="19" quotePrefix="1" applyFont="1" applyFill="1" applyAlignment="1">
      <alignment horizontal="left" vertical="top"/>
    </xf>
    <xf numFmtId="37" fontId="143" fillId="0" borderId="0" xfId="19" applyFont="1" applyFill="1" applyAlignment="1">
      <alignment horizontal="center" vertical="top"/>
    </xf>
    <xf numFmtId="37" fontId="143" fillId="0" borderId="0" xfId="19" applyNumberFormat="1" applyFont="1" applyFill="1" applyAlignment="1" applyProtection="1">
      <alignment horizontal="center" vertical="top"/>
    </xf>
    <xf numFmtId="37" fontId="141" fillId="0" borderId="0" xfId="19" applyNumberFormat="1" applyFont="1" applyFill="1" applyAlignment="1" applyProtection="1">
      <alignment vertical="top"/>
    </xf>
    <xf numFmtId="37" fontId="141" fillId="0" borderId="0" xfId="19" applyNumberFormat="1" applyFont="1" applyFill="1" applyAlignment="1" applyProtection="1">
      <alignment horizontal="center" vertical="top"/>
    </xf>
    <xf numFmtId="37" fontId="143" fillId="0" borderId="0" xfId="19" applyFont="1" applyFill="1" applyAlignment="1">
      <alignment horizontal="left"/>
    </xf>
    <xf numFmtId="37" fontId="143" fillId="0" borderId="0" xfId="19" applyFont="1" applyFill="1" applyAlignment="1">
      <alignment horizontal="center"/>
    </xf>
    <xf numFmtId="37" fontId="141" fillId="0" borderId="0" xfId="19" applyFont="1" applyFill="1" applyAlignment="1">
      <alignment horizontal="center"/>
    </xf>
    <xf numFmtId="37" fontId="143" fillId="0" borderId="0" xfId="19" applyNumberFormat="1" applyFont="1" applyFill="1" applyAlignment="1" applyProtection="1">
      <alignment horizontal="center"/>
    </xf>
    <xf numFmtId="37" fontId="141" fillId="0" borderId="0" xfId="19" applyNumberFormat="1" applyFont="1" applyFill="1" applyProtection="1"/>
    <xf numFmtId="37" fontId="141" fillId="0" borderId="0" xfId="19" applyNumberFormat="1" applyFont="1" applyFill="1" applyAlignment="1" applyProtection="1">
      <alignment horizontal="center"/>
    </xf>
    <xf numFmtId="37" fontId="144" fillId="0" borderId="0" xfId="19" applyFont="1" applyFill="1" applyAlignment="1">
      <alignment horizontal="left"/>
    </xf>
    <xf numFmtId="37" fontId="144" fillId="0" borderId="0" xfId="19" applyFont="1" applyFill="1" applyAlignment="1"/>
    <xf numFmtId="37" fontId="141" fillId="0" borderId="0" xfId="19" applyFont="1" applyFill="1" applyAlignment="1">
      <alignment horizontal="right"/>
    </xf>
    <xf numFmtId="37" fontId="141" fillId="0" borderId="0" xfId="19" applyFont="1" applyFill="1" applyAlignment="1">
      <alignment horizontal="left"/>
    </xf>
    <xf numFmtId="181" fontId="141" fillId="0" borderId="0" xfId="19" applyNumberFormat="1" applyFont="1" applyFill="1" applyAlignment="1" applyProtection="1">
      <alignment horizontal="center"/>
    </xf>
    <xf numFmtId="182" fontId="141" fillId="0" borderId="0" xfId="19" applyNumberFormat="1" applyFont="1" applyFill="1"/>
    <xf numFmtId="182" fontId="141" fillId="0" borderId="0" xfId="19" applyNumberFormat="1" applyFont="1" applyFill="1" applyAlignment="1">
      <alignment horizontal="center"/>
    </xf>
    <xf numFmtId="182" fontId="141" fillId="27" borderId="0" xfId="19" applyNumberFormat="1" applyFont="1" applyFill="1"/>
    <xf numFmtId="182" fontId="141" fillId="0" borderId="0" xfId="19" applyNumberFormat="1" applyFont="1" applyFill="1" applyProtection="1"/>
    <xf numFmtId="182" fontId="141" fillId="0" borderId="0" xfId="19" applyNumberFormat="1" applyFont="1" applyFill="1" applyAlignment="1" applyProtection="1">
      <alignment horizontal="right"/>
    </xf>
    <xf numFmtId="182" fontId="145" fillId="0" borderId="0" xfId="19" applyNumberFormat="1" applyFont="1" applyFill="1" applyAlignment="1">
      <alignment vertical="top"/>
    </xf>
    <xf numFmtId="182" fontId="145" fillId="0" borderId="0" xfId="19" applyNumberFormat="1" applyFont="1" applyFill="1"/>
    <xf numFmtId="37" fontId="141" fillId="0" borderId="0" xfId="19" quotePrefix="1" applyFont="1" applyFill="1" applyAlignment="1">
      <alignment horizontal="right"/>
    </xf>
    <xf numFmtId="182" fontId="141" fillId="0" borderId="0" xfId="19" applyNumberFormat="1" applyFont="1" applyFill="1" applyBorder="1"/>
    <xf numFmtId="182" fontId="141" fillId="27" borderId="0" xfId="19" applyNumberFormat="1" applyFont="1" applyFill="1" applyBorder="1"/>
    <xf numFmtId="182" fontId="145" fillId="0" borderId="0" xfId="19" applyNumberFormat="1" applyFont="1" applyFill="1" applyBorder="1"/>
    <xf numFmtId="182" fontId="145" fillId="0" borderId="0" xfId="19" applyNumberFormat="1" applyFont="1" applyFill="1" applyProtection="1"/>
    <xf numFmtId="37" fontId="141" fillId="0" borderId="0" xfId="19" applyFont="1" applyFill="1" applyAlignment="1"/>
    <xf numFmtId="181" fontId="141" fillId="0" borderId="0" xfId="19" applyNumberFormat="1" applyFont="1" applyFill="1" applyAlignment="1" applyProtection="1">
      <alignment horizontal="center" vertical="top"/>
    </xf>
    <xf numFmtId="182" fontId="141" fillId="0" borderId="0" xfId="19" applyNumberFormat="1" applyFont="1" applyFill="1" applyAlignment="1">
      <alignment vertical="top"/>
    </xf>
    <xf numFmtId="182" fontId="141" fillId="0" borderId="0" xfId="19" applyNumberFormat="1" applyFont="1" applyFill="1" applyAlignment="1" applyProtection="1">
      <alignment horizontal="right" vertical="top"/>
    </xf>
    <xf numFmtId="37" fontId="142" fillId="0" borderId="0" xfId="19" applyFont="1" applyFill="1"/>
    <xf numFmtId="37" fontId="142" fillId="0" borderId="0" xfId="19" applyFont="1" applyFill="1" applyAlignment="1">
      <alignment horizontal="center"/>
    </xf>
    <xf numFmtId="37" fontId="144" fillId="0" borderId="0" xfId="19" applyFont="1" applyFill="1" applyAlignment="1">
      <alignment horizontal="left" vertical="top"/>
    </xf>
    <xf numFmtId="37" fontId="141" fillId="0" borderId="0" xfId="19" applyFont="1" applyFill="1" applyAlignment="1">
      <alignment horizontal="right" vertical="top"/>
    </xf>
    <xf numFmtId="37" fontId="141" fillId="0" borderId="0" xfId="19" quotePrefix="1" applyFont="1" applyFill="1" applyAlignment="1">
      <alignment horizontal="center"/>
    </xf>
    <xf numFmtId="183" fontId="141" fillId="0" borderId="0" xfId="19" applyNumberFormat="1" applyFont="1" applyFill="1" applyAlignment="1">
      <alignment vertical="center"/>
    </xf>
    <xf numFmtId="182" fontId="145" fillId="0" borderId="0" xfId="19" applyNumberFormat="1" applyFont="1" applyFill="1" applyAlignment="1" applyProtection="1">
      <alignment horizontal="right"/>
    </xf>
    <xf numFmtId="183" fontId="145" fillId="0" borderId="0" xfId="19" applyNumberFormat="1" applyFont="1" applyFill="1" applyAlignment="1">
      <alignment vertical="center"/>
    </xf>
    <xf numFmtId="184" fontId="141" fillId="0" borderId="0" xfId="19" applyNumberFormat="1" applyFont="1" applyFill="1" applyAlignment="1" applyProtection="1">
      <alignment horizontal="center"/>
    </xf>
    <xf numFmtId="182" fontId="141" fillId="0" borderId="0" xfId="19" quotePrefix="1" applyNumberFormat="1" applyFont="1" applyFill="1" applyAlignment="1">
      <alignment horizontal="center"/>
    </xf>
    <xf numFmtId="182" fontId="141" fillId="0" borderId="0" xfId="19" quotePrefix="1" applyNumberFormat="1" applyFont="1" applyFill="1" applyAlignment="1">
      <alignment horizontal="left"/>
    </xf>
    <xf numFmtId="182" fontId="141" fillId="0" borderId="0" xfId="19" applyNumberFormat="1" applyFont="1" applyFill="1" applyAlignment="1">
      <alignment horizontal="right"/>
    </xf>
    <xf numFmtId="181" fontId="141" fillId="0" borderId="0" xfId="19" applyNumberFormat="1" applyFont="1" applyFill="1" applyAlignment="1" applyProtection="1">
      <alignment horizontal="left"/>
    </xf>
    <xf numFmtId="37" fontId="141" fillId="0" borderId="0" xfId="19" quotePrefix="1" applyFont="1" applyFill="1" applyAlignment="1">
      <alignment horizontal="left"/>
    </xf>
    <xf numFmtId="182" fontId="141" fillId="21" borderId="0" xfId="19" applyNumberFormat="1" applyFont="1" applyFill="1"/>
    <xf numFmtId="182" fontId="141" fillId="0" borderId="0" xfId="19" applyNumberFormat="1" applyFont="1" applyFill="1" applyAlignment="1" applyProtection="1">
      <alignment horizontal="center"/>
    </xf>
    <xf numFmtId="182" fontId="141" fillId="27" borderId="0" xfId="19" applyNumberFormat="1" applyFont="1" applyFill="1" applyProtection="1"/>
    <xf numFmtId="182" fontId="141" fillId="0" borderId="78" xfId="19" applyNumberFormat="1" applyFont="1" applyFill="1" applyBorder="1" applyProtection="1"/>
    <xf numFmtId="37" fontId="144" fillId="0" borderId="0" xfId="19" applyFont="1" applyFill="1" applyBorder="1" applyAlignment="1">
      <alignment vertical="top"/>
    </xf>
    <xf numFmtId="37" fontId="142" fillId="0" borderId="0" xfId="19" applyFont="1" applyFill="1" applyBorder="1" applyAlignment="1">
      <alignment vertical="top"/>
    </xf>
    <xf numFmtId="184" fontId="141" fillId="0" borderId="0" xfId="19" applyNumberFormat="1" applyFont="1" applyFill="1" applyBorder="1" applyAlignment="1" applyProtection="1">
      <alignment vertical="top"/>
    </xf>
    <xf numFmtId="37" fontId="141" fillId="0" borderId="0" xfId="19" applyFont="1" applyFill="1" applyBorder="1" applyAlignment="1">
      <alignment vertical="top"/>
    </xf>
    <xf numFmtId="37" fontId="141" fillId="0" borderId="0" xfId="19" applyFont="1" applyFill="1" applyBorder="1" applyAlignment="1">
      <alignment horizontal="center" vertical="top"/>
    </xf>
    <xf numFmtId="182" fontId="145" fillId="0" borderId="0" xfId="19" applyNumberFormat="1" applyFont="1" applyFill="1" applyBorder="1" applyAlignment="1" applyProtection="1">
      <alignment vertical="top"/>
    </xf>
    <xf numFmtId="182" fontId="141" fillId="0" borderId="0" xfId="19" applyNumberFormat="1" applyFont="1" applyFill="1" applyBorder="1" applyAlignment="1" applyProtection="1">
      <alignment horizontal="left" vertical="top"/>
    </xf>
    <xf numFmtId="37" fontId="141" fillId="0" borderId="0" xfId="19" applyFont="1" applyFill="1" applyAlignment="1">
      <alignment vertical="center"/>
    </xf>
    <xf numFmtId="181" fontId="141" fillId="0" borderId="0" xfId="19" applyNumberFormat="1" applyFont="1" applyFill="1" applyAlignment="1" applyProtection="1">
      <alignment horizontal="center" vertical="center"/>
    </xf>
    <xf numFmtId="37" fontId="141" fillId="0" borderId="0" xfId="19" quotePrefix="1" applyFont="1" applyFill="1" applyAlignment="1">
      <alignment horizontal="center" vertical="center"/>
    </xf>
    <xf numFmtId="37" fontId="141" fillId="0" borderId="0" xfId="19" applyFont="1" applyFill="1" applyAlignment="1">
      <alignment horizontal="center" vertical="center"/>
    </xf>
    <xf numFmtId="182" fontId="141" fillId="0" borderId="0" xfId="19" applyNumberFormat="1" applyFont="1" applyFill="1" applyAlignment="1">
      <alignment vertical="center"/>
    </xf>
    <xf numFmtId="182" fontId="141" fillId="0" borderId="0" xfId="19" applyNumberFormat="1" applyFont="1" applyFill="1" applyAlignment="1">
      <alignment horizontal="center" vertical="center"/>
    </xf>
    <xf numFmtId="182" fontId="141" fillId="0" borderId="0" xfId="19" applyNumberFormat="1" applyFont="1" applyFill="1" applyAlignment="1" applyProtection="1">
      <alignment vertical="center"/>
    </xf>
    <xf numFmtId="37" fontId="142" fillId="0" borderId="0" xfId="19" applyFont="1" applyFill="1" applyAlignment="1">
      <alignment horizontal="center" vertical="center"/>
    </xf>
    <xf numFmtId="37" fontId="144" fillId="0" borderId="0" xfId="19" applyFont="1" applyFill="1" applyAlignment="1">
      <alignment horizontal="left" vertical="center"/>
    </xf>
    <xf numFmtId="182" fontId="145" fillId="0" borderId="0" xfId="19" applyNumberFormat="1" applyFont="1" applyFill="1" applyAlignment="1" applyProtection="1">
      <alignment vertical="center"/>
    </xf>
    <xf numFmtId="37" fontId="141" fillId="0" borderId="0" xfId="19" applyFont="1" applyFill="1" applyBorder="1" applyAlignment="1">
      <alignment vertical="center"/>
    </xf>
    <xf numFmtId="182" fontId="141" fillId="0" borderId="0" xfId="19" applyNumberFormat="1" applyFont="1" applyFill="1" applyAlignment="1" applyProtection="1">
      <alignment horizontal="center" vertical="center"/>
    </xf>
    <xf numFmtId="182" fontId="141" fillId="0" borderId="0" xfId="19" applyNumberFormat="1" applyFont="1" applyFill="1" applyAlignment="1" applyProtection="1">
      <alignment horizontal="left" vertical="center"/>
    </xf>
    <xf numFmtId="182" fontId="146" fillId="0" borderId="0" xfId="19" applyNumberFormat="1" applyFont="1" applyFill="1" applyAlignment="1">
      <alignment vertical="top"/>
    </xf>
    <xf numFmtId="182" fontId="146" fillId="0" borderId="0" xfId="19" applyNumberFormat="1" applyFont="1" applyFill="1"/>
    <xf numFmtId="182" fontId="146" fillId="0" borderId="0" xfId="19" applyNumberFormat="1" applyFont="1" applyFill="1" applyBorder="1"/>
    <xf numFmtId="181" fontId="141" fillId="0" borderId="0" xfId="19" applyNumberFormat="1" applyFont="1" applyFill="1" applyProtection="1"/>
    <xf numFmtId="182" fontId="142" fillId="0" borderId="0" xfId="19" applyNumberFormat="1" applyFont="1" applyFill="1" applyAlignment="1">
      <alignment horizontal="left"/>
    </xf>
    <xf numFmtId="182" fontId="142" fillId="0" borderId="0" xfId="19" applyNumberFormat="1" applyFont="1" applyFill="1"/>
    <xf numFmtId="182" fontId="142" fillId="0" borderId="0" xfId="19" applyNumberFormat="1" applyFont="1" applyFill="1" applyAlignment="1">
      <alignment horizontal="center"/>
    </xf>
    <xf numFmtId="37" fontId="141" fillId="0" borderId="0" xfId="19" applyFont="1" applyFill="1" applyAlignment="1">
      <alignment horizontal="left" vertical="center"/>
    </xf>
    <xf numFmtId="181" fontId="142" fillId="0" borderId="0" xfId="19" applyNumberFormat="1" applyFont="1" applyFill="1" applyAlignment="1" applyProtection="1">
      <alignment vertical="center"/>
    </xf>
    <xf numFmtId="182" fontId="142" fillId="0" borderId="0" xfId="19" applyNumberFormat="1" applyFont="1" applyFill="1" applyAlignment="1">
      <alignment vertical="center"/>
    </xf>
    <xf numFmtId="182" fontId="142" fillId="0" borderId="0" xfId="19" applyNumberFormat="1" applyFont="1" applyFill="1" applyAlignment="1">
      <alignment horizontal="center" vertical="center"/>
    </xf>
    <xf numFmtId="37" fontId="141" fillId="0" borderId="0" xfId="19" quotePrefix="1" applyFont="1" applyFill="1" applyAlignment="1">
      <alignment horizontal="left" vertical="center"/>
    </xf>
    <xf numFmtId="37" fontId="137" fillId="0" borderId="0" xfId="19" applyFill="1" applyAlignment="1" applyProtection="1">
      <alignment horizontal="left"/>
    </xf>
    <xf numFmtId="37" fontId="10" fillId="0" borderId="0" xfId="19" applyFont="1" applyFill="1" applyAlignment="1" applyProtection="1"/>
    <xf numFmtId="37" fontId="147" fillId="0" borderId="0" xfId="19" applyFont="1" applyFill="1" applyAlignment="1" applyProtection="1">
      <alignment horizontal="left"/>
    </xf>
    <xf numFmtId="169" fontId="10" fillId="0" borderId="0" xfId="19" applyNumberFormat="1" applyFont="1" applyFill="1" applyAlignment="1" applyProtection="1">
      <alignment horizontal="left"/>
    </xf>
    <xf numFmtId="1" fontId="10" fillId="0" borderId="0" xfId="19" applyNumberFormat="1" applyFont="1" applyFill="1" applyAlignment="1" applyProtection="1">
      <alignment horizontal="left"/>
    </xf>
    <xf numFmtId="37" fontId="10" fillId="0" borderId="0" xfId="19" applyFont="1" applyFill="1" applyAlignment="1" applyProtection="1">
      <alignment horizontal="left"/>
    </xf>
    <xf numFmtId="169" fontId="137" fillId="0" borderId="0" xfId="19" applyNumberFormat="1" applyFill="1" applyAlignment="1" applyProtection="1">
      <alignment horizontal="left"/>
    </xf>
    <xf numFmtId="1" fontId="137" fillId="0" borderId="0" xfId="19" applyNumberFormat="1" applyFill="1" applyAlignment="1" applyProtection="1">
      <alignment horizontal="left"/>
    </xf>
    <xf numFmtId="37" fontId="137" fillId="0" borderId="0" xfId="19" applyFill="1" applyProtection="1">
      <protection locked="0"/>
    </xf>
    <xf numFmtId="169" fontId="137" fillId="0" borderId="0" xfId="19" applyNumberFormat="1" applyFill="1" applyProtection="1">
      <protection locked="0"/>
    </xf>
    <xf numFmtId="1" fontId="137" fillId="0" borderId="0" xfId="19" applyNumberFormat="1" applyFill="1" applyProtection="1">
      <protection locked="0"/>
    </xf>
    <xf numFmtId="37" fontId="137" fillId="0" borderId="0" xfId="19" applyFill="1" applyAlignment="1" applyProtection="1">
      <alignment horizontal="center"/>
      <protection locked="0"/>
    </xf>
    <xf numFmtId="37" fontId="12" fillId="0" borderId="0" xfId="19" applyFont="1" applyFill="1" applyAlignment="1">
      <alignment vertical="center"/>
    </xf>
    <xf numFmtId="37" fontId="44" fillId="0" borderId="0" xfId="19" applyFont="1" applyFill="1" applyAlignment="1">
      <alignment horizontal="center" vertical="center"/>
    </xf>
    <xf numFmtId="37" fontId="137" fillId="0" borderId="0" xfId="19" applyFill="1" applyAlignment="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49"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50"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7" fillId="0" borderId="0" xfId="3" applyFont="1" applyAlignment="1">
      <alignment horizontal="left"/>
    </xf>
    <xf numFmtId="0" fontId="10" fillId="0" borderId="0" xfId="3" applyFont="1" applyAlignment="1">
      <alignment horizontal="left"/>
    </xf>
    <xf numFmtId="0" fontId="35" fillId="0" borderId="0" xfId="3" applyFont="1"/>
    <xf numFmtId="0" fontId="147" fillId="0" borderId="0" xfId="3" applyFont="1"/>
    <xf numFmtId="14" fontId="9" fillId="0" borderId="0" xfId="3" quotePrefix="1" applyNumberFormat="1" applyAlignment="1" applyProtection="1">
      <alignment horizontal="left" indent="2"/>
      <protection locked="0"/>
    </xf>
    <xf numFmtId="49" fontId="64" fillId="27" borderId="0" xfId="3" applyNumberFormat="1" applyFont="1" applyFill="1" applyAlignment="1">
      <alignment horizontal="center" vertical="center"/>
    </xf>
    <xf numFmtId="0" fontId="56" fillId="27" borderId="0" xfId="3" applyFont="1" applyFill="1"/>
    <xf numFmtId="166" fontId="64" fillId="27" borderId="0" xfId="3" applyNumberFormat="1" applyFont="1" applyFill="1" applyAlignment="1">
      <alignment horizontal="center" vertical="center"/>
    </xf>
    <xf numFmtId="0" fontId="53" fillId="27" borderId="0" xfId="3" applyFont="1" applyFill="1" applyAlignment="1">
      <alignment horizontal="center" vertical="center"/>
    </xf>
    <xf numFmtId="0" fontId="64" fillId="27" borderId="0" xfId="3" applyFont="1" applyFill="1"/>
    <xf numFmtId="0" fontId="56" fillId="27" borderId="0" xfId="3" applyFont="1" applyFill="1" applyAlignment="1">
      <alignment horizontal="center"/>
    </xf>
    <xf numFmtId="0" fontId="56" fillId="27" borderId="144" xfId="3" applyFont="1" applyFill="1" applyBorder="1"/>
    <xf numFmtId="0" fontId="56" fillId="27" borderId="144" xfId="3" applyFont="1" applyFill="1" applyBorder="1" applyAlignment="1">
      <alignment horizontal="center"/>
    </xf>
    <xf numFmtId="0" fontId="63" fillId="27" borderId="0" xfId="3" applyFont="1" applyFill="1"/>
    <xf numFmtId="0" fontId="64" fillId="27" borderId="0" xfId="3" applyFont="1" applyFill="1" applyAlignment="1">
      <alignment horizontal="right"/>
    </xf>
    <xf numFmtId="178" fontId="64" fillId="27" borderId="74" xfId="3" applyNumberFormat="1" applyFont="1" applyFill="1" applyBorder="1" applyAlignment="1" applyProtection="1">
      <alignment horizontal="center"/>
      <protection locked="0"/>
    </xf>
    <xf numFmtId="0" fontId="56" fillId="27" borderId="22" xfId="3" applyFont="1" applyFill="1" applyBorder="1" applyAlignment="1" applyProtection="1">
      <alignment horizontal="center"/>
      <protection locked="0"/>
    </xf>
    <xf numFmtId="0" fontId="61" fillId="27" borderId="0" xfId="3" applyFont="1" applyFill="1" applyAlignment="1">
      <alignment horizontal="left" vertical="center" indent="1"/>
    </xf>
    <xf numFmtId="0" fontId="61" fillId="27" borderId="0" xfId="3" applyFont="1" applyFill="1" applyAlignment="1">
      <alignment horizontal="left" indent="1"/>
    </xf>
    <xf numFmtId="0" fontId="61" fillId="27" borderId="0" xfId="3" applyFont="1" applyFill="1" applyAlignment="1">
      <alignment horizontal="left"/>
    </xf>
    <xf numFmtId="0" fontId="56" fillId="27" borderId="74" xfId="3" applyFont="1" applyFill="1" applyBorder="1" applyProtection="1">
      <protection locked="0"/>
    </xf>
    <xf numFmtId="0" fontId="64" fillId="27" borderId="9" xfId="3" applyFont="1" applyFill="1" applyBorder="1"/>
    <xf numFmtId="0" fontId="56" fillId="27" borderId="9" xfId="3" applyFont="1" applyFill="1" applyBorder="1"/>
    <xf numFmtId="0" fontId="56" fillId="27" borderId="9" xfId="3" applyFont="1" applyFill="1" applyBorder="1" applyAlignment="1">
      <alignment horizontal="center"/>
    </xf>
    <xf numFmtId="0" fontId="56" fillId="27" borderId="0" xfId="3" applyFont="1" applyFill="1" applyAlignment="1">
      <alignment vertical="center"/>
    </xf>
    <xf numFmtId="0" fontId="61" fillId="27" borderId="0" xfId="3" applyFont="1" applyFill="1"/>
    <xf numFmtId="0" fontId="63" fillId="27" borderId="0" xfId="3" applyFont="1" applyFill="1" applyAlignment="1">
      <alignment horizontal="center"/>
    </xf>
    <xf numFmtId="0" fontId="64" fillId="27" borderId="0" xfId="3" applyFont="1" applyFill="1" applyAlignment="1">
      <alignment vertical="center"/>
    </xf>
    <xf numFmtId="0" fontId="64" fillId="27" borderId="0" xfId="3" applyFont="1" applyFill="1" applyAlignment="1">
      <alignment horizontal="center"/>
    </xf>
    <xf numFmtId="0" fontId="63" fillId="27" borderId="0" xfId="3" quotePrefix="1" applyFont="1" applyFill="1" applyAlignment="1">
      <alignment horizontal="left"/>
    </xf>
    <xf numFmtId="0" fontId="54" fillId="27" borderId="0" xfId="3" applyFont="1" applyFill="1"/>
    <xf numFmtId="0" fontId="54" fillId="27" borderId="0" xfId="3" applyFont="1" applyFill="1" applyAlignment="1">
      <alignment horizontal="center"/>
    </xf>
    <xf numFmtId="0" fontId="56" fillId="27" borderId="9" xfId="3" applyFont="1" applyFill="1" applyBorder="1" applyAlignment="1">
      <alignment horizontal="left"/>
    </xf>
    <xf numFmtId="170" fontId="56" fillId="27" borderId="9" xfId="3" applyNumberFormat="1" applyFont="1" applyFill="1" applyBorder="1" applyAlignment="1">
      <alignment horizontal="centerContinuous"/>
    </xf>
    <xf numFmtId="0" fontId="56" fillId="27" borderId="0" xfId="3" applyFont="1" applyFill="1" applyAlignment="1">
      <alignment horizontal="left"/>
    </xf>
    <xf numFmtId="0" fontId="63" fillId="27" borderId="144" xfId="3" applyFont="1" applyFill="1" applyBorder="1" applyAlignment="1">
      <alignment horizontal="left"/>
    </xf>
    <xf numFmtId="0" fontId="64" fillId="27" borderId="144" xfId="3" applyFont="1" applyFill="1" applyBorder="1"/>
    <xf numFmtId="0" fontId="63" fillId="25" borderId="143" xfId="3" applyFont="1" applyFill="1" applyBorder="1"/>
    <xf numFmtId="0" fontId="63" fillId="25" borderId="144" xfId="3" applyFont="1" applyFill="1" applyBorder="1"/>
    <xf numFmtId="0" fontId="56" fillId="25" borderId="144" xfId="3" applyFont="1" applyFill="1" applyBorder="1"/>
    <xf numFmtId="0" fontId="56" fillId="25" borderId="144" xfId="3" applyFont="1" applyFill="1" applyBorder="1" applyAlignment="1">
      <alignment horizontal="center"/>
    </xf>
    <xf numFmtId="0" fontId="56" fillId="25" borderId="145" xfId="3" applyFont="1" applyFill="1" applyBorder="1"/>
    <xf numFmtId="0" fontId="56" fillId="27" borderId="5" xfId="3" applyFont="1" applyFill="1" applyBorder="1"/>
    <xf numFmtId="0" fontId="61" fillId="25" borderId="5" xfId="3" applyFont="1" applyFill="1" applyBorder="1"/>
    <xf numFmtId="0" fontId="61" fillId="25" borderId="165" xfId="3" applyFont="1" applyFill="1" applyBorder="1"/>
    <xf numFmtId="14" fontId="56" fillId="25" borderId="74" xfId="3" applyNumberFormat="1" applyFont="1" applyFill="1" applyBorder="1" applyAlignment="1">
      <alignment horizontal="center"/>
    </xf>
    <xf numFmtId="14" fontId="56" fillId="25" borderId="0" xfId="3" applyNumberFormat="1" applyFont="1" applyFill="1"/>
    <xf numFmtId="0" fontId="61" fillId="25" borderId="0" xfId="3" applyFont="1" applyFill="1"/>
    <xf numFmtId="0" fontId="56" fillId="25" borderId="0" xfId="3" applyFont="1" applyFill="1" applyAlignment="1">
      <alignment horizontal="center"/>
    </xf>
    <xf numFmtId="0" fontId="56" fillId="25" borderId="0" xfId="3" applyFont="1" applyFill="1"/>
    <xf numFmtId="0" fontId="56" fillId="25" borderId="74" xfId="3" applyFont="1" applyFill="1" applyBorder="1" applyAlignment="1">
      <alignment horizontal="center"/>
    </xf>
    <xf numFmtId="0" fontId="56" fillId="25" borderId="40" xfId="3" applyFont="1" applyFill="1" applyBorder="1"/>
    <xf numFmtId="0" fontId="56" fillId="25" borderId="50" xfId="3" applyFont="1" applyFill="1" applyBorder="1"/>
    <xf numFmtId="0" fontId="56" fillId="25" borderId="9" xfId="3" applyFont="1" applyFill="1" applyBorder="1"/>
    <xf numFmtId="0" fontId="56" fillId="25" borderId="9" xfId="3" applyFont="1" applyFill="1" applyBorder="1" applyAlignment="1">
      <alignment horizontal="center"/>
    </xf>
    <xf numFmtId="0" fontId="56" fillId="25" borderId="59" xfId="3" applyFont="1" applyFill="1" applyBorder="1"/>
    <xf numFmtId="0" fontId="71" fillId="27" borderId="151" xfId="3" applyFont="1" applyFill="1" applyBorder="1" applyAlignment="1">
      <alignment horizontal="left"/>
    </xf>
    <xf numFmtId="0" fontId="56" fillId="27" borderId="151" xfId="3" applyFont="1" applyFill="1" applyBorder="1"/>
    <xf numFmtId="0" fontId="56" fillId="27" borderId="151" xfId="3" applyFont="1" applyFill="1" applyBorder="1" applyAlignment="1">
      <alignment horizontal="center"/>
    </xf>
    <xf numFmtId="0" fontId="118" fillId="27" borderId="0" xfId="3" applyFont="1" applyFill="1"/>
    <xf numFmtId="0" fontId="10" fillId="0" borderId="0" xfId="3" applyFont="1" applyAlignment="1">
      <alignment vertical="top"/>
    </xf>
    <xf numFmtId="0" fontId="9" fillId="0" borderId="0" xfId="3" applyAlignment="1" applyProtection="1">
      <alignment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7" fillId="0" borderId="0" xfId="19" applyFont="1" applyFill="1" applyAlignment="1" applyProtection="1">
      <alignment horizontal="center" wrapText="1"/>
    </xf>
    <xf numFmtId="37" fontId="10" fillId="0" borderId="0" xfId="19" applyFont="1" applyFill="1" applyAlignment="1" applyProtection="1">
      <alignment horizontal="left" wrapText="1"/>
    </xf>
    <xf numFmtId="37" fontId="147" fillId="0" borderId="0" xfId="19" applyFont="1" applyFill="1" applyAlignment="1" applyProtection="1">
      <alignment horizontal="left" wrapText="1"/>
    </xf>
    <xf numFmtId="37" fontId="138" fillId="0" borderId="0" xfId="19" applyFont="1" applyFill="1" applyAlignment="1">
      <alignment horizontal="center"/>
    </xf>
    <xf numFmtId="0" fontId="140" fillId="0" borderId="0" xfId="20" applyNumberFormat="1" applyFont="1" applyFill="1" applyAlignment="1">
      <alignment horizontal="center" vertical="top"/>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6" fillId="27" borderId="74" xfId="3" applyFont="1" applyFill="1" applyBorder="1" applyAlignment="1" applyProtection="1">
      <alignment horizontal="center"/>
      <protection locked="0"/>
    </xf>
    <xf numFmtId="0" fontId="53" fillId="27" borderId="0" xfId="3" applyFont="1" applyFill="1" applyAlignment="1">
      <alignment horizontal="center" vertical="center" wrapText="1"/>
    </xf>
    <xf numFmtId="165" fontId="53" fillId="27" borderId="0" xfId="3" applyNumberFormat="1" applyFont="1" applyFill="1" applyAlignment="1">
      <alignment horizontal="center" vertical="center" wrapText="1"/>
    </xf>
    <xf numFmtId="0" fontId="53" fillId="27" borderId="144" xfId="3" applyFont="1" applyFill="1" applyBorder="1" applyAlignment="1">
      <alignment horizontal="center" vertical="center" wrapText="1"/>
    </xf>
    <xf numFmtId="0" fontId="56" fillId="27" borderId="0" xfId="3" applyFont="1" applyFill="1" applyAlignment="1" applyProtection="1">
      <alignment horizontal="left" vertical="top" wrapText="1"/>
      <protection locked="0"/>
    </xf>
    <xf numFmtId="0" fontId="64" fillId="27" borderId="74" xfId="3" applyFont="1" applyFill="1" applyBorder="1" applyAlignment="1" applyProtection="1">
      <alignment horizontal="center"/>
      <protection locked="0"/>
    </xf>
    <xf numFmtId="0" fontId="64" fillId="27" borderId="74" xfId="3" applyFont="1" applyFill="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xf numFmtId="165" fontId="19" fillId="0" borderId="0" xfId="3" applyNumberFormat="1" applyFont="1" applyAlignment="1">
      <alignment horizontal="center" vertical="center" wrapText="1"/>
    </xf>
  </cellXfs>
  <cellStyles count="23">
    <cellStyle name="Comma" xfId="1" builtinId="3"/>
    <cellStyle name="Comma 2" xfId="21"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22" xr:uid="{00000000-0005-0000-0000-000015000000}"/>
    <cellStyle name="Warning Text 9" xfId="20"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55312BCC-8A49-4F6C-8D75-7466394D4D61}"/>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9709872-1BD8-4A4A-BF4C-43677676A89B}"/>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7"/>
    <xdr:sp macro="" textlink="">
      <xdr:nvSpPr>
        <xdr:cNvPr id="2" name="Text 1">
          <a:extLst>
            <a:ext uri="{FF2B5EF4-FFF2-40B4-BE49-F238E27FC236}">
              <a16:creationId xmlns:a16="http://schemas.microsoft.com/office/drawing/2014/main" id="{1BDCECFA-B7FD-44B3-9788-BE811E4EF696}"/>
            </a:ext>
          </a:extLst>
        </xdr:cNvPr>
        <xdr:cNvSpPr txBox="1">
          <a:spLocks noChangeArrowheads="1"/>
        </xdr:cNvSpPr>
      </xdr:nvSpPr>
      <xdr:spPr bwMode="auto">
        <a:xfrm>
          <a:off x="1647825" y="73152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8655D7FD-6B13-4224-AF20-8AF426680608}"/>
            </a:ext>
          </a:extLst>
        </xdr:cNvPr>
        <xdr:cNvSpPr>
          <a:spLocks noChangeArrowheads="1"/>
        </xdr:cNvSpPr>
      </xdr:nvSpPr>
      <xdr:spPr bwMode="auto">
        <a:xfrm>
          <a:off x="1285875" y="73152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450273</xdr:colOff>
          <xdr:row>2</xdr:row>
          <xdr:rowOff>95251</xdr:rowOff>
        </xdr:from>
        <xdr:to>
          <xdr:col>1</xdr:col>
          <xdr:colOff>1364673</xdr:colOff>
          <xdr:row>6</xdr:row>
          <xdr:rowOff>133351</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1627909</xdr:colOff>
          <xdr:row>2</xdr:row>
          <xdr:rowOff>138546</xdr:rowOff>
        </xdr:from>
        <xdr:to>
          <xdr:col>1</xdr:col>
          <xdr:colOff>2538845</xdr:colOff>
          <xdr:row>7</xdr:row>
          <xdr:rowOff>12123</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22093"/>
    <xdr:sp macro="" textlink="">
      <xdr:nvSpPr>
        <xdr:cNvPr id="2" name="Text 1">
          <a:extLst>
            <a:ext uri="{FF2B5EF4-FFF2-40B4-BE49-F238E27FC236}">
              <a16:creationId xmlns:a16="http://schemas.microsoft.com/office/drawing/2014/main" id="{1D17748F-A06E-4D0F-8F72-CC739590A7EE}"/>
            </a:ext>
          </a:extLst>
        </xdr:cNvPr>
        <xdr:cNvSpPr txBox="1">
          <a:spLocks noChangeArrowheads="1"/>
        </xdr:cNvSpPr>
      </xdr:nvSpPr>
      <xdr:spPr bwMode="auto">
        <a:xfrm>
          <a:off x="2381250" y="2543175"/>
          <a:ext cx="76200" cy="12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B99FE24C-0A69-4BC0-B832-ADE50234DEDF}"/>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6545CBB3-F188-441A-81CB-710D813281A1}"/>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D7EA2362-7A46-4247-A320-950425FE22CF}"/>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72" t="s">
        <v>405</v>
      </c>
      <c r="J1" s="2173"/>
      <c r="K1" s="2173"/>
      <c r="L1" s="2173"/>
      <c r="M1" s="2173"/>
      <c r="N1" s="2173"/>
      <c r="O1" s="2173"/>
      <c r="P1" s="2173"/>
      <c r="Q1" s="2173"/>
      <c r="R1" s="2173"/>
      <c r="S1" s="2173"/>
    </row>
    <row r="2" spans="1:28" ht="12" customHeight="1" x14ac:dyDescent="0.2">
      <c r="A2" s="47" t="s">
        <v>1990</v>
      </c>
      <c r="D2" s="48"/>
      <c r="I2" s="2174" t="s">
        <v>979</v>
      </c>
      <c r="J2" s="2173"/>
      <c r="K2" s="2173"/>
      <c r="L2" s="2173"/>
      <c r="M2" s="2173"/>
      <c r="N2" s="2173"/>
      <c r="O2" s="2173"/>
      <c r="P2" s="2173"/>
      <c r="Q2" s="2173"/>
      <c r="R2" s="2173"/>
      <c r="S2" s="2173"/>
    </row>
    <row r="3" spans="1:28" ht="12" customHeight="1" x14ac:dyDescent="0.2">
      <c r="A3" s="155" t="s">
        <v>1942</v>
      </c>
      <c r="B3" s="156"/>
      <c r="C3" s="156"/>
      <c r="D3" s="157"/>
      <c r="I3" s="2174" t="s">
        <v>52</v>
      </c>
      <c r="J3" s="2173"/>
      <c r="K3" s="2173"/>
      <c r="L3" s="2173"/>
      <c r="M3" s="2173"/>
      <c r="N3" s="2173"/>
      <c r="O3" s="2173"/>
      <c r="P3" s="2173"/>
      <c r="Q3" s="2173"/>
      <c r="R3" s="2173"/>
      <c r="S3" s="2173"/>
    </row>
    <row r="4" spans="1:28" ht="12" customHeight="1" x14ac:dyDescent="0.2">
      <c r="A4" s="37"/>
      <c r="I4" s="2174" t="s">
        <v>524</v>
      </c>
      <c r="J4" s="2173"/>
      <c r="K4" s="2173"/>
      <c r="L4" s="2173"/>
      <c r="M4" s="2173"/>
      <c r="N4" s="2173"/>
      <c r="O4" s="2173"/>
      <c r="P4" s="2173"/>
      <c r="Q4" s="2173"/>
      <c r="R4" s="2173"/>
      <c r="S4" s="2173"/>
    </row>
    <row r="5" spans="1:28" ht="14.1" customHeight="1" x14ac:dyDescent="0.2">
      <c r="B5" s="104" t="s">
        <v>2067</v>
      </c>
      <c r="C5" s="26" t="s">
        <v>910</v>
      </c>
      <c r="D5" s="84"/>
      <c r="E5" s="84"/>
      <c r="H5" s="38"/>
      <c r="I5" s="2182" t="s">
        <v>680</v>
      </c>
      <c r="J5" s="2181"/>
      <c r="K5" s="2181"/>
      <c r="L5" s="2181"/>
      <c r="M5" s="2181"/>
      <c r="N5" s="2181"/>
      <c r="O5" s="2181"/>
      <c r="P5" s="2181"/>
      <c r="Q5" s="2181"/>
      <c r="R5" s="2181"/>
      <c r="S5" s="2181"/>
    </row>
    <row r="6" spans="1:28" ht="14.1" customHeight="1" x14ac:dyDescent="0.2">
      <c r="B6" s="104"/>
      <c r="C6" s="26" t="s">
        <v>911</v>
      </c>
      <c r="D6" s="84"/>
      <c r="E6" s="84"/>
      <c r="I6" s="2180" t="s">
        <v>883</v>
      </c>
      <c r="J6" s="2181"/>
      <c r="K6" s="2181"/>
      <c r="L6" s="2181"/>
      <c r="M6" s="2181"/>
      <c r="N6" s="2181"/>
      <c r="O6" s="2181"/>
      <c r="P6" s="2181"/>
      <c r="Q6" s="2181"/>
      <c r="R6" s="2181"/>
      <c r="S6" s="2181"/>
    </row>
    <row r="7" spans="1:28" ht="12.2" customHeight="1" x14ac:dyDescent="0.2">
      <c r="I7" s="2175">
        <v>43646</v>
      </c>
      <c r="J7" s="2176"/>
      <c r="K7" s="2176"/>
      <c r="L7" s="2176"/>
      <c r="M7" s="2176"/>
      <c r="N7" s="2176"/>
      <c r="O7" s="2176"/>
      <c r="P7" s="2176"/>
      <c r="Q7" s="2176"/>
      <c r="R7" s="2176"/>
      <c r="S7" s="21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77" t="s">
        <v>674</v>
      </c>
      <c r="J9" s="2178"/>
      <c r="K9" s="2178"/>
      <c r="L9" s="2178"/>
      <c r="M9" s="2178"/>
      <c r="N9" s="2178"/>
      <c r="O9" s="2178"/>
      <c r="P9" s="2178"/>
      <c r="Q9" s="2178"/>
      <c r="R9" s="2178"/>
      <c r="S9" s="2179"/>
      <c r="T9" s="2193" t="s">
        <v>533</v>
      </c>
      <c r="U9" s="2194"/>
      <c r="V9" s="2194"/>
      <c r="W9" s="2194"/>
      <c r="X9" s="2194"/>
      <c r="Y9" s="2194"/>
      <c r="Z9" s="2194"/>
      <c r="AA9" s="2195"/>
    </row>
    <row r="10" spans="1:28" ht="13.5" customHeight="1" x14ac:dyDescent="0.2">
      <c r="A10" s="2200" t="s">
        <v>675</v>
      </c>
      <c r="B10" s="2201"/>
      <c r="C10" s="2201"/>
      <c r="D10" s="2201"/>
      <c r="E10" s="2201"/>
      <c r="F10" s="2201"/>
      <c r="G10" s="2201"/>
      <c r="H10" s="2202"/>
      <c r="I10" s="29"/>
      <c r="J10" s="30"/>
      <c r="K10" s="28"/>
      <c r="R10" s="30"/>
      <c r="S10" s="30"/>
      <c r="T10" s="2196"/>
      <c r="U10" s="2181"/>
      <c r="V10" s="2181"/>
      <c r="W10" s="2181"/>
      <c r="X10" s="2181"/>
      <c r="Y10" s="2181"/>
      <c r="Z10" s="2181"/>
      <c r="AA10" s="2187"/>
    </row>
    <row r="11" spans="1:28" ht="14.25" customHeight="1" x14ac:dyDescent="0.2">
      <c r="A11" s="2203" t="s">
        <v>955</v>
      </c>
      <c r="B11" s="2204"/>
      <c r="C11" s="2204"/>
      <c r="D11" s="2204"/>
      <c r="E11" s="2204"/>
      <c r="F11" s="2204"/>
      <c r="G11" s="2204"/>
      <c r="H11" s="2205"/>
      <c r="I11" s="27"/>
      <c r="J11" s="74"/>
      <c r="K11" s="27"/>
      <c r="O11" s="148" t="s">
        <v>2067</v>
      </c>
      <c r="P11" s="100" t="s">
        <v>201</v>
      </c>
      <c r="Q11" s="30"/>
      <c r="R11" s="28"/>
      <c r="S11" s="27"/>
      <c r="T11" s="2197"/>
      <c r="U11" s="2198"/>
      <c r="V11" s="2198"/>
      <c r="W11" s="2198"/>
      <c r="X11" s="2198"/>
      <c r="Y11" s="2198"/>
      <c r="Z11" s="2198"/>
      <c r="AA11" s="219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207">
        <v>17053429004</v>
      </c>
      <c r="B13" s="2208"/>
      <c r="C13" s="2208"/>
      <c r="D13" s="2208"/>
      <c r="E13" s="2208"/>
      <c r="F13" s="2208"/>
      <c r="G13" s="2208"/>
      <c r="H13" s="2209"/>
      <c r="I13" s="31"/>
      <c r="J13" s="30"/>
      <c r="K13" s="28"/>
      <c r="L13" s="30"/>
      <c r="M13" s="30"/>
      <c r="N13" s="30"/>
      <c r="O13" s="30"/>
      <c r="P13" s="30"/>
      <c r="Q13" s="30"/>
      <c r="R13" s="30"/>
      <c r="S13" s="30"/>
      <c r="T13" s="2212" t="s">
        <v>2069</v>
      </c>
      <c r="U13" s="2213"/>
      <c r="V13" s="2213"/>
      <c r="W13" s="2213"/>
      <c r="X13" s="2213"/>
      <c r="Y13" s="2214"/>
      <c r="Z13" s="2214"/>
      <c r="AA13" s="221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206" t="s">
        <v>2071</v>
      </c>
      <c r="B15" s="2210"/>
      <c r="C15" s="2210"/>
      <c r="D15" s="2210"/>
      <c r="E15" s="2210"/>
      <c r="F15" s="2210"/>
      <c r="G15" s="2210"/>
      <c r="H15" s="2211"/>
      <c r="T15" s="2216" t="s">
        <v>2077</v>
      </c>
      <c r="U15" s="2160"/>
      <c r="V15" s="2160"/>
      <c r="W15" s="2160"/>
      <c r="X15" s="2160"/>
      <c r="Y15" s="2217"/>
      <c r="Z15" s="2217"/>
      <c r="AA15" s="221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66" t="s">
        <v>2252</v>
      </c>
      <c r="B17" s="2167"/>
      <c r="C17" s="2167"/>
      <c r="D17" s="2167"/>
      <c r="E17" s="2167"/>
      <c r="F17" s="2167"/>
      <c r="G17" s="2167"/>
      <c r="H17" s="2192"/>
      <c r="T17" s="2223" t="s">
        <v>2061</v>
      </c>
      <c r="U17" s="2224"/>
      <c r="V17" s="2224"/>
      <c r="W17" s="2224"/>
      <c r="X17" s="2224"/>
      <c r="Y17" s="2224"/>
      <c r="Z17" s="2224"/>
      <c r="AA17" s="2225"/>
    </row>
    <row r="18" spans="1:27" ht="13.5" customHeight="1" x14ac:dyDescent="0.2">
      <c r="A18" s="85" t="s">
        <v>530</v>
      </c>
      <c r="B18" s="76"/>
      <c r="C18" s="72"/>
      <c r="D18" s="76"/>
      <c r="E18" s="76"/>
      <c r="F18" s="76"/>
      <c r="G18" s="76"/>
      <c r="H18" s="56"/>
      <c r="I18" s="2191" t="s">
        <v>676</v>
      </c>
      <c r="J18" s="2142"/>
      <c r="K18" s="2142"/>
      <c r="L18" s="2142"/>
      <c r="M18" s="2142"/>
      <c r="N18" s="2142"/>
      <c r="O18" s="2142"/>
      <c r="P18" s="2142"/>
      <c r="Q18" s="2142"/>
      <c r="R18" s="2142"/>
      <c r="S18" s="2143"/>
      <c r="T18" s="85" t="s">
        <v>711</v>
      </c>
      <c r="U18" s="51"/>
      <c r="V18" s="72"/>
      <c r="W18" s="50"/>
      <c r="X18" s="85" t="s">
        <v>266</v>
      </c>
      <c r="Y18" s="81"/>
      <c r="Z18" s="159" t="s">
        <v>677</v>
      </c>
      <c r="AA18" s="46"/>
    </row>
    <row r="19" spans="1:27" ht="13.5" customHeight="1" x14ac:dyDescent="0.2">
      <c r="A19" s="2206" t="s">
        <v>2072</v>
      </c>
      <c r="B19" s="2152"/>
      <c r="C19" s="2152"/>
      <c r="D19" s="2152"/>
      <c r="E19" s="2152"/>
      <c r="F19" s="2152"/>
      <c r="G19" s="2152"/>
      <c r="H19" s="2132"/>
      <c r="I19" s="30"/>
      <c r="J19" s="99"/>
      <c r="K19" s="40"/>
      <c r="L19" s="38"/>
      <c r="M19" s="112" t="s">
        <v>315</v>
      </c>
      <c r="P19" s="27"/>
      <c r="Q19" s="27"/>
      <c r="R19" s="27"/>
      <c r="S19" s="31"/>
      <c r="T19" s="2206" t="s">
        <v>2062</v>
      </c>
      <c r="U19" s="2131"/>
      <c r="V19" s="2131"/>
      <c r="W19" s="2132"/>
      <c r="X19" s="2221" t="s">
        <v>2063</v>
      </c>
      <c r="Y19" s="2222"/>
      <c r="Z19" s="2219">
        <v>61614</v>
      </c>
      <c r="AA19" s="222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30" t="s">
        <v>2073</v>
      </c>
      <c r="B21" s="2131"/>
      <c r="C21" s="2131"/>
      <c r="D21" s="2131"/>
      <c r="E21" s="2131"/>
      <c r="F21" s="2131"/>
      <c r="G21" s="2131"/>
      <c r="H21" s="2132"/>
      <c r="I21" s="2186" t="s">
        <v>678</v>
      </c>
      <c r="J21" s="2181"/>
      <c r="K21" s="2181"/>
      <c r="L21" s="2181"/>
      <c r="M21" s="2181"/>
      <c r="N21" s="2181"/>
      <c r="O21" s="2181"/>
      <c r="P21" s="2181"/>
      <c r="Q21" s="2181"/>
      <c r="R21" s="2181"/>
      <c r="S21" s="2187"/>
      <c r="T21" s="2230" t="s">
        <v>2064</v>
      </c>
      <c r="U21" s="2231"/>
      <c r="V21" s="2231"/>
      <c r="W21" s="2231"/>
      <c r="X21" s="2236" t="s">
        <v>2065</v>
      </c>
      <c r="Y21" s="2237"/>
      <c r="Z21" s="2237"/>
      <c r="AA21" s="2238"/>
    </row>
    <row r="22" spans="1:27" ht="13.5" customHeight="1" x14ac:dyDescent="0.2">
      <c r="A22" s="87" t="s">
        <v>531</v>
      </c>
      <c r="B22" s="59"/>
      <c r="C22" s="59"/>
      <c r="D22" s="59"/>
      <c r="E22" s="59"/>
      <c r="F22" s="59"/>
      <c r="G22" s="59"/>
      <c r="H22" s="60"/>
      <c r="I22" s="2188" t="s">
        <v>1429</v>
      </c>
      <c r="J22" s="2189"/>
      <c r="K22" s="2189"/>
      <c r="L22" s="2189"/>
      <c r="M22" s="2189"/>
      <c r="N22" s="2189"/>
      <c r="O22" s="2189"/>
      <c r="P22" s="2189"/>
      <c r="Q22" s="2189"/>
      <c r="R22" s="2189"/>
      <c r="S22" s="2190"/>
      <c r="T22" s="85" t="s">
        <v>1516</v>
      </c>
      <c r="U22" s="51"/>
      <c r="V22" s="72"/>
      <c r="W22" s="51"/>
      <c r="X22" s="160" t="s">
        <v>1318</v>
      </c>
      <c r="Z22" s="45"/>
      <c r="AA22" s="46"/>
    </row>
    <row r="23" spans="1:27" ht="13.5" customHeight="1" x14ac:dyDescent="0.2">
      <c r="A23" s="2183" t="s">
        <v>2074</v>
      </c>
      <c r="B23" s="2184"/>
      <c r="C23" s="2184"/>
      <c r="D23" s="2184"/>
      <c r="E23" s="2184"/>
      <c r="F23" s="2184"/>
      <c r="G23" s="2184"/>
      <c r="H23" s="2185"/>
      <c r="T23" s="2166" t="s">
        <v>2066</v>
      </c>
      <c r="U23" s="2229"/>
      <c r="V23" s="2229"/>
      <c r="W23" s="2229"/>
      <c r="X23" s="2233">
        <v>44501</v>
      </c>
      <c r="Y23" s="2234"/>
      <c r="Z23" s="2234"/>
      <c r="AA23" s="2235"/>
    </row>
    <row r="24" spans="1:27" ht="14.1" customHeight="1" x14ac:dyDescent="0.2">
      <c r="A24" s="88" t="s">
        <v>677</v>
      </c>
      <c r="B24" s="49"/>
      <c r="C24" s="49"/>
      <c r="D24" s="49"/>
      <c r="E24" s="49"/>
      <c r="F24" s="49"/>
      <c r="G24" s="49"/>
      <c r="H24" s="61"/>
      <c r="J24" s="2153">
        <f>IF(B5="x",IF(AUDITCHECK!D29="AFR form Incomplete.","",IF(AUDITCHECK!D29="Deficit reduction plan is required.","School District must complete a deficit reduction plan in the 2019-2020 Budget",)),"")</f>
        <v>0</v>
      </c>
      <c r="K24" s="2153"/>
      <c r="L24" s="2153"/>
      <c r="M24" s="2153"/>
      <c r="N24" s="2153"/>
      <c r="O24" s="2153"/>
      <c r="P24" s="2153"/>
      <c r="Q24" s="2153"/>
      <c r="R24" s="2153"/>
      <c r="S24" s="2154"/>
      <c r="T24" s="105" t="s">
        <v>531</v>
      </c>
      <c r="U24" s="106"/>
      <c r="V24" s="106"/>
      <c r="W24" s="106"/>
      <c r="X24" s="107"/>
      <c r="Y24" s="107"/>
      <c r="Z24" s="107"/>
      <c r="AA24" s="108"/>
    </row>
    <row r="25" spans="1:27" ht="14.1" customHeight="1" x14ac:dyDescent="0.2">
      <c r="A25" s="2130">
        <v>61764</v>
      </c>
      <c r="B25" s="2131"/>
      <c r="C25" s="2131"/>
      <c r="D25" s="2131"/>
      <c r="E25" s="2131"/>
      <c r="F25" s="2131"/>
      <c r="G25" s="2131"/>
      <c r="H25" s="2132"/>
      <c r="I25" s="113"/>
      <c r="J25" s="2155"/>
      <c r="K25" s="2155"/>
      <c r="L25" s="2155"/>
      <c r="M25" s="2155"/>
      <c r="N25" s="2155"/>
      <c r="O25" s="2155"/>
      <c r="P25" s="2155"/>
      <c r="Q25" s="2155"/>
      <c r="R25" s="2155"/>
      <c r="S25" s="2156"/>
      <c r="T25" s="2226" t="s">
        <v>2078</v>
      </c>
      <c r="U25" s="2227"/>
      <c r="V25" s="2227"/>
      <c r="W25" s="2227"/>
      <c r="X25" s="2227"/>
      <c r="Y25" s="2227"/>
      <c r="Z25" s="2227"/>
      <c r="AA25" s="222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41" t="s">
        <v>1511</v>
      </c>
      <c r="J27" s="2142"/>
      <c r="K27" s="2142"/>
      <c r="L27" s="2142"/>
      <c r="M27" s="2142"/>
      <c r="N27" s="2142"/>
      <c r="O27" s="2142"/>
      <c r="P27" s="2142"/>
      <c r="Q27" s="2142"/>
      <c r="R27" s="2142"/>
      <c r="S27" s="214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2075</v>
      </c>
      <c r="C30" s="124" t="s">
        <v>1164</v>
      </c>
      <c r="D30" s="28"/>
      <c r="E30" s="28"/>
      <c r="F30" s="140"/>
      <c r="G30" s="114"/>
      <c r="H30" s="114"/>
      <c r="I30" s="54"/>
      <c r="J30" s="148" t="s">
        <v>2075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52"/>
      <c r="Q35" s="2131"/>
      <c r="R35" s="213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66" t="s">
        <v>2076</v>
      </c>
      <c r="B38" s="2167"/>
      <c r="C38" s="2167"/>
      <c r="D38" s="2167"/>
      <c r="E38" s="2167"/>
      <c r="F38" s="2131"/>
      <c r="G38" s="2131"/>
      <c r="H38" s="2132"/>
      <c r="I38" s="2159"/>
      <c r="J38" s="2160"/>
      <c r="K38" s="2160"/>
      <c r="L38" s="2160"/>
      <c r="M38" s="2160"/>
      <c r="N38" s="2160"/>
      <c r="O38" s="2160"/>
      <c r="P38" s="2161"/>
      <c r="Q38" s="2161"/>
      <c r="R38" s="2161"/>
      <c r="S38" s="2162"/>
      <c r="T38" s="2216"/>
      <c r="U38" s="2160"/>
      <c r="V38" s="2160"/>
      <c r="W38" s="2160"/>
      <c r="X38" s="2161"/>
      <c r="Y38" s="2161"/>
      <c r="Z38" s="2161"/>
      <c r="AA38" s="2162"/>
    </row>
    <row r="39" spans="1:27" ht="12" customHeight="1" x14ac:dyDescent="0.2">
      <c r="A39" s="2136" t="s">
        <v>531</v>
      </c>
      <c r="B39" s="2137"/>
      <c r="C39" s="72"/>
      <c r="D39" s="69"/>
      <c r="E39" s="69"/>
      <c r="F39" s="79"/>
      <c r="G39" s="69"/>
      <c r="H39" s="56"/>
      <c r="I39" s="2136" t="s">
        <v>531</v>
      </c>
      <c r="J39" s="2137"/>
      <c r="K39" s="2137"/>
      <c r="L39" s="2137"/>
      <c r="M39" s="2137"/>
      <c r="N39" s="67"/>
      <c r="O39" s="72"/>
      <c r="P39" s="72"/>
      <c r="Q39" s="78"/>
      <c r="R39" s="72"/>
      <c r="S39" s="56"/>
      <c r="T39" s="72" t="s">
        <v>531</v>
      </c>
      <c r="U39" s="51"/>
      <c r="V39" s="72"/>
      <c r="W39" s="50"/>
      <c r="X39" s="78"/>
      <c r="Y39" s="45"/>
      <c r="Z39" s="45"/>
      <c r="AA39" s="46"/>
    </row>
    <row r="40" spans="1:27" ht="13.5" customHeight="1" x14ac:dyDescent="0.2">
      <c r="A40" s="2144" t="s">
        <v>2074</v>
      </c>
      <c r="B40" s="2145"/>
      <c r="C40" s="2146"/>
      <c r="D40" s="2146"/>
      <c r="E40" s="2146"/>
      <c r="F40" s="2147"/>
      <c r="G40" s="2147"/>
      <c r="H40" s="2148"/>
      <c r="I40" s="2169"/>
      <c r="J40" s="2170"/>
      <c r="K40" s="2170"/>
      <c r="L40" s="2170"/>
      <c r="M40" s="2170"/>
      <c r="N40" s="2170"/>
      <c r="O40" s="2170"/>
      <c r="P40" s="2170"/>
      <c r="Q40" s="2170"/>
      <c r="R40" s="2170"/>
      <c r="S40" s="2171"/>
      <c r="T40" s="2169"/>
      <c r="U40" s="2232"/>
      <c r="V40" s="2170"/>
      <c r="W40" s="2170"/>
      <c r="X40" s="2170"/>
      <c r="Y40" s="2170"/>
      <c r="Z40" s="2170"/>
      <c r="AA40" s="217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58">
        <v>8158421533</v>
      </c>
      <c r="B42" s="2150"/>
      <c r="C42" s="2151"/>
      <c r="D42" s="2149">
        <v>8158445773</v>
      </c>
      <c r="E42" s="2150"/>
      <c r="F42" s="2150"/>
      <c r="G42" s="2150"/>
      <c r="H42" s="2151"/>
      <c r="I42" s="2133"/>
      <c r="J42" s="2134"/>
      <c r="K42" s="2134"/>
      <c r="L42" s="2134"/>
      <c r="M42" s="2134"/>
      <c r="N42" s="2134"/>
      <c r="O42" s="2135"/>
      <c r="P42" s="2168"/>
      <c r="Q42" s="2134"/>
      <c r="R42" s="2134"/>
      <c r="S42" s="2135"/>
      <c r="T42" s="2133"/>
      <c r="U42" s="2134"/>
      <c r="V42" s="2134"/>
      <c r="W42" s="2135"/>
      <c r="X42" s="2168"/>
      <c r="Y42" s="2134"/>
      <c r="Z42" s="2134"/>
      <c r="AA42" s="213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63"/>
      <c r="B44" s="2164"/>
      <c r="C44" s="2164"/>
      <c r="D44" s="2164"/>
      <c r="E44" s="2164"/>
      <c r="F44" s="2164"/>
      <c r="G44" s="2164"/>
      <c r="H44" s="2165"/>
      <c r="I44" s="2138"/>
      <c r="J44" s="2139"/>
      <c r="K44" s="2139"/>
      <c r="L44" s="2139"/>
      <c r="M44" s="2139"/>
      <c r="N44" s="2139"/>
      <c r="O44" s="2139"/>
      <c r="P44" s="2139"/>
      <c r="Q44" s="2139"/>
      <c r="R44" s="2139"/>
      <c r="S44" s="2140"/>
      <c r="T44" s="2138"/>
      <c r="U44" s="2157"/>
      <c r="V44" s="2157"/>
      <c r="W44" s="2157"/>
      <c r="X44" s="2157"/>
      <c r="Y44" s="2157"/>
      <c r="Z44" s="2139"/>
      <c r="AA44" s="214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372" t="s">
        <v>1799</v>
      </c>
      <c r="B2" s="1525" t="s">
        <v>1948</v>
      </c>
      <c r="C2" s="711" t="s">
        <v>1949</v>
      </c>
      <c r="D2" s="711" t="s">
        <v>1950</v>
      </c>
      <c r="E2" s="711" t="s">
        <v>1951</v>
      </c>
      <c r="F2" s="711" t="s">
        <v>1952</v>
      </c>
    </row>
    <row r="3" spans="1:6" ht="12" customHeight="1" x14ac:dyDescent="0.2">
      <c r="A3" s="2373"/>
      <c r="B3" s="1522"/>
      <c r="C3" s="1523"/>
      <c r="D3" s="1524" t="s">
        <v>256</v>
      </c>
      <c r="E3" s="1523"/>
      <c r="F3" s="1524" t="s">
        <v>257</v>
      </c>
    </row>
    <row r="4" spans="1:6" ht="13.7" customHeight="1" x14ac:dyDescent="0.2">
      <c r="A4" s="712" t="s">
        <v>1155</v>
      </c>
      <c r="B4" s="1746">
        <f>'Revenues 9-14'!C5</f>
        <v>4979772</v>
      </c>
      <c r="C4" s="1521">
        <v>0</v>
      </c>
      <c r="D4" s="1749">
        <f>B4-C4</f>
        <v>4979772</v>
      </c>
      <c r="E4" s="1521">
        <v>5289633</v>
      </c>
      <c r="F4" s="1749">
        <f>E4-C4</f>
        <v>5289633</v>
      </c>
    </row>
    <row r="5" spans="1:6" ht="13.7" customHeight="1" x14ac:dyDescent="0.2">
      <c r="A5" s="712" t="s">
        <v>870</v>
      </c>
      <c r="B5" s="1747">
        <f>'Revenues 9-14'!D5</f>
        <v>542564</v>
      </c>
      <c r="C5" s="582">
        <v>0</v>
      </c>
      <c r="D5" s="1750">
        <f t="shared" ref="D5:D18" si="0">B5-C5</f>
        <v>542564</v>
      </c>
      <c r="E5" s="582">
        <v>549243</v>
      </c>
      <c r="F5" s="1750">
        <f>E5-C5</f>
        <v>549243</v>
      </c>
    </row>
    <row r="6" spans="1:6" ht="13.7" customHeight="1" x14ac:dyDescent="0.2">
      <c r="A6" s="712" t="s">
        <v>411</v>
      </c>
      <c r="B6" s="1747">
        <f>'Revenues 9-14'!E5</f>
        <v>273228</v>
      </c>
      <c r="C6" s="582">
        <v>0</v>
      </c>
      <c r="D6" s="1750">
        <f t="shared" si="0"/>
        <v>273228</v>
      </c>
      <c r="E6" s="582">
        <v>273685</v>
      </c>
      <c r="F6" s="1750">
        <f t="shared" ref="F6:F18" si="1">E6-C6</f>
        <v>273685</v>
      </c>
    </row>
    <row r="7" spans="1:6" ht="13.7" customHeight="1" x14ac:dyDescent="0.2">
      <c r="A7" s="712" t="s">
        <v>155</v>
      </c>
      <c r="B7" s="1747">
        <f>'Revenues 9-14'!F5</f>
        <v>290678</v>
      </c>
      <c r="C7" s="582">
        <v>0</v>
      </c>
      <c r="D7" s="1750">
        <f t="shared" si="0"/>
        <v>290678</v>
      </c>
      <c r="E7" s="582">
        <v>276606</v>
      </c>
      <c r="F7" s="1750">
        <f t="shared" si="1"/>
        <v>276606</v>
      </c>
    </row>
    <row r="8" spans="1:6" ht="13.7" customHeight="1" x14ac:dyDescent="0.2">
      <c r="A8" s="712" t="s">
        <v>1179</v>
      </c>
      <c r="B8" s="1747">
        <f>'Revenues 9-14'!G5</f>
        <v>125971</v>
      </c>
      <c r="C8" s="582">
        <v>0</v>
      </c>
      <c r="D8" s="1750">
        <f t="shared" si="0"/>
        <v>125971</v>
      </c>
      <c r="E8" s="582">
        <v>128428</v>
      </c>
      <c r="F8" s="1750">
        <f t="shared" si="1"/>
        <v>128428</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4852</v>
      </c>
      <c r="C10" s="582">
        <v>0</v>
      </c>
      <c r="D10" s="1750">
        <f t="shared" si="0"/>
        <v>4852</v>
      </c>
      <c r="E10" s="582">
        <v>4961</v>
      </c>
      <c r="F10" s="1750">
        <f t="shared" si="1"/>
        <v>4961</v>
      </c>
    </row>
    <row r="11" spans="1:6" x14ac:dyDescent="0.2">
      <c r="A11" s="712" t="s">
        <v>409</v>
      </c>
      <c r="B11" s="1747">
        <f>'Revenues 9-14'!J5</f>
        <v>25208</v>
      </c>
      <c r="C11" s="582">
        <v>0</v>
      </c>
      <c r="D11" s="1750">
        <f t="shared" si="0"/>
        <v>25208</v>
      </c>
      <c r="E11" s="582">
        <v>25704</v>
      </c>
      <c r="F11" s="1750">
        <f t="shared" si="1"/>
        <v>25704</v>
      </c>
    </row>
    <row r="12" spans="1:6" ht="13.7" customHeight="1" x14ac:dyDescent="0.2">
      <c r="A12" s="712" t="s">
        <v>157</v>
      </c>
      <c r="B12" s="1747">
        <f>'Revenues 9-14'!K5</f>
        <v>0</v>
      </c>
      <c r="C12" s="582">
        <v>0</v>
      </c>
      <c r="D12" s="1750">
        <f t="shared" si="0"/>
        <v>0</v>
      </c>
      <c r="E12" s="582">
        <v>0</v>
      </c>
      <c r="F12" s="1750">
        <f t="shared" si="1"/>
        <v>0</v>
      </c>
    </row>
    <row r="13" spans="1:6" ht="13.7" customHeight="1" x14ac:dyDescent="0.2">
      <c r="A13" s="712" t="s">
        <v>936</v>
      </c>
      <c r="B13" s="1747">
        <f>SUM('Revenues 9-14'!C6:D6)</f>
        <v>24238</v>
      </c>
      <c r="C13" s="582">
        <v>0</v>
      </c>
      <c r="D13" s="1750">
        <f t="shared" si="0"/>
        <v>24238</v>
      </c>
      <c r="E13" s="582">
        <v>24712</v>
      </c>
      <c r="F13" s="1750">
        <f t="shared" si="1"/>
        <v>24712</v>
      </c>
    </row>
    <row r="14" spans="1:6" ht="13.7" customHeight="1" x14ac:dyDescent="0.2">
      <c r="A14" s="712" t="s">
        <v>410</v>
      </c>
      <c r="B14" s="1747">
        <f>SUM('Revenues 9-14'!C7:D7,'Revenues 9-14'!F7:H7)</f>
        <v>33923</v>
      </c>
      <c r="C14" s="582">
        <v>0</v>
      </c>
      <c r="D14" s="1750">
        <f t="shared" si="0"/>
        <v>33923</v>
      </c>
      <c r="E14" s="582">
        <v>35589</v>
      </c>
      <c r="F14" s="1750">
        <f t="shared" si="1"/>
        <v>35589</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142431</v>
      </c>
      <c r="C16" s="582">
        <v>0</v>
      </c>
      <c r="D16" s="1750">
        <f t="shared" si="0"/>
        <v>142431</v>
      </c>
      <c r="E16" s="582">
        <v>145220</v>
      </c>
      <c r="F16" s="1750">
        <f t="shared" si="1"/>
        <v>145220</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6442865</v>
      </c>
      <c r="C19" s="1748">
        <f>SUM(C4:C18)</f>
        <v>0</v>
      </c>
      <c r="D19" s="1748">
        <f>SUM(D4:D18)</f>
        <v>6442865</v>
      </c>
      <c r="E19" s="1748">
        <f>SUM(E4:E18)</f>
        <v>6753781</v>
      </c>
      <c r="F19" s="1748">
        <f>SUM(F4:F18)</f>
        <v>6753781</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94" t="s">
        <v>629</v>
      </c>
      <c r="B1" s="2392"/>
      <c r="C1" s="718"/>
    </row>
    <row r="2" spans="1:7" ht="33.75" x14ac:dyDescent="0.2">
      <c r="A2" s="2399" t="s">
        <v>1799</v>
      </c>
      <c r="B2" s="2400"/>
      <c r="C2" s="1881" t="s">
        <v>1953</v>
      </c>
      <c r="D2" s="720" t="s">
        <v>1954</v>
      </c>
      <c r="E2" s="720" t="s">
        <v>1955</v>
      </c>
      <c r="F2" s="1881" t="s">
        <v>1956</v>
      </c>
    </row>
    <row r="3" spans="1:7" ht="15.75" customHeight="1" x14ac:dyDescent="0.2">
      <c r="A3" s="2401" t="s">
        <v>1114</v>
      </c>
      <c r="B3" s="2402"/>
      <c r="C3" s="2395"/>
      <c r="D3" s="2396"/>
      <c r="E3" s="2396"/>
      <c r="F3" s="2397"/>
    </row>
    <row r="4" spans="1:7" ht="12.75" customHeight="1" thickBot="1" x14ac:dyDescent="0.25">
      <c r="A4" s="2389" t="s">
        <v>630</v>
      </c>
      <c r="B4" s="2390"/>
      <c r="C4" s="578"/>
      <c r="D4" s="578"/>
      <c r="E4" s="578"/>
      <c r="F4" s="1752">
        <f>SUM(C4+D4)-E4</f>
        <v>0</v>
      </c>
    </row>
    <row r="5" spans="1:7" ht="15.75" customHeight="1" thickTop="1" x14ac:dyDescent="0.2">
      <c r="A5" s="2393" t="s">
        <v>1110</v>
      </c>
      <c r="B5" s="2388"/>
      <c r="C5" s="2382"/>
      <c r="D5" s="2383"/>
      <c r="E5" s="2383"/>
      <c r="F5" s="238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385" t="s">
        <v>631</v>
      </c>
      <c r="B15" s="2386"/>
      <c r="C15" s="1752">
        <f>SUM(C6:C14)</f>
        <v>0</v>
      </c>
      <c r="D15" s="1752">
        <f>SUM(D6:D14)</f>
        <v>0</v>
      </c>
      <c r="E15" s="1752">
        <f>SUM(E6:E14)</f>
        <v>0</v>
      </c>
      <c r="F15" s="1752">
        <f>SUM(F6:F14)</f>
        <v>0</v>
      </c>
      <c r="G15" s="549"/>
    </row>
    <row r="16" spans="1:7" s="202" customFormat="1" ht="15.75" customHeight="1" thickTop="1" x14ac:dyDescent="0.2">
      <c r="A16" s="2398" t="s">
        <v>1111</v>
      </c>
      <c r="B16" s="2388"/>
      <c r="C16" s="2382"/>
      <c r="D16" s="2383"/>
      <c r="E16" s="2383"/>
      <c r="F16" s="2384"/>
    </row>
    <row r="17" spans="1:11" ht="12.75" customHeight="1" thickBot="1" x14ac:dyDescent="0.25">
      <c r="A17" s="2380" t="s">
        <v>64</v>
      </c>
      <c r="B17" s="2381"/>
      <c r="C17" s="723"/>
      <c r="D17" s="582"/>
      <c r="E17" s="723"/>
      <c r="F17" s="1752">
        <f>SUM(C17+D17)-E17</f>
        <v>0</v>
      </c>
    </row>
    <row r="18" spans="1:11" ht="12.75" customHeight="1" thickTop="1" thickBot="1" x14ac:dyDescent="0.25">
      <c r="A18" s="2380" t="s">
        <v>6</v>
      </c>
      <c r="B18" s="2381"/>
      <c r="C18" s="723"/>
      <c r="D18" s="582"/>
      <c r="E18" s="723"/>
      <c r="F18" s="1752">
        <f>SUM(C18+D18)-E18</f>
        <v>0</v>
      </c>
    </row>
    <row r="19" spans="1:11" ht="12.75" customHeight="1" thickTop="1" thickBot="1" x14ac:dyDescent="0.25">
      <c r="A19" s="2380" t="s">
        <v>388</v>
      </c>
      <c r="B19" s="2381"/>
      <c r="C19" s="723"/>
      <c r="D19" s="582"/>
      <c r="E19" s="723"/>
      <c r="F19" s="1752">
        <f>SUM(C19+D19)-E19</f>
        <v>0</v>
      </c>
    </row>
    <row r="20" spans="1:11" ht="12.75" customHeight="1" thickTop="1" thickBot="1" x14ac:dyDescent="0.25">
      <c r="A20" s="2380" t="s">
        <v>448</v>
      </c>
      <c r="B20" s="2381"/>
      <c r="C20" s="723"/>
      <c r="D20" s="582"/>
      <c r="E20" s="723"/>
      <c r="F20" s="1752">
        <f>SUM(C20+D20)-E20</f>
        <v>0</v>
      </c>
    </row>
    <row r="21" spans="1:11" ht="14.25" thickTop="1" thickBot="1" x14ac:dyDescent="0.25">
      <c r="A21" s="2385" t="s">
        <v>632</v>
      </c>
      <c r="B21" s="2386"/>
      <c r="C21" s="1752">
        <f>SUM(C17:C20)</f>
        <v>0</v>
      </c>
      <c r="D21" s="1752">
        <f>SUM(D17:D20)</f>
        <v>0</v>
      </c>
      <c r="E21" s="1752">
        <f>SUM(E17:E20)</f>
        <v>0</v>
      </c>
      <c r="F21" s="1752">
        <f>SUM(F17:F20)</f>
        <v>0</v>
      </c>
      <c r="G21" s="549"/>
    </row>
    <row r="22" spans="1:11" ht="15.75" customHeight="1" thickTop="1" x14ac:dyDescent="0.2">
      <c r="A22" s="2387" t="s">
        <v>1112</v>
      </c>
      <c r="B22" s="2388"/>
      <c r="C22" s="2382"/>
      <c r="D22" s="2383"/>
      <c r="E22" s="2383"/>
      <c r="F22" s="2384"/>
    </row>
    <row r="23" spans="1:11" ht="13.5" thickBot="1" x14ac:dyDescent="0.25">
      <c r="A23" s="2389" t="s">
        <v>633</v>
      </c>
      <c r="B23" s="2390"/>
      <c r="C23" s="578"/>
      <c r="D23" s="578"/>
      <c r="E23" s="578"/>
      <c r="F23" s="1752">
        <f>SUM(C23+D23)-E23</f>
        <v>0</v>
      </c>
      <c r="G23" s="549"/>
    </row>
    <row r="24" spans="1:11" ht="15.75" customHeight="1" thickTop="1" x14ac:dyDescent="0.2">
      <c r="A24" s="2387" t="s">
        <v>1113</v>
      </c>
      <c r="B24" s="2388"/>
      <c r="C24" s="2382"/>
      <c r="D24" s="2383"/>
      <c r="E24" s="2383"/>
      <c r="F24" s="2384"/>
    </row>
    <row r="25" spans="1:11" ht="13.5" thickBot="1" x14ac:dyDescent="0.25">
      <c r="A25" s="2389" t="s">
        <v>634</v>
      </c>
      <c r="B25" s="2390"/>
      <c r="C25" s="578"/>
      <c r="D25" s="578"/>
      <c r="E25" s="578"/>
      <c r="F25" s="1752">
        <f>SUM(C25+D25)-E25</f>
        <v>0</v>
      </c>
      <c r="G25" s="549"/>
    </row>
    <row r="26" spans="1:11" ht="15.75" customHeight="1" thickTop="1" x14ac:dyDescent="0.2">
      <c r="A26" s="2393" t="s">
        <v>657</v>
      </c>
      <c r="B26" s="2388"/>
      <c r="C26" s="724"/>
      <c r="D26" s="724"/>
      <c r="E26" s="724"/>
      <c r="F26" s="725"/>
    </row>
    <row r="27" spans="1:11" ht="13.5" thickBot="1" x14ac:dyDescent="0.25">
      <c r="A27" s="2385" t="s">
        <v>1070</v>
      </c>
      <c r="B27" s="2386"/>
      <c r="C27" s="582"/>
      <c r="D27" s="582"/>
      <c r="E27" s="582"/>
      <c r="F27" s="1752">
        <f>SUM(C27+D27)-E27</f>
        <v>0</v>
      </c>
      <c r="G27" s="549"/>
    </row>
    <row r="28" spans="1:11" ht="7.5" customHeight="1" thickTop="1" x14ac:dyDescent="0.2">
      <c r="A28" s="590"/>
    </row>
    <row r="29" spans="1:11" ht="23.25" customHeight="1" x14ac:dyDescent="0.2">
      <c r="A29" s="2391" t="s">
        <v>582</v>
      </c>
      <c r="B29" s="2392"/>
      <c r="C29" s="726"/>
      <c r="D29" s="726"/>
      <c r="E29" s="726"/>
      <c r="F29" s="726"/>
      <c r="G29" s="726"/>
      <c r="H29" s="726"/>
      <c r="I29" s="726"/>
      <c r="J29" s="726"/>
    </row>
    <row r="30" spans="1:11" ht="33.75" x14ac:dyDescent="0.2">
      <c r="A30" s="1526" t="s">
        <v>1071</v>
      </c>
      <c r="B30" s="727" t="s">
        <v>1124</v>
      </c>
      <c r="C30" s="1882" t="s">
        <v>583</v>
      </c>
      <c r="D30" s="1882" t="s">
        <v>1673</v>
      </c>
      <c r="E30" s="1882" t="s">
        <v>1957</v>
      </c>
      <c r="F30" s="1882" t="s">
        <v>1958</v>
      </c>
      <c r="G30" s="1882" t="s">
        <v>1908</v>
      </c>
      <c r="H30" s="1882" t="s">
        <v>1959</v>
      </c>
      <c r="I30" s="1882" t="s">
        <v>1960</v>
      </c>
      <c r="J30" s="1883" t="s">
        <v>2</v>
      </c>
      <c r="K30" s="728"/>
    </row>
    <row r="31" spans="1:11" ht="12" customHeight="1" x14ac:dyDescent="0.2">
      <c r="A31" s="729" t="s">
        <v>2079</v>
      </c>
      <c r="B31" s="730">
        <v>42565</v>
      </c>
      <c r="C31" s="731">
        <v>1300000</v>
      </c>
      <c r="D31" s="732">
        <v>8</v>
      </c>
      <c r="E31" s="731">
        <v>795000</v>
      </c>
      <c r="F31" s="731"/>
      <c r="G31" s="731"/>
      <c r="H31" s="731">
        <v>260000</v>
      </c>
      <c r="I31" s="1753">
        <f>((E31+F31)-H31)+G31</f>
        <v>535000</v>
      </c>
      <c r="J31" s="731">
        <f>I31-8553</f>
        <v>526447</v>
      </c>
      <c r="K31" s="733"/>
    </row>
    <row r="32" spans="1:11" ht="12" customHeight="1" x14ac:dyDescent="0.2">
      <c r="A32" s="729" t="s">
        <v>2080</v>
      </c>
      <c r="B32" s="730">
        <v>42921</v>
      </c>
      <c r="C32" s="731">
        <v>1000000</v>
      </c>
      <c r="D32" s="732">
        <v>1</v>
      </c>
      <c r="E32" s="731">
        <v>1000000</v>
      </c>
      <c r="F32" s="731"/>
      <c r="G32" s="731"/>
      <c r="H32" s="731">
        <v>220000</v>
      </c>
      <c r="I32" s="1753">
        <f>((E32+F32)-H32)+G32</f>
        <v>780000</v>
      </c>
      <c r="J32" s="731">
        <f>I32-395</f>
        <v>779605</v>
      </c>
      <c r="K32" s="733"/>
    </row>
    <row r="33" spans="1:11" ht="12" customHeight="1" x14ac:dyDescent="0.2">
      <c r="A33" s="729" t="s">
        <v>2081</v>
      </c>
      <c r="B33" s="730">
        <v>43256</v>
      </c>
      <c r="C33" s="731">
        <v>50000</v>
      </c>
      <c r="D33" s="732">
        <v>7</v>
      </c>
      <c r="E33" s="731">
        <v>50000</v>
      </c>
      <c r="F33" s="731"/>
      <c r="G33" s="731"/>
      <c r="H33" s="731">
        <v>17016</v>
      </c>
      <c r="I33" s="1753">
        <f t="shared" ref="I33:I48" si="1">((E33+F33)-H33)+G33</f>
        <v>32984</v>
      </c>
      <c r="J33" s="731">
        <f>I33</f>
        <v>32984</v>
      </c>
      <c r="K33" s="733"/>
    </row>
    <row r="34" spans="1:11" ht="12" customHeight="1" x14ac:dyDescent="0.2">
      <c r="A34" s="729" t="s">
        <v>2203</v>
      </c>
      <c r="B34" s="730">
        <v>43615</v>
      </c>
      <c r="C34" s="731">
        <v>999000</v>
      </c>
      <c r="D34" s="732">
        <v>8</v>
      </c>
      <c r="E34" s="731"/>
      <c r="F34" s="731">
        <v>999000</v>
      </c>
      <c r="G34" s="731"/>
      <c r="H34" s="731"/>
      <c r="I34" s="1753">
        <f t="shared" si="1"/>
        <v>999000</v>
      </c>
      <c r="J34" s="731">
        <f>I34</f>
        <v>999000</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3349000</v>
      </c>
      <c r="D49" s="742"/>
      <c r="E49" s="1753">
        <f t="shared" ref="E49:J49" si="2">SUM(E31:E48)</f>
        <v>1845000</v>
      </c>
      <c r="F49" s="1753">
        <f t="shared" si="2"/>
        <v>999000</v>
      </c>
      <c r="G49" s="1753">
        <f t="shared" si="2"/>
        <v>0</v>
      </c>
      <c r="H49" s="1753">
        <f t="shared" si="2"/>
        <v>497016</v>
      </c>
      <c r="I49" s="1753">
        <f t="shared" si="2"/>
        <v>2346984</v>
      </c>
      <c r="J49" s="1753">
        <f t="shared" si="2"/>
        <v>2338036</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374" t="s">
        <v>584</v>
      </c>
      <c r="C52" s="2375"/>
      <c r="D52" s="2375"/>
      <c r="E52" s="746" t="s">
        <v>845</v>
      </c>
      <c r="F52" s="2376" t="s">
        <v>2082</v>
      </c>
      <c r="G52" s="2377"/>
      <c r="H52" s="733"/>
      <c r="I52" s="733"/>
      <c r="J52" s="743"/>
    </row>
    <row r="53" spans="1:11" ht="11.25" customHeight="1" x14ac:dyDescent="0.2">
      <c r="A53" s="747" t="s">
        <v>913</v>
      </c>
      <c r="B53" s="748" t="s">
        <v>951</v>
      </c>
      <c r="C53" s="743"/>
      <c r="D53" s="734"/>
      <c r="E53" s="746" t="s">
        <v>497</v>
      </c>
      <c r="F53" s="2378" t="s">
        <v>2083</v>
      </c>
      <c r="G53" s="2379"/>
      <c r="H53" s="733"/>
      <c r="I53" s="733"/>
      <c r="J53" s="743"/>
    </row>
    <row r="54" spans="1:11" ht="11.25" customHeight="1" x14ac:dyDescent="0.2">
      <c r="A54" s="749" t="s">
        <v>914</v>
      </c>
      <c r="B54" s="744" t="s">
        <v>952</v>
      </c>
      <c r="C54" s="743"/>
      <c r="D54" s="734"/>
      <c r="E54" s="746" t="s">
        <v>498</v>
      </c>
      <c r="F54" s="2378"/>
      <c r="G54" s="237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03" t="s">
        <v>856</v>
      </c>
      <c r="B1" s="2404"/>
      <c r="C1" s="2404"/>
      <c r="D1" s="2404"/>
      <c r="E1" s="2404"/>
      <c r="F1" s="2404"/>
      <c r="G1" s="2405"/>
      <c r="H1" s="1527"/>
      <c r="I1" s="757"/>
      <c r="J1" s="433"/>
    </row>
    <row r="2" spans="1:11" ht="26.25" x14ac:dyDescent="0.2">
      <c r="A2" s="2422" t="s">
        <v>1677</v>
      </c>
      <c r="B2" s="2423"/>
      <c r="C2" s="2423"/>
      <c r="D2" s="2423"/>
      <c r="E2" s="2424"/>
      <c r="F2" s="758" t="s">
        <v>904</v>
      </c>
      <c r="G2" s="759" t="s">
        <v>1674</v>
      </c>
      <c r="H2" s="759" t="s">
        <v>410</v>
      </c>
      <c r="I2" s="759" t="s">
        <v>1158</v>
      </c>
      <c r="J2" s="759" t="s">
        <v>1809</v>
      </c>
      <c r="K2" s="759" t="s">
        <v>138</v>
      </c>
    </row>
    <row r="3" spans="1:11" x14ac:dyDescent="0.2">
      <c r="A3" s="2425" t="s">
        <v>1961</v>
      </c>
      <c r="B3" s="2426"/>
      <c r="C3" s="2426"/>
      <c r="D3" s="2426"/>
      <c r="E3" s="2427"/>
      <c r="F3" s="760"/>
      <c r="G3" s="761"/>
      <c r="H3" s="761"/>
      <c r="I3" s="761"/>
      <c r="J3" s="762">
        <v>1146938</v>
      </c>
      <c r="K3" s="762"/>
    </row>
    <row r="4" spans="1:11" x14ac:dyDescent="0.2">
      <c r="A4" s="2428" t="s">
        <v>369</v>
      </c>
      <c r="B4" s="2429"/>
      <c r="C4" s="2429"/>
      <c r="D4" s="2429"/>
      <c r="E4" s="2375"/>
      <c r="F4" s="763"/>
      <c r="G4" s="764"/>
      <c r="H4" s="765"/>
      <c r="I4" s="764"/>
      <c r="J4" s="766"/>
      <c r="K4" s="766"/>
    </row>
    <row r="5" spans="1:11" x14ac:dyDescent="0.2">
      <c r="A5" s="2406" t="s">
        <v>1069</v>
      </c>
      <c r="B5" s="2407"/>
      <c r="C5" s="2407"/>
      <c r="D5" s="2407"/>
      <c r="E5" s="2408"/>
      <c r="F5" s="767" t="s">
        <v>848</v>
      </c>
      <c r="G5" s="768"/>
      <c r="H5" s="761">
        <v>33923</v>
      </c>
      <c r="I5" s="769"/>
      <c r="J5" s="770"/>
      <c r="K5" s="770"/>
    </row>
    <row r="6" spans="1:11" x14ac:dyDescent="0.2">
      <c r="A6" s="771" t="s">
        <v>720</v>
      </c>
      <c r="B6" s="772"/>
      <c r="C6" s="772"/>
      <c r="D6" s="772"/>
      <c r="E6" s="773"/>
      <c r="F6" s="774" t="s">
        <v>849</v>
      </c>
      <c r="G6" s="761"/>
      <c r="H6" s="761">
        <v>8</v>
      </c>
      <c r="I6" s="761"/>
      <c r="J6" s="762">
        <f>1700+415</f>
        <v>2115</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f>369439+277154</f>
        <v>646593</v>
      </c>
      <c r="K8" s="766"/>
    </row>
    <row r="9" spans="1:11" x14ac:dyDescent="0.2">
      <c r="A9" s="775" t="s">
        <v>138</v>
      </c>
      <c r="B9" s="776"/>
      <c r="C9" s="776"/>
      <c r="D9" s="776"/>
      <c r="E9" s="777"/>
      <c r="F9" s="774" t="s">
        <v>853</v>
      </c>
      <c r="G9" s="779"/>
      <c r="H9" s="768"/>
      <c r="I9" s="768"/>
      <c r="J9" s="778"/>
      <c r="K9" s="762"/>
    </row>
    <row r="10" spans="1:11" x14ac:dyDescent="0.2">
      <c r="A10" s="2406" t="s">
        <v>1810</v>
      </c>
      <c r="B10" s="2407"/>
      <c r="C10" s="2407"/>
      <c r="D10" s="2407"/>
      <c r="E10" s="2409"/>
      <c r="F10" s="780" t="s">
        <v>862</v>
      </c>
      <c r="G10" s="779"/>
      <c r="H10" s="781"/>
      <c r="I10" s="761"/>
      <c r="J10" s="762"/>
      <c r="K10" s="762"/>
    </row>
    <row r="11" spans="1:11" x14ac:dyDescent="0.2">
      <c r="A11" s="2406" t="s">
        <v>160</v>
      </c>
      <c r="B11" s="2407"/>
      <c r="C11" s="2407"/>
      <c r="D11" s="2407"/>
      <c r="E11" s="2408"/>
      <c r="F11" s="767" t="s">
        <v>852</v>
      </c>
      <c r="G11" s="768"/>
      <c r="H11" s="761"/>
      <c r="I11" s="761"/>
      <c r="J11" s="762">
        <v>1020607</v>
      </c>
      <c r="K11" s="770"/>
    </row>
    <row r="12" spans="1:11" ht="13.5" thickBot="1" x14ac:dyDescent="0.25">
      <c r="A12" s="2433" t="s">
        <v>905</v>
      </c>
      <c r="B12" s="2434"/>
      <c r="C12" s="2434"/>
      <c r="D12" s="2434"/>
      <c r="E12" s="2435"/>
      <c r="F12" s="1754"/>
      <c r="G12" s="1755">
        <f>SUM(G5:G11)</f>
        <v>0</v>
      </c>
      <c r="H12" s="1755">
        <f>SUM(H5:H11)</f>
        <v>33931</v>
      </c>
      <c r="I12" s="1755">
        <f>SUM(I5:I11)</f>
        <v>0</v>
      </c>
      <c r="J12" s="1755">
        <f>SUM(J5:J11)</f>
        <v>1669315</v>
      </c>
      <c r="K12" s="1755">
        <f>SUM(K5:K11)</f>
        <v>0</v>
      </c>
    </row>
    <row r="13" spans="1:11" ht="13.5" thickTop="1" x14ac:dyDescent="0.2">
      <c r="A13" s="2430" t="s">
        <v>370</v>
      </c>
      <c r="B13" s="2431"/>
      <c r="C13" s="2431"/>
      <c r="D13" s="2431"/>
      <c r="E13" s="2432"/>
      <c r="F13" s="782"/>
      <c r="G13" s="783"/>
      <c r="H13" s="784"/>
      <c r="I13" s="785"/>
      <c r="J13" s="785"/>
      <c r="K13" s="785"/>
    </row>
    <row r="14" spans="1:11" x14ac:dyDescent="0.2">
      <c r="A14" s="2413" t="s">
        <v>456</v>
      </c>
      <c r="B14" s="2413"/>
      <c r="C14" s="2413"/>
      <c r="D14" s="2413"/>
      <c r="E14" s="2414"/>
      <c r="F14" s="786" t="s">
        <v>854</v>
      </c>
      <c r="G14" s="779"/>
      <c r="H14" s="761">
        <v>33931</v>
      </c>
      <c r="I14" s="768"/>
      <c r="J14" s="770"/>
      <c r="K14" s="762"/>
    </row>
    <row r="15" spans="1:11" x14ac:dyDescent="0.2">
      <c r="A15" s="2407" t="s">
        <v>4</v>
      </c>
      <c r="B15" s="2407"/>
      <c r="C15" s="2407"/>
      <c r="D15" s="2407"/>
      <c r="E15" s="2408"/>
      <c r="F15" s="786" t="s">
        <v>855</v>
      </c>
      <c r="G15" s="768"/>
      <c r="H15" s="761"/>
      <c r="I15" s="761"/>
      <c r="J15" s="762">
        <v>1407974</v>
      </c>
      <c r="K15" s="762"/>
    </row>
    <row r="16" spans="1:11" x14ac:dyDescent="0.2">
      <c r="A16" s="2407" t="s">
        <v>298</v>
      </c>
      <c r="B16" s="2407"/>
      <c r="C16" s="2407"/>
      <c r="D16" s="2407"/>
      <c r="E16" s="2408"/>
      <c r="F16" s="786" t="s">
        <v>923</v>
      </c>
      <c r="G16" s="769"/>
      <c r="H16" s="764"/>
      <c r="I16" s="764"/>
      <c r="J16" s="766"/>
      <c r="K16" s="766"/>
    </row>
    <row r="17" spans="1:11" x14ac:dyDescent="0.2">
      <c r="A17" s="2438" t="s">
        <v>935</v>
      </c>
      <c r="B17" s="2438"/>
      <c r="C17" s="2438"/>
      <c r="D17" s="2438"/>
      <c r="E17" s="2439"/>
      <c r="F17" s="787"/>
      <c r="G17" s="788"/>
      <c r="H17" s="789"/>
      <c r="I17" s="789"/>
      <c r="J17" s="790"/>
      <c r="K17" s="791"/>
    </row>
    <row r="18" spans="1:11" x14ac:dyDescent="0.2">
      <c r="A18" s="2417" t="s">
        <v>368</v>
      </c>
      <c r="B18" s="2418"/>
      <c r="C18" s="2418"/>
      <c r="D18" s="2418"/>
      <c r="E18" s="2419"/>
      <c r="F18" s="786" t="s">
        <v>932</v>
      </c>
      <c r="G18" s="779"/>
      <c r="H18" s="779"/>
      <c r="I18" s="779"/>
      <c r="J18" s="762">
        <v>16138</v>
      </c>
      <c r="K18" s="792"/>
    </row>
    <row r="19" spans="1:11" ht="21.75" customHeight="1" x14ac:dyDescent="0.2">
      <c r="A19" s="2415" t="s">
        <v>1806</v>
      </c>
      <c r="B19" s="2415"/>
      <c r="C19" s="2415"/>
      <c r="D19" s="2415"/>
      <c r="E19" s="2416"/>
      <c r="F19" s="786" t="s">
        <v>933</v>
      </c>
      <c r="G19" s="779"/>
      <c r="H19" s="779"/>
      <c r="I19" s="779"/>
      <c r="J19" s="762">
        <v>260000</v>
      </c>
      <c r="K19" s="792"/>
    </row>
    <row r="20" spans="1:11" x14ac:dyDescent="0.2">
      <c r="A20" s="2417" t="s">
        <v>1811</v>
      </c>
      <c r="B20" s="2418"/>
      <c r="C20" s="2418"/>
      <c r="D20" s="2418"/>
      <c r="E20" s="2419"/>
      <c r="F20" s="786" t="s">
        <v>934</v>
      </c>
      <c r="G20" s="779"/>
      <c r="H20" s="779"/>
      <c r="I20" s="779"/>
      <c r="J20" s="762">
        <v>350</v>
      </c>
      <c r="K20" s="792"/>
    </row>
    <row r="21" spans="1:11" ht="13.5" thickBot="1" x14ac:dyDescent="0.25">
      <c r="A21" s="2436" t="s">
        <v>638</v>
      </c>
      <c r="B21" s="2436"/>
      <c r="C21" s="2436"/>
      <c r="D21" s="2436"/>
      <c r="E21" s="2436"/>
      <c r="F21" s="1756"/>
      <c r="G21" s="789"/>
      <c r="H21" s="793"/>
      <c r="I21" s="793"/>
      <c r="J21" s="1757">
        <f>SUM(J18:J20)</f>
        <v>276488</v>
      </c>
      <c r="K21" s="790"/>
    </row>
    <row r="22" spans="1:11" ht="13.5" thickTop="1" x14ac:dyDescent="0.2">
      <c r="A22" s="2407" t="s">
        <v>1812</v>
      </c>
      <c r="B22" s="2407"/>
      <c r="C22" s="2407"/>
      <c r="D22" s="2407"/>
      <c r="E22" s="2408"/>
      <c r="F22" s="786" t="s">
        <v>862</v>
      </c>
      <c r="G22" s="779"/>
      <c r="H22" s="761"/>
      <c r="I22" s="761"/>
      <c r="J22" s="794"/>
      <c r="K22" s="762"/>
    </row>
    <row r="23" spans="1:11" ht="13.5" thickBot="1" x14ac:dyDescent="0.25">
      <c r="A23" s="2437" t="s">
        <v>906</v>
      </c>
      <c r="B23" s="2436"/>
      <c r="C23" s="2436"/>
      <c r="D23" s="2436"/>
      <c r="E23" s="2436"/>
      <c r="F23" s="1758"/>
      <c r="G23" s="1755">
        <f>SUM(G14:G16,G21,G22)</f>
        <v>0</v>
      </c>
      <c r="H23" s="1755">
        <f>SUM(H14:H16,H21,H22)</f>
        <v>33931</v>
      </c>
      <c r="I23" s="1755">
        <f>SUM(I14:I16,I21,I22)</f>
        <v>0</v>
      </c>
      <c r="J23" s="1755">
        <f>SUM(J14:J16,J21,J22)</f>
        <v>1684462</v>
      </c>
      <c r="K23" s="1755">
        <f>SUM(K14:K16,K21,K22)</f>
        <v>0</v>
      </c>
    </row>
    <row r="24" spans="1:11" ht="14.25" thickTop="1" thickBot="1" x14ac:dyDescent="0.25">
      <c r="A24" s="2437" t="s">
        <v>1962</v>
      </c>
      <c r="B24" s="2436"/>
      <c r="C24" s="2436"/>
      <c r="D24" s="2436"/>
      <c r="E24" s="2436"/>
      <c r="F24" s="1759"/>
      <c r="G24" s="1760">
        <f>SUM(G3,G12)-G23</f>
        <v>0</v>
      </c>
      <c r="H24" s="1760">
        <f>SUM(H3,H12)-H23</f>
        <v>0</v>
      </c>
      <c r="I24" s="1760">
        <f>SUM(I3,I12)-I23</f>
        <v>0</v>
      </c>
      <c r="J24" s="1760">
        <f>SUM(J3,J12)-J23</f>
        <v>1131791</v>
      </c>
      <c r="K24" s="1760">
        <f>SUM(K3,K12)-K23</f>
        <v>0</v>
      </c>
    </row>
    <row r="25" spans="1:11" ht="13.5" thickTop="1" x14ac:dyDescent="0.2">
      <c r="A25" s="795" t="s">
        <v>420</v>
      </c>
      <c r="B25" s="796"/>
      <c r="C25" s="796"/>
      <c r="D25" s="796"/>
      <c r="E25" s="797"/>
      <c r="F25" s="798">
        <v>714</v>
      </c>
      <c r="G25" s="799"/>
      <c r="H25" s="799"/>
      <c r="I25" s="799"/>
      <c r="J25" s="794">
        <v>1131791</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1907</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410"/>
      <c r="I31" s="2411"/>
      <c r="J31" s="2411"/>
      <c r="K31" s="2411"/>
    </row>
    <row r="32" spans="1:11" x14ac:dyDescent="0.2">
      <c r="A32" s="806"/>
      <c r="B32" s="237"/>
      <c r="C32" s="237"/>
      <c r="D32" s="237"/>
      <c r="E32" s="802"/>
      <c r="F32" s="808" t="s">
        <v>540</v>
      </c>
      <c r="G32" s="761"/>
      <c r="H32" s="2412"/>
      <c r="I32" s="2411"/>
      <c r="J32" s="2411"/>
      <c r="K32" s="2411"/>
    </row>
    <row r="33" spans="1:11" ht="1.5" customHeight="1" x14ac:dyDescent="0.2">
      <c r="A33" s="809" t="s">
        <v>1169</v>
      </c>
      <c r="B33" s="364"/>
      <c r="C33" s="364"/>
      <c r="D33" s="364"/>
      <c r="E33" s="364"/>
      <c r="F33" s="364"/>
      <c r="G33" s="810"/>
      <c r="H33" s="2412"/>
      <c r="I33" s="2411"/>
      <c r="J33" s="2411"/>
      <c r="K33" s="2411"/>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407" t="s">
        <v>541</v>
      </c>
      <c r="B41" s="2420"/>
      <c r="C41" s="2420"/>
      <c r="D41" s="2420"/>
      <c r="E41" s="2420"/>
      <c r="F41" s="242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42" t="s">
        <v>1906</v>
      </c>
      <c r="B1" s="2443"/>
      <c r="C1" s="2444"/>
      <c r="D1" s="823"/>
      <c r="E1" s="824"/>
      <c r="F1" s="824"/>
      <c r="G1" s="825"/>
      <c r="H1" s="826"/>
      <c r="I1" s="827"/>
      <c r="J1" s="2440"/>
      <c r="K1" s="2441"/>
      <c r="L1" s="2441"/>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425059</v>
      </c>
      <c r="D5" s="838"/>
      <c r="E5" s="838"/>
      <c r="F5" s="1757">
        <f>(C5+D5)-E5</f>
        <v>425059</v>
      </c>
      <c r="G5" s="834"/>
      <c r="H5" s="839"/>
      <c r="I5" s="839"/>
      <c r="J5" s="839"/>
      <c r="K5" s="790"/>
      <c r="L5" s="1766">
        <f>F5-K5</f>
        <v>425059</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7852514</v>
      </c>
      <c r="D8" s="841">
        <v>499884</v>
      </c>
      <c r="E8" s="841"/>
      <c r="F8" s="1757">
        <f>(C8+D8)-E8</f>
        <v>8352398</v>
      </c>
      <c r="G8" s="840">
        <v>50</v>
      </c>
      <c r="H8" s="762">
        <v>4659590</v>
      </c>
      <c r="I8" s="762">
        <v>167047</v>
      </c>
      <c r="J8" s="762"/>
      <c r="K8" s="1766">
        <f>(H8+I8)-J8</f>
        <v>4826637</v>
      </c>
      <c r="L8" s="1766">
        <f>F8-K8</f>
        <v>3525761</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426223</v>
      </c>
      <c r="D10" s="843"/>
      <c r="E10" s="843"/>
      <c r="F10" s="1761">
        <f>(C10+D10)-E10</f>
        <v>426223</v>
      </c>
      <c r="G10" s="840">
        <v>20</v>
      </c>
      <c r="H10" s="844">
        <v>230940</v>
      </c>
      <c r="I10" s="844">
        <v>11771</v>
      </c>
      <c r="J10" s="844"/>
      <c r="K10" s="1766">
        <f>(H10+I10)-J10</f>
        <v>242711</v>
      </c>
      <c r="L10" s="1766">
        <f>F10-K10</f>
        <v>183512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1247143</v>
      </c>
      <c r="D12" s="841">
        <v>74948</v>
      </c>
      <c r="E12" s="841">
        <v>89931</v>
      </c>
      <c r="F12" s="1757">
        <f>(C12+D12)-E12</f>
        <v>1232160</v>
      </c>
      <c r="G12" s="840">
        <v>10</v>
      </c>
      <c r="H12" s="762">
        <v>541914</v>
      </c>
      <c r="I12" s="762">
        <v>123217</v>
      </c>
      <c r="J12" s="762">
        <v>89931</v>
      </c>
      <c r="K12" s="1766">
        <f>(H12+I12)-J12</f>
        <v>575200</v>
      </c>
      <c r="L12" s="1766">
        <f>F12-K12</f>
        <v>656960</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v>14080</v>
      </c>
      <c r="E14" s="762"/>
      <c r="F14" s="1757">
        <f>(C14+D14)-E14</f>
        <v>14080</v>
      </c>
      <c r="G14" s="840">
        <v>3</v>
      </c>
      <c r="H14" s="762">
        <v>0</v>
      </c>
      <c r="I14" s="762">
        <v>4693</v>
      </c>
      <c r="J14" s="762"/>
      <c r="K14" s="1766">
        <f>(H14+I14)-J14</f>
        <v>4693</v>
      </c>
      <c r="L14" s="1766">
        <f>F14-K14</f>
        <v>9387</v>
      </c>
    </row>
    <row r="15" spans="1:14" ht="15" customHeight="1" thickTop="1" thickBot="1" x14ac:dyDescent="0.25">
      <c r="A15" s="1628" t="s">
        <v>528</v>
      </c>
      <c r="B15" s="1627">
        <v>260</v>
      </c>
      <c r="C15" s="841">
        <v>0</v>
      </c>
      <c r="D15" s="841">
        <v>536997</v>
      </c>
      <c r="E15" s="841"/>
      <c r="F15" s="1757">
        <f>(C15+D15)-E15</f>
        <v>536997</v>
      </c>
      <c r="G15" s="846" t="s">
        <v>862</v>
      </c>
      <c r="H15" s="778"/>
      <c r="I15" s="778"/>
      <c r="J15" s="778"/>
      <c r="K15" s="778"/>
      <c r="L15" s="1766">
        <f>F15-K15</f>
        <v>536997</v>
      </c>
    </row>
    <row r="16" spans="1:14" ht="15" customHeight="1" thickTop="1" thickBot="1" x14ac:dyDescent="0.25">
      <c r="A16" s="1762" t="s">
        <v>643</v>
      </c>
      <c r="B16" s="1763">
        <v>200</v>
      </c>
      <c r="C16" s="1757">
        <f>SUM(C3,C5:C6,C8:C10,C12:C15)</f>
        <v>9950939</v>
      </c>
      <c r="D16" s="1757">
        <f>SUM(D3,D5:D6,D8:D10,D12:D15)</f>
        <v>1125909</v>
      </c>
      <c r="E16" s="1757">
        <f>SUM(E3,E5:E6,E8:E10,E12:E15)</f>
        <v>89931</v>
      </c>
      <c r="F16" s="1757">
        <f>SUM(F3,F5:F6,F8:F10,F12:F15)</f>
        <v>10986917</v>
      </c>
      <c r="G16" s="840"/>
      <c r="H16" s="1757">
        <f>SUM(H3,H6,H8:H10,H12:H14,)</f>
        <v>5432444</v>
      </c>
      <c r="I16" s="1757">
        <f>SUM(I3,I6,I8:I10,I12:I14,)</f>
        <v>306728</v>
      </c>
      <c r="J16" s="1757">
        <f>SUM(J3,J6,J8:J10,J12:J14,)</f>
        <v>89931</v>
      </c>
      <c r="K16" s="1757">
        <f>(H16+I16)-J16</f>
        <v>5649241</v>
      </c>
      <c r="L16" s="1757">
        <f>F16-K16</f>
        <v>5337676</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306728</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8" sqref="B8"/>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48" t="s">
        <v>1972</v>
      </c>
      <c r="B1" s="2449"/>
      <c r="C1" s="2449"/>
      <c r="D1" s="2449"/>
      <c r="E1" s="2449"/>
      <c r="F1" s="2450"/>
      <c r="G1" s="852"/>
    </row>
    <row r="2" spans="1:7" ht="15" customHeight="1" thickBot="1" x14ac:dyDescent="0.25">
      <c r="A2" s="2451" t="s">
        <v>477</v>
      </c>
      <c r="B2" s="2452"/>
      <c r="C2" s="2452"/>
      <c r="D2" s="2452"/>
      <c r="E2" s="2452"/>
      <c r="F2" s="2453"/>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54"/>
      <c r="B5" s="2455"/>
      <c r="C5" s="2455"/>
      <c r="D5" s="2455"/>
      <c r="E5" s="2455"/>
      <c r="F5" s="2455"/>
    </row>
    <row r="6" spans="1:7" ht="13.5" customHeight="1" thickBot="1" x14ac:dyDescent="0.25">
      <c r="A6" s="2445" t="s">
        <v>1104</v>
      </c>
      <c r="B6" s="2446"/>
      <c r="C6" s="2446"/>
      <c r="D6" s="2446"/>
      <c r="E6" s="2446"/>
      <c r="F6" s="2447"/>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12202731</v>
      </c>
      <c r="G8" s="862"/>
    </row>
    <row r="9" spans="1:7" x14ac:dyDescent="0.2">
      <c r="A9" s="866" t="s">
        <v>460</v>
      </c>
      <c r="B9" s="867" t="s">
        <v>1874</v>
      </c>
      <c r="C9" s="868"/>
      <c r="D9" s="866" t="s">
        <v>501</v>
      </c>
      <c r="E9" s="865"/>
      <c r="F9" s="1906">
        <f>'Expenditures 15-22'!K151</f>
        <v>614976</v>
      </c>
      <c r="G9" s="869"/>
    </row>
    <row r="10" spans="1:7" x14ac:dyDescent="0.2">
      <c r="A10" s="866" t="s">
        <v>499</v>
      </c>
      <c r="B10" s="867" t="s">
        <v>1875</v>
      </c>
      <c r="C10" s="868"/>
      <c r="D10" s="866" t="s">
        <v>501</v>
      </c>
      <c r="E10" s="865"/>
      <c r="F10" s="1906">
        <f>'Expenditures 15-22'!K174</f>
        <v>570530</v>
      </c>
      <c r="G10" s="869"/>
    </row>
    <row r="11" spans="1:7" x14ac:dyDescent="0.2">
      <c r="A11" s="866" t="s">
        <v>461</v>
      </c>
      <c r="B11" s="867" t="s">
        <v>1876</v>
      </c>
      <c r="C11" s="868"/>
      <c r="D11" s="866" t="s">
        <v>501</v>
      </c>
      <c r="E11" s="865"/>
      <c r="F11" s="1906">
        <f>'Expenditures 15-22'!K210</f>
        <v>1080987</v>
      </c>
      <c r="G11" s="869"/>
    </row>
    <row r="12" spans="1:7" x14ac:dyDescent="0.2">
      <c r="A12" s="866" t="s">
        <v>462</v>
      </c>
      <c r="B12" s="867" t="s">
        <v>1877</v>
      </c>
      <c r="C12" s="868"/>
      <c r="D12" s="866" t="s">
        <v>501</v>
      </c>
      <c r="E12" s="865"/>
      <c r="F12" s="1906">
        <f>'Expenditures 15-22'!K295</f>
        <v>396792</v>
      </c>
      <c r="G12" s="869"/>
    </row>
    <row r="13" spans="1:7" x14ac:dyDescent="0.2">
      <c r="A13" s="866" t="s">
        <v>106</v>
      </c>
      <c r="B13" s="867" t="s">
        <v>1878</v>
      </c>
      <c r="C13" s="868"/>
      <c r="D13" s="866" t="s">
        <v>501</v>
      </c>
      <c r="E13" s="865"/>
      <c r="F13" s="1906">
        <f>'Expenditures 15-22'!K342</f>
        <v>26734</v>
      </c>
      <c r="G13" s="870"/>
    </row>
    <row r="14" spans="1:7" ht="12" customHeight="1" thickBot="1" x14ac:dyDescent="0.25">
      <c r="A14" s="1767"/>
      <c r="B14" s="1768"/>
      <c r="C14" s="1769"/>
      <c r="D14" s="1770" t="s">
        <v>501</v>
      </c>
      <c r="E14" s="1771" t="s">
        <v>958</v>
      </c>
      <c r="F14" s="1772">
        <f>SUM(F8:F13)</f>
        <v>14892750</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429297</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11">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1999</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263524</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420360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38247</v>
      </c>
      <c r="G52" s="862"/>
    </row>
    <row r="53" spans="1:7" x14ac:dyDescent="0.2">
      <c r="A53" s="866" t="s">
        <v>459</v>
      </c>
      <c r="B53" s="866" t="s">
        <v>1475</v>
      </c>
      <c r="C53" s="886">
        <f>'Expenditures 15-22'!B102</f>
        <v>4000</v>
      </c>
      <c r="D53" s="885" t="str">
        <f>'Expenditures 15-22'!A102</f>
        <v>Total Payments to Other Govt Units</v>
      </c>
      <c r="E53" s="865"/>
      <c r="F53" s="1910">
        <f>'Expenditures 15-22'!K102</f>
        <v>61546</v>
      </c>
      <c r="G53" s="862"/>
    </row>
    <row r="54" spans="1:7" x14ac:dyDescent="0.2">
      <c r="A54" s="866" t="s">
        <v>459</v>
      </c>
      <c r="B54" s="866" t="s">
        <v>1476</v>
      </c>
      <c r="C54" s="886" t="s">
        <v>982</v>
      </c>
      <c r="D54" s="882" t="s">
        <v>1095</v>
      </c>
      <c r="E54" s="865"/>
      <c r="F54" s="1910">
        <f>'Expenditures 15-22'!G114</f>
        <v>74948</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10">
        <f>'Expenditures 15-22'!K139</f>
        <v>0</v>
      </c>
      <c r="G57" s="862"/>
    </row>
    <row r="58" spans="1:7" x14ac:dyDescent="0.2">
      <c r="A58" s="866" t="s">
        <v>460</v>
      </c>
      <c r="B58" s="866" t="s">
        <v>1880</v>
      </c>
      <c r="C58" s="883" t="s">
        <v>982</v>
      </c>
      <c r="D58" s="882" t="s">
        <v>1095</v>
      </c>
      <c r="E58" s="865"/>
      <c r="F58" s="1912">
        <f>'Expenditures 15-22'!G151</f>
        <v>0</v>
      </c>
      <c r="G58" s="862"/>
    </row>
    <row r="59" spans="1:7" x14ac:dyDescent="0.2">
      <c r="A59" s="890" t="s">
        <v>460</v>
      </c>
      <c r="B59" s="853" t="s">
        <v>1881</v>
      </c>
      <c r="C59" s="891" t="s">
        <v>982</v>
      </c>
      <c r="D59" s="853" t="s">
        <v>291</v>
      </c>
      <c r="F59" s="1913">
        <f>'Expenditures 15-22'!I151</f>
        <v>0</v>
      </c>
      <c r="G59" s="862"/>
    </row>
    <row r="60" spans="1:7" x14ac:dyDescent="0.2">
      <c r="A60" s="890" t="s">
        <v>499</v>
      </c>
      <c r="B60" s="853" t="s">
        <v>1882</v>
      </c>
      <c r="C60" s="891">
        <v>4000</v>
      </c>
      <c r="D60" s="853" t="s">
        <v>312</v>
      </c>
      <c r="F60" s="1911">
        <f>'Expenditures 15-22'!K160</f>
        <v>0</v>
      </c>
      <c r="G60" s="862"/>
    </row>
    <row r="61" spans="1:7" x14ac:dyDescent="0.2">
      <c r="A61" s="892" t="s">
        <v>499</v>
      </c>
      <c r="B61" s="892" t="s">
        <v>1883</v>
      </c>
      <c r="C61" s="893" t="str">
        <f>'Expenditures 15-22'!B170</f>
        <v>5300</v>
      </c>
      <c r="D61" s="894" t="s">
        <v>311</v>
      </c>
      <c r="E61" s="876"/>
      <c r="F61" s="1910">
        <f>'Expenditures 15-22'!K170</f>
        <v>497016</v>
      </c>
      <c r="G61" s="862"/>
    </row>
    <row r="62" spans="1:7" x14ac:dyDescent="0.2">
      <c r="A62" s="866" t="s">
        <v>461</v>
      </c>
      <c r="B62" s="866" t="s">
        <v>1884</v>
      </c>
      <c r="C62" s="883">
        <f>'Expenditures 15-22'!B185</f>
        <v>3000</v>
      </c>
      <c r="D62" s="873" t="s">
        <v>449</v>
      </c>
      <c r="E62" s="865"/>
      <c r="F62" s="1910">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1886</v>
      </c>
      <c r="C64" s="893" t="str">
        <f>'Expenditures 15-22'!B206</f>
        <v>5300</v>
      </c>
      <c r="D64" s="889" t="s">
        <v>311</v>
      </c>
      <c r="E64" s="865"/>
      <c r="F64" s="1910">
        <f>'Expenditures 15-22'!K206</f>
        <v>0</v>
      </c>
      <c r="G64" s="862"/>
    </row>
    <row r="65" spans="1:8" x14ac:dyDescent="0.2">
      <c r="A65" s="866" t="s">
        <v>461</v>
      </c>
      <c r="B65" s="866" t="s">
        <v>1887</v>
      </c>
      <c r="C65" s="883" t="s">
        <v>982</v>
      </c>
      <c r="D65" s="882" t="s">
        <v>1095</v>
      </c>
      <c r="E65" s="865"/>
      <c r="F65" s="1910">
        <f>'Expenditures 15-22'!G210</f>
        <v>14080</v>
      </c>
      <c r="G65" s="862"/>
    </row>
    <row r="66" spans="1:8" x14ac:dyDescent="0.2">
      <c r="A66" s="866" t="s">
        <v>461</v>
      </c>
      <c r="B66" s="866" t="s">
        <v>1888</v>
      </c>
      <c r="C66" s="883" t="s">
        <v>982</v>
      </c>
      <c r="D66" s="882" t="s">
        <v>291</v>
      </c>
      <c r="E66" s="865"/>
      <c r="F66" s="1910">
        <f>'Expenditures 15-22'!I210</f>
        <v>0</v>
      </c>
      <c r="G66" s="862"/>
    </row>
    <row r="67" spans="1:8" x14ac:dyDescent="0.2">
      <c r="A67" s="866" t="s">
        <v>462</v>
      </c>
      <c r="B67" s="866" t="s">
        <v>1889</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1891</v>
      </c>
      <c r="C70" s="883">
        <f>'Expenditures 15-22'!B221</f>
        <v>1300</v>
      </c>
      <c r="D70" s="884" t="str">
        <f>'Expenditures 15-22'!A221</f>
        <v>Adult/Continuing Education Programs</v>
      </c>
      <c r="E70" s="865"/>
      <c r="F70" s="1910">
        <f>'Expenditures 15-22'!K221</f>
        <v>0</v>
      </c>
      <c r="G70" s="862"/>
    </row>
    <row r="71" spans="1:8" x14ac:dyDescent="0.2">
      <c r="A71" s="866" t="s">
        <v>462</v>
      </c>
      <c r="B71" s="866" t="s">
        <v>1892</v>
      </c>
      <c r="C71" s="883">
        <f>'Expenditures 15-22'!B224</f>
        <v>1600</v>
      </c>
      <c r="D71" s="884" t="str">
        <f>'Expenditures 15-22'!A224</f>
        <v>Summer School Programs</v>
      </c>
      <c r="E71" s="865"/>
      <c r="F71" s="1910">
        <f>'Expenditures 15-22'!K224</f>
        <v>0</v>
      </c>
      <c r="G71" s="862"/>
    </row>
    <row r="72" spans="1:8" x14ac:dyDescent="0.2">
      <c r="A72" s="866" t="s">
        <v>462</v>
      </c>
      <c r="B72" s="866" t="s">
        <v>1893</v>
      </c>
      <c r="C72" s="883">
        <f>'Expenditures 15-22'!B280</f>
        <v>3000</v>
      </c>
      <c r="D72" s="873" t="s">
        <v>449</v>
      </c>
      <c r="E72" s="865"/>
      <c r="F72" s="1910">
        <f>'Expenditures 15-22'!K280</f>
        <v>0</v>
      </c>
      <c r="G72" s="862"/>
    </row>
    <row r="73" spans="1:8" x14ac:dyDescent="0.2">
      <c r="A73" s="866" t="s">
        <v>462</v>
      </c>
      <c r="B73" s="866" t="s">
        <v>1894</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1895</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1799018</v>
      </c>
      <c r="G76" s="862"/>
    </row>
    <row r="77" spans="1:8" s="890" customFormat="1" ht="12" customHeight="1" thickTop="1" thickBot="1" x14ac:dyDescent="0.25">
      <c r="A77" s="1776"/>
      <c r="B77" s="1773"/>
      <c r="C77" s="1769"/>
      <c r="D77" s="1774" t="s">
        <v>1897</v>
      </c>
      <c r="E77" s="1771"/>
      <c r="F77" s="1777">
        <f>(F14-F76)</f>
        <v>13093732</v>
      </c>
      <c r="G77" s="866"/>
    </row>
    <row r="78" spans="1:8" s="890" customFormat="1" ht="12" customHeight="1" thickTop="1" x14ac:dyDescent="0.2">
      <c r="A78" s="1778"/>
      <c r="B78" s="1773"/>
      <c r="C78" s="1769"/>
      <c r="D78" s="1774" t="s">
        <v>2059</v>
      </c>
      <c r="E78" s="1771"/>
      <c r="F78" s="895">
        <v>1088.4000000000001</v>
      </c>
      <c r="G78" s="896"/>
      <c r="H78" s="866"/>
    </row>
    <row r="79" spans="1:8" s="890" customFormat="1" ht="12" customHeight="1" thickBot="1" x14ac:dyDescent="0.25">
      <c r="A79" s="1779"/>
      <c r="B79" s="1773"/>
      <c r="C79" s="1769"/>
      <c r="D79" s="1774" t="s">
        <v>1898</v>
      </c>
      <c r="E79" s="1771" t="s">
        <v>958</v>
      </c>
      <c r="F79" s="1780">
        <f>IF(F78&gt;0,F77/F78," Complete Line 78")</f>
        <v>12030.257258360896</v>
      </c>
      <c r="G79" s="866"/>
    </row>
    <row r="80" spans="1:8" s="890" customFormat="1" ht="8.25" customHeight="1" thickTop="1" x14ac:dyDescent="0.2">
      <c r="A80" s="897"/>
      <c r="B80" s="866"/>
      <c r="C80" s="868"/>
      <c r="D80" s="898"/>
      <c r="E80" s="865"/>
      <c r="F80" s="899"/>
      <c r="G80" s="866"/>
    </row>
    <row r="81" spans="1:7" s="890" customFormat="1" ht="12" thickBot="1" x14ac:dyDescent="0.25">
      <c r="A81" s="2445" t="s">
        <v>1105</v>
      </c>
      <c r="B81" s="2446"/>
      <c r="C81" s="2446"/>
      <c r="D81" s="2446"/>
      <c r="E81" s="2446"/>
      <c r="F81" s="2447"/>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3380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38475</v>
      </c>
      <c r="G94" s="909"/>
    </row>
    <row r="95" spans="1:7" x14ac:dyDescent="0.2">
      <c r="A95" s="905" t="s">
        <v>140</v>
      </c>
      <c r="B95" s="905" t="s">
        <v>175</v>
      </c>
      <c r="C95" s="907">
        <v>1700</v>
      </c>
      <c r="D95" s="915" t="str">
        <f>'Revenues 9-14'!A82</f>
        <v>Total District/School Activity Income</v>
      </c>
      <c r="E95" s="903"/>
      <c r="F95" s="1786">
        <f>SUM('Revenues 9-14'!C82,'Revenues 9-14'!D82)</f>
        <v>34150</v>
      </c>
      <c r="G95" s="909"/>
    </row>
    <row r="96" spans="1:7" x14ac:dyDescent="0.2">
      <c r="A96" s="905" t="s">
        <v>459</v>
      </c>
      <c r="B96" s="905" t="s">
        <v>176</v>
      </c>
      <c r="C96" s="907">
        <f>'Revenues 9-14'!B84</f>
        <v>1811</v>
      </c>
      <c r="D96" s="908" t="str">
        <f>'Revenues 9-14'!A84</f>
        <v>Rentals - Regular Textbooks</v>
      </c>
      <c r="E96" s="903"/>
      <c r="F96" s="1786">
        <f>'Revenues 9-14'!C84</f>
        <v>100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10000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60000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2000</v>
      </c>
      <c r="C105" s="910">
        <v>3100</v>
      </c>
      <c r="D105" s="916" t="str">
        <f>'Revenues 9-14'!A132</f>
        <v>Total Special Education</v>
      </c>
      <c r="E105" s="903"/>
      <c r="F105" s="1786">
        <f>SUM('Revenues 9-14'!C132:D132,'Revenues 9-14'!F132)</f>
        <v>202574</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9338</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0</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365002</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4">
        <f>SUM('Revenues 9-14'!C163:G163)</f>
        <v>0</v>
      </c>
      <c r="G118" s="909"/>
    </row>
    <row r="119" spans="1:7" x14ac:dyDescent="0.2">
      <c r="A119" s="920" t="s">
        <v>504</v>
      </c>
      <c r="B119" s="920" t="s">
        <v>2014</v>
      </c>
      <c r="C119" s="921">
        <f>'Revenues 9-14'!B164</f>
        <v>3815</v>
      </c>
      <c r="D119" s="922" t="str">
        <f>'Revenues 9-14'!A164</f>
        <v>State Charter Schools</v>
      </c>
      <c r="E119" s="903"/>
      <c r="F119" s="1904">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0</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20461</v>
      </c>
      <c r="G124" s="927"/>
    </row>
    <row r="125" spans="1:7" x14ac:dyDescent="0.2">
      <c r="A125" s="924" t="s">
        <v>664</v>
      </c>
      <c r="B125" s="924" t="s">
        <v>2020</v>
      </c>
      <c r="C125" s="929">
        <v>4200</v>
      </c>
      <c r="D125" s="926" t="str">
        <f>'Revenues 9-14'!A198</f>
        <v>Total Food Service</v>
      </c>
      <c r="E125" s="903"/>
      <c r="F125" s="1786">
        <f>SUM('Revenues 9-14'!C198,'Revenues 9-14'!G198)</f>
        <v>563820</v>
      </c>
      <c r="G125" s="927"/>
    </row>
    <row r="126" spans="1:7" x14ac:dyDescent="0.2">
      <c r="A126" s="924" t="s">
        <v>668</v>
      </c>
      <c r="B126" s="924" t="s">
        <v>2021</v>
      </c>
      <c r="C126" s="929">
        <v>4300</v>
      </c>
      <c r="D126" s="930" t="str">
        <f>'Revenues 9-14'!A204</f>
        <v>Total Title I</v>
      </c>
      <c r="E126" s="903"/>
      <c r="F126" s="1786">
        <f>SUM('Revenues 9-14'!C204,'Revenues 9-14'!D204,'Revenues 9-14'!F204,'Revenues 9-14'!G204)</f>
        <v>556783</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301477</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30549</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286533</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1917</v>
      </c>
      <c r="C171" s="1917">
        <v>3100</v>
      </c>
      <c r="D171" s="1918" t="s">
        <v>1919</v>
      </c>
      <c r="E171" s="903"/>
      <c r="F171" s="1903">
        <v>489670.55</v>
      </c>
      <c r="G171" s="924"/>
    </row>
    <row r="172" spans="1:7" x14ac:dyDescent="0.2">
      <c r="A172" s="1915" t="s">
        <v>664</v>
      </c>
      <c r="B172" s="1916" t="s">
        <v>1917</v>
      </c>
      <c r="C172" s="1917">
        <v>3300</v>
      </c>
      <c r="D172" s="1918" t="s">
        <v>1920</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2972312.55</v>
      </c>
    </row>
    <row r="175" spans="1:7" ht="12" customHeight="1" x14ac:dyDescent="0.2">
      <c r="A175" s="1767"/>
      <c r="B175" s="1781"/>
      <c r="C175" s="1782"/>
      <c r="D175" s="1783" t="s">
        <v>2054</v>
      </c>
      <c r="E175" s="1784"/>
      <c r="F175" s="1786">
        <f>'PCTC-OEPP 27-28'!F77-F174</f>
        <v>10121419.449999999</v>
      </c>
    </row>
    <row r="176" spans="1:7" ht="12" customHeight="1" x14ac:dyDescent="0.2">
      <c r="A176" s="1767"/>
      <c r="B176" s="1781"/>
      <c r="C176" s="1782"/>
      <c r="D176" s="1783" t="s">
        <v>1814</v>
      </c>
      <c r="E176" s="1784"/>
      <c r="F176" s="1786">
        <f>'Cap Outlay Deprec 26'!I18</f>
        <v>306728</v>
      </c>
    </row>
    <row r="177" spans="1:7" ht="12" customHeight="1" x14ac:dyDescent="0.2">
      <c r="A177" s="1767"/>
      <c r="B177" s="1781"/>
      <c r="C177" s="1782"/>
      <c r="D177" s="1783" t="s">
        <v>2055</v>
      </c>
      <c r="E177" s="1784"/>
      <c r="F177" s="1786">
        <f>F175+F176</f>
        <v>10428147.449999999</v>
      </c>
    </row>
    <row r="178" spans="1:7" ht="12" customHeight="1" x14ac:dyDescent="0.2">
      <c r="A178" s="1767"/>
      <c r="B178" s="1787"/>
      <c r="C178" s="1782"/>
      <c r="D178" s="1783" t="str">
        <f>D78</f>
        <v>9 Month ADA from District Average Daily Attendance/Prior General State Aid Inquiry 2018-2019</v>
      </c>
      <c r="E178" s="1784"/>
      <c r="F178" s="1788">
        <f>'PCTC-OEPP 27-28'!F78</f>
        <v>1088.4000000000001</v>
      </c>
      <c r="G178" s="927"/>
    </row>
    <row r="179" spans="1:7" ht="12" customHeight="1" thickBot="1" x14ac:dyDescent="0.25">
      <c r="A179" s="1767"/>
      <c r="B179" s="1787"/>
      <c r="C179" s="1782"/>
      <c r="D179" s="1783" t="s">
        <v>2056</v>
      </c>
      <c r="E179" s="1784" t="s">
        <v>1545</v>
      </c>
      <c r="F179" s="1789">
        <f>F177/F178</f>
        <v>9581.1718577728752</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6"/>
      <c r="D184" s="927"/>
      <c r="E184" s="946"/>
      <c r="F184" s="927"/>
      <c r="G184" s="927"/>
    </row>
    <row r="185" spans="1:7" x14ac:dyDescent="0.2">
      <c r="A185" s="1923" t="s">
        <v>1922</v>
      </c>
      <c r="B185" s="1924"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8" sqref="A8:G8"/>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459" t="s">
        <v>1815</v>
      </c>
      <c r="B4" s="2460"/>
      <c r="C4" s="2460"/>
      <c r="D4" s="2460"/>
      <c r="E4" s="2460"/>
      <c r="F4" s="2460"/>
      <c r="G4" s="2461"/>
    </row>
    <row r="5" spans="1:7" x14ac:dyDescent="0.25">
      <c r="A5" s="2462"/>
      <c r="B5" s="2463"/>
      <c r="C5" s="2463"/>
      <c r="D5" s="2463"/>
      <c r="E5" s="2463"/>
      <c r="F5" s="2463"/>
      <c r="G5" s="2464"/>
    </row>
    <row r="6" spans="1:7" ht="18.75" x14ac:dyDescent="0.25">
      <c r="A6" s="1531" t="s">
        <v>1816</v>
      </c>
      <c r="B6" s="1532"/>
      <c r="C6" s="1532"/>
      <c r="D6" s="1532"/>
      <c r="E6" s="1532"/>
      <c r="F6" s="1532"/>
      <c r="G6" s="1533"/>
    </row>
    <row r="7" spans="1:7" ht="30.75" customHeight="1" x14ac:dyDescent="0.25">
      <c r="A7" s="2465" t="s">
        <v>1929</v>
      </c>
      <c r="B7" s="2466"/>
      <c r="C7" s="2466"/>
      <c r="D7" s="2466"/>
      <c r="E7" s="2466"/>
      <c r="F7" s="2466"/>
      <c r="G7" s="2467"/>
    </row>
    <row r="8" spans="1:7" ht="15.75" customHeight="1" x14ac:dyDescent="0.25">
      <c r="A8" s="2468" t="s">
        <v>1904</v>
      </c>
      <c r="B8" s="2469"/>
      <c r="C8" s="2469"/>
      <c r="D8" s="2469"/>
      <c r="E8" s="2469"/>
      <c r="F8" s="2469"/>
      <c r="G8" s="2470"/>
    </row>
    <row r="9" spans="1:7" ht="35.25" customHeight="1" x14ac:dyDescent="0.25">
      <c r="A9" s="2465" t="s">
        <v>1932</v>
      </c>
      <c r="B9" s="2466"/>
      <c r="C9" s="2466"/>
      <c r="D9" s="2466"/>
      <c r="E9" s="2466"/>
      <c r="F9" s="2466"/>
      <c r="G9" s="2467"/>
    </row>
    <row r="10" spans="1:7" ht="15" customHeight="1" x14ac:dyDescent="0.25">
      <c r="A10" s="1534" t="s">
        <v>1817</v>
      </c>
      <c r="B10" s="1535"/>
      <c r="C10" s="1535"/>
      <c r="D10" s="1535"/>
      <c r="E10" s="1535"/>
      <c r="F10" s="1535"/>
      <c r="G10" s="1536"/>
    </row>
    <row r="11" spans="1:7" ht="17.25" customHeight="1" x14ac:dyDescent="0.25">
      <c r="A11" s="2465" t="s">
        <v>1931</v>
      </c>
      <c r="B11" s="2466"/>
      <c r="C11" s="2466"/>
      <c r="D11" s="2466"/>
      <c r="E11" s="2466"/>
      <c r="F11" s="2466"/>
      <c r="G11" s="2467"/>
    </row>
    <row r="12" spans="1:7" ht="15" customHeight="1" x14ac:dyDescent="0.25">
      <c r="A12" s="1534" t="s">
        <v>1822</v>
      </c>
      <c r="B12" s="1535"/>
      <c r="C12" s="1535"/>
      <c r="D12" s="1535"/>
      <c r="E12" s="1535"/>
      <c r="F12" s="1535"/>
      <c r="G12" s="1536"/>
    </row>
    <row r="13" spans="1:7" ht="32.25" customHeight="1" x14ac:dyDescent="0.25">
      <c r="A13" s="2456" t="s">
        <v>1973</v>
      </c>
      <c r="B13" s="2457"/>
      <c r="C13" s="2457"/>
      <c r="D13" s="2457"/>
      <c r="E13" s="2457"/>
      <c r="F13" s="2457"/>
      <c r="G13" s="2458"/>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2084</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71" t="s">
        <v>1679</v>
      </c>
      <c r="B5" s="2472"/>
      <c r="C5" s="2472"/>
      <c r="D5" s="2472"/>
      <c r="E5" s="2472"/>
      <c r="F5" s="2472"/>
      <c r="G5" s="2473"/>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v>291684</v>
      </c>
      <c r="F10" s="971"/>
      <c r="G10" s="972"/>
      <c r="H10" s="162"/>
      <c r="I10" s="162"/>
    </row>
    <row r="11" spans="1:9" s="665" customFormat="1" ht="22.5" customHeight="1" x14ac:dyDescent="0.2">
      <c r="A11" s="2476" t="s">
        <v>1974</v>
      </c>
      <c r="B11" s="2477"/>
      <c r="C11" s="2477"/>
      <c r="D11" s="2478"/>
      <c r="E11" s="974">
        <v>53067</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9060725</v>
      </c>
      <c r="F19" s="1796"/>
      <c r="G19" s="1798">
        <f>'Expenditures 15-22'!K33-SUM('Expenditures 15-22'!G33,'Expenditures 15-22'!I33)+'Expenditures 15-22'!D229</f>
        <v>9060725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401460</v>
      </c>
      <c r="F21" s="1799"/>
      <c r="G21" s="1802">
        <f>'Expenditures 15-22'!K42-SUM('Expenditures 15-22'!G42,'Expenditures 15-22'!I42)+'Expenditures 15-22'!K120-SUM('Expenditures 15-22'!G120,'Expenditures 15-22'!I120)+'Expenditures 15-22'!K180-SUM('Expenditures 15-22'!G180,'Expenditures 15-22'!I180)+'Expenditures 15-22'!D238</f>
        <v>401460</v>
      </c>
      <c r="H21" s="984"/>
      <c r="I21" s="162"/>
    </row>
    <row r="22" spans="1:9" s="665" customFormat="1" ht="12" customHeight="1" x14ac:dyDescent="0.2">
      <c r="A22" s="991" t="s">
        <v>564</v>
      </c>
      <c r="B22" s="992"/>
      <c r="C22" s="990">
        <v>2200</v>
      </c>
      <c r="D22" s="1799"/>
      <c r="E22" s="1801">
        <f>'Expenditures 15-22'!K47-SUM('Expenditures 15-22'!G47,'Expenditures 15-22'!I47)+'Expenditures 15-22'!D243</f>
        <v>93040</v>
      </c>
      <c r="F22" s="1799"/>
      <c r="G22" s="1802">
        <f>'Expenditures 15-22'!K47-SUM('Expenditures 15-22'!G47,'Expenditures 15-22'!I47)+'Expenditures 15-22'!D243</f>
        <v>93040</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575406</v>
      </c>
      <c r="F23" s="1799"/>
      <c r="G23" s="1801">
        <f>'Expenditures 15-22'!K53-SUM('Expenditures 15-22'!G53,'Expenditures 15-22'!I53)+'Expenditures 15-22'!D257+'Expenditures 15-22'!K330-SUM('Expenditures 15-22'!G330,'Expenditures 15-22'!I330)</f>
        <v>575406</v>
      </c>
      <c r="H23" s="984"/>
      <c r="I23" s="162"/>
    </row>
    <row r="24" spans="1:9" s="665" customFormat="1" ht="12" customHeight="1" x14ac:dyDescent="0.2">
      <c r="A24" s="991" t="s">
        <v>566</v>
      </c>
      <c r="B24" s="992"/>
      <c r="C24" s="990">
        <v>2400</v>
      </c>
      <c r="D24" s="1799"/>
      <c r="E24" s="1801">
        <f>'Expenditures 15-22'!K57-SUM('Expenditures 15-22'!G57,'Expenditures 15-22'!I57)+'Expenditures 15-22'!D261</f>
        <v>725858</v>
      </c>
      <c r="F24" s="1799"/>
      <c r="G24" s="1802">
        <f>'Expenditures 15-22'!K57-SUM('Expenditures 15-22'!G57,'Expenditures 15-22'!I57)+'Expenditures 15-22'!D261</f>
        <v>725858</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83254</v>
      </c>
      <c r="E27" s="1801">
        <f>E8</f>
        <v>0</v>
      </c>
      <c r="F27" s="1801">
        <f>'Expenditures 15-22'!K60-SUM('Expenditures 15-22'!G60,'Expenditures 15-22'!I60)+'Expenditures 15-22'!D264-E8</f>
        <v>83254</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1094334</v>
      </c>
      <c r="F28" s="1803">
        <f>'Expenditures 15-22'!K61-SUM('Expenditures 15-22'!G61,'Expenditures 15-22'!I61)+'Expenditures 15-22'!K124-SUM('Expenditures 15-22'!G124,'Expenditures 15-22'!I124)+'Expenditures 15-22'!D266-E9</f>
        <v>1094334</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1099153</v>
      </c>
      <c r="F29" s="1799"/>
      <c r="G29" s="1802">
        <f>'Expenditures 15-22'!K62-SUM('Expenditures 15-22'!G62,'Expenditures 15-22'!I62)+'Expenditures 15-22'!K125-SUM('Expenditures 15-22'!G125,'Expenditures 15-22'!I125)+'Expenditures 15-22'!K182-SUM('Expenditures 15-22'!G182,'Expenditures 15-22'!I182)+'Expenditures 15-22'!D267</f>
        <v>1099153</v>
      </c>
      <c r="H29" s="982"/>
    </row>
    <row r="30" spans="1:9" ht="12" customHeight="1" x14ac:dyDescent="0.2">
      <c r="A30" s="991" t="s">
        <v>100</v>
      </c>
      <c r="B30" s="994"/>
      <c r="C30" s="990">
        <v>2560</v>
      </c>
      <c r="D30" s="1799"/>
      <c r="E30" s="1801">
        <f>'Expenditures 15-22'!K63-SUM('Expenditures 15-22'!G63,'Expenditures 15-22'!I63)+'Expenditures 15-22'!D268-E10</f>
        <v>306274</v>
      </c>
      <c r="F30" s="1799"/>
      <c r="G30" s="1801">
        <f>'Expenditures 15-22'!K63-SUM('Expenditures 15-22'!G63,'Expenditures 15-22'!I63)+'Expenditures 15-22'!D268-E10</f>
        <v>306274</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108090</v>
      </c>
      <c r="F34" s="1799"/>
      <c r="G34" s="1801">
        <f>'Expenditures 15-22'!K68-SUM('Expenditures 15-22'!G68,'Expenditures 15-22'!I68)+'Expenditures 15-22'!D273</f>
        <v>108090</v>
      </c>
    </row>
    <row r="35" spans="1:7" ht="12" customHeight="1" x14ac:dyDescent="0.2">
      <c r="A35" s="991" t="s">
        <v>1061</v>
      </c>
      <c r="B35" s="994"/>
      <c r="C35" s="990">
        <v>2630</v>
      </c>
      <c r="D35" s="1799"/>
      <c r="E35" s="1801">
        <f>'Expenditures 15-22'!K69-SUM('Expenditures 15-22'!G69,'Expenditures 15-22'!I69)+'Expenditures 15-22'!D274</f>
        <v>292871</v>
      </c>
      <c r="F35" s="1799"/>
      <c r="G35" s="1801">
        <f>'Expenditures 15-22'!K69-SUM('Expenditures 15-22'!G69,'Expenditures 15-22'!I69)+'Expenditures 15-22'!D274</f>
        <v>292871</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1250</v>
      </c>
      <c r="E37" s="1801">
        <f>E14</f>
        <v>0</v>
      </c>
      <c r="F37" s="1801">
        <f>'Expenditures 15-22'!K71-SUM('Expenditures 15-22'!G71,'Expenditures 15-22'!I71)+'Expenditures 15-22'!D276-E14</f>
        <v>1250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38247</v>
      </c>
      <c r="F39" s="1799"/>
      <c r="G39" s="1801">
        <f>'Expenditures 15-22'!K75-SUM('Expenditures 15-22'!G75,'Expenditures 15-22'!I75)+'Expenditures 15-22'!K130-SUM('Expenditures 15-22'!G130,'Expenditures 15-22'!I130)+'Expenditures 15-22'!K185-SUM('Expenditures 15-22'!G185,'Expenditures 15-22'!I185)+'Expenditures 15-22'!D280</f>
        <v>38247</v>
      </c>
    </row>
    <row r="40" spans="1:7" ht="12" customHeight="1" x14ac:dyDescent="0.2">
      <c r="A40" s="987" t="s">
        <v>1820</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84504</v>
      </c>
      <c r="E41" s="1803">
        <f>SUM(E19:E40)</f>
        <v>13795458</v>
      </c>
      <c r="F41" s="1803">
        <f>SUM(F19:F39)</f>
        <v>1178838</v>
      </c>
      <c r="G41" s="1803">
        <f>SUM(G19:G40)</f>
        <v>12701124</v>
      </c>
    </row>
    <row r="42" spans="1:7" x14ac:dyDescent="0.2">
      <c r="A42" s="984"/>
      <c r="B42" s="162"/>
      <c r="C42" s="998"/>
      <c r="D42" s="2474" t="s">
        <v>522</v>
      </c>
      <c r="E42" s="2475"/>
      <c r="F42" s="999" t="s">
        <v>523</v>
      </c>
      <c r="G42" s="1000"/>
    </row>
    <row r="43" spans="1:7" ht="12" customHeight="1" x14ac:dyDescent="0.2">
      <c r="A43" s="984"/>
      <c r="B43" s="162"/>
      <c r="C43" s="998"/>
      <c r="D43" s="1804" t="s">
        <v>473</v>
      </c>
      <c r="E43" s="1805">
        <f>D41</f>
        <v>84504</v>
      </c>
      <c r="F43" s="1804" t="s">
        <v>473</v>
      </c>
      <c r="G43" s="1805">
        <f>F41</f>
        <v>1178838</v>
      </c>
    </row>
    <row r="44" spans="1:7" ht="12" customHeight="1" x14ac:dyDescent="0.2">
      <c r="A44" s="984"/>
      <c r="B44" s="162"/>
      <c r="C44" s="998"/>
      <c r="D44" s="1804" t="s">
        <v>474</v>
      </c>
      <c r="E44" s="1805">
        <f>E41</f>
        <v>13795458</v>
      </c>
      <c r="F44" s="1804" t="s">
        <v>474</v>
      </c>
      <c r="G44" s="1805">
        <f>G41</f>
        <v>12701124</v>
      </c>
    </row>
    <row r="45" spans="1:7" ht="12" customHeight="1" x14ac:dyDescent="0.2">
      <c r="A45" s="984"/>
      <c r="B45" s="162"/>
      <c r="C45" s="162"/>
      <c r="D45" s="1806" t="s">
        <v>1006</v>
      </c>
      <c r="E45" s="1807">
        <f>(E43/E44)</f>
        <v>6.1254943474874125E-3</v>
      </c>
      <c r="F45" s="1806" t="s">
        <v>1006</v>
      </c>
      <c r="G45" s="1807">
        <f>(G43/G44)</f>
        <v>9.2813675388099509E-2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493" t="s">
        <v>1379</v>
      </c>
      <c r="B1" s="2493"/>
      <c r="C1" s="2493"/>
      <c r="D1" s="2493"/>
      <c r="E1" s="2493"/>
      <c r="F1" s="2493"/>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494" t="s">
        <v>1546</v>
      </c>
      <c r="B5" s="2495"/>
      <c r="C5" s="2496"/>
      <c r="D5" s="2496"/>
      <c r="E5" s="2496"/>
      <c r="F5" s="2496"/>
    </row>
    <row r="6" spans="1:10" ht="12" customHeight="1" x14ac:dyDescent="0.25">
      <c r="A6" s="1847"/>
      <c r="B6" s="1848"/>
      <c r="C6" s="2497" t="str">
        <f>COVER!A17</f>
        <v>Pontiac CCSD 429</v>
      </c>
      <c r="D6" s="2497"/>
      <c r="E6" s="2497"/>
      <c r="F6" s="1849"/>
    </row>
    <row r="7" spans="1:10" ht="11.25" customHeight="1" thickBot="1" x14ac:dyDescent="0.3">
      <c r="A7" s="1847"/>
      <c r="B7" s="1848"/>
      <c r="C7" s="2498">
        <f>COVER!A13</f>
        <v>17053429004</v>
      </c>
      <c r="D7" s="2498"/>
      <c r="E7" s="2498"/>
      <c r="F7" s="1849"/>
    </row>
    <row r="8" spans="1:10" ht="25.5" customHeight="1" thickBot="1" x14ac:dyDescent="0.25">
      <c r="A8" s="1890" t="s">
        <v>1905</v>
      </c>
      <c r="B8" s="1850" t="s">
        <v>2067</v>
      </c>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0</v>
      </c>
      <c r="I34" s="1875">
        <f>SUM(I11:I32)</f>
        <v>0</v>
      </c>
      <c r="J34" s="1875">
        <f>SUM(J11:J32)</f>
        <v>0</v>
      </c>
      <c r="K34" s="1875">
        <f>SUM(H34:J34)</f>
        <v>0</v>
      </c>
    </row>
    <row r="35" spans="1:11" ht="12" customHeight="1" x14ac:dyDescent="0.2">
      <c r="A35" s="1868" t="s">
        <v>1392</v>
      </c>
      <c r="B35" s="1869"/>
      <c r="C35" s="2499"/>
      <c r="D35" s="2499"/>
      <c r="E35" s="2499"/>
      <c r="F35" s="2500"/>
    </row>
    <row r="36" spans="1:11" ht="12" customHeight="1" x14ac:dyDescent="0.2">
      <c r="A36" s="2482"/>
      <c r="B36" s="2483"/>
      <c r="C36" s="2483"/>
      <c r="D36" s="2483"/>
      <c r="E36" s="2483"/>
      <c r="F36" s="2484"/>
    </row>
    <row r="37" spans="1:11" ht="12" customHeight="1" x14ac:dyDescent="0.2">
      <c r="A37" s="2482"/>
      <c r="B37" s="2483"/>
      <c r="C37" s="2483"/>
      <c r="D37" s="2483"/>
      <c r="E37" s="2483"/>
      <c r="F37" s="2484"/>
    </row>
    <row r="38" spans="1:11" ht="12" customHeight="1" x14ac:dyDescent="0.2">
      <c r="A38" s="2485"/>
      <c r="B38" s="2486"/>
      <c r="C38" s="2486"/>
      <c r="D38" s="2486"/>
      <c r="E38" s="2486"/>
      <c r="F38" s="2487"/>
    </row>
    <row r="39" spans="1:11" ht="4.5" hidden="1" customHeight="1" x14ac:dyDescent="0.2">
      <c r="A39" s="1870"/>
      <c r="B39" s="1870"/>
      <c r="C39" s="1870"/>
      <c r="D39" s="1870"/>
      <c r="E39" s="1870"/>
      <c r="F39" s="1870"/>
    </row>
    <row r="40" spans="1:11" s="1867" customFormat="1" ht="12" customHeight="1" x14ac:dyDescent="0.25">
      <c r="A40" s="1871" t="s">
        <v>1391</v>
      </c>
      <c r="B40" s="1872"/>
      <c r="C40" s="2488"/>
      <c r="D40" s="2488"/>
      <c r="E40" s="2488"/>
      <c r="F40" s="2489"/>
      <c r="H40" s="1876"/>
      <c r="I40" s="1876"/>
      <c r="J40" s="1876"/>
      <c r="K40" s="1876"/>
    </row>
    <row r="41" spans="1:11" s="1867" customFormat="1" ht="12" customHeight="1" x14ac:dyDescent="0.25">
      <c r="A41" s="2490"/>
      <c r="B41" s="2491"/>
      <c r="C41" s="2491"/>
      <c r="D41" s="2491"/>
      <c r="E41" s="2491"/>
      <c r="F41" s="2492"/>
      <c r="H41" s="1876"/>
      <c r="I41" s="1876"/>
      <c r="J41" s="1876"/>
      <c r="K41" s="1876"/>
    </row>
    <row r="42" spans="1:11" s="1867" customFormat="1" ht="12" customHeight="1" x14ac:dyDescent="0.25">
      <c r="A42" s="2490"/>
      <c r="B42" s="2491"/>
      <c r="C42" s="2491"/>
      <c r="D42" s="2491"/>
      <c r="E42" s="2491"/>
      <c r="F42" s="2492"/>
      <c r="H42" s="1876"/>
      <c r="I42" s="1876"/>
      <c r="J42" s="1876"/>
      <c r="K42" s="1876"/>
    </row>
    <row r="43" spans="1:11" s="1867" customFormat="1" ht="15" x14ac:dyDescent="0.25">
      <c r="A43" s="2479"/>
      <c r="B43" s="2480"/>
      <c r="C43" s="2480"/>
      <c r="D43" s="2480"/>
      <c r="E43" s="2480"/>
      <c r="F43" s="2481"/>
      <c r="H43" s="1876"/>
      <c r="I43" s="1876"/>
      <c r="J43" s="1876"/>
      <c r="K43" s="1876"/>
    </row>
    <row r="44" spans="1:11" s="1867" customFormat="1" ht="12" hidden="1" customHeight="1" x14ac:dyDescent="0.25">
      <c r="A44" s="2479"/>
      <c r="B44" s="2480"/>
      <c r="C44" s="2480"/>
      <c r="D44" s="2480"/>
      <c r="E44" s="2480"/>
      <c r="F44" s="248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506" t="str">
        <f>COVER!A17</f>
        <v>Pontiac CCSD 429</v>
      </c>
      <c r="J6" s="2507"/>
      <c r="Q6" s="1661"/>
    </row>
    <row r="7" spans="1:17" x14ac:dyDescent="0.2">
      <c r="A7" s="2508" t="s">
        <v>869</v>
      </c>
      <c r="B7" s="2509"/>
      <c r="C7" s="2509"/>
      <c r="D7" s="2509"/>
      <c r="E7" s="2510"/>
      <c r="F7" s="1014"/>
      <c r="G7" s="1006"/>
      <c r="H7" s="1013" t="s">
        <v>372</v>
      </c>
      <c r="I7" s="2511">
        <f>COVER!A13</f>
        <v>17053429004</v>
      </c>
      <c r="J7" s="2511"/>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1976</v>
      </c>
      <c r="F9" s="1020"/>
      <c r="G9" s="1020"/>
      <c r="H9" s="1893"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512" t="s">
        <v>481</v>
      </c>
      <c r="B11" s="2513"/>
      <c r="C11" s="2514"/>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209556</v>
      </c>
      <c r="F12" s="1036"/>
      <c r="G12" s="1808">
        <f t="shared" ref="G12:G18" si="0">SUM(E12:F12)</f>
        <v>209556</v>
      </c>
      <c r="H12" s="1037">
        <f>209186</f>
        <v>209186</v>
      </c>
      <c r="I12" s="1036"/>
      <c r="J12" s="1808">
        <f t="shared" ref="J12:J18" si="1">SUM(H12:I12)</f>
        <v>209186</v>
      </c>
    </row>
    <row r="13" spans="1:17" ht="15" customHeight="1" x14ac:dyDescent="0.2">
      <c r="A13" s="1032">
        <v>2</v>
      </c>
      <c r="B13" s="1033" t="s">
        <v>42</v>
      </c>
      <c r="C13" s="1034"/>
      <c r="D13" s="1035">
        <v>2330</v>
      </c>
      <c r="E13" s="1808">
        <f>'Expenditures 15-22'!K51</f>
        <v>128493</v>
      </c>
      <c r="F13" s="1036"/>
      <c r="G13" s="1808">
        <f t="shared" si="0"/>
        <v>128493</v>
      </c>
      <c r="H13" s="1037">
        <f>118156</f>
        <v>118156</v>
      </c>
      <c r="I13" s="1036"/>
      <c r="J13" s="1808">
        <f t="shared" si="1"/>
        <v>118156</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515" t="s">
        <v>7</v>
      </c>
      <c r="C18" s="2516"/>
      <c r="D18" s="2517"/>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338049</v>
      </c>
      <c r="F19" s="1810">
        <f t="shared" si="2"/>
        <v>0</v>
      </c>
      <c r="G19" s="1810">
        <f t="shared" si="2"/>
        <v>338049</v>
      </c>
      <c r="H19" s="1810">
        <f t="shared" si="2"/>
        <v>327342</v>
      </c>
      <c r="I19" s="1810">
        <f t="shared" si="2"/>
        <v>0</v>
      </c>
      <c r="J19" s="1810">
        <f t="shared" si="2"/>
        <v>327342</v>
      </c>
    </row>
    <row r="20" spans="1:10" ht="13.5" thickTop="1" x14ac:dyDescent="0.2">
      <c r="A20" s="1032">
        <v>9</v>
      </c>
      <c r="B20" s="2518" t="s">
        <v>1978</v>
      </c>
      <c r="C20" s="2518"/>
      <c r="D20" s="2519"/>
      <c r="E20" s="1043"/>
      <c r="F20" s="1043"/>
      <c r="G20" s="1043"/>
      <c r="H20" s="1043"/>
      <c r="I20" s="1043"/>
      <c r="J20" s="1811">
        <f>IF(AND(G19&gt;0,J19&gt;0),(((J19-G19)/G19)),"Enter Budget Data")</f>
        <v>-3.1672923156110505E-2</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524"/>
      <c r="D26" s="2524"/>
      <c r="E26" s="1047"/>
      <c r="F26" s="2523"/>
      <c r="G26" s="2523"/>
    </row>
    <row r="27" spans="1:10" x14ac:dyDescent="0.2">
      <c r="B27" s="1044"/>
      <c r="C27" s="1048" t="s">
        <v>1033</v>
      </c>
      <c r="D27" s="1049"/>
      <c r="E27" s="1050"/>
      <c r="F27" s="2520" t="s">
        <v>1509</v>
      </c>
      <c r="G27" s="2520"/>
    </row>
    <row r="28" spans="1:10" ht="28.5" customHeight="1" x14ac:dyDescent="0.2">
      <c r="B28" s="1044"/>
      <c r="C28" s="2522"/>
      <c r="D28" s="2522"/>
      <c r="E28" s="1051"/>
      <c r="F28" s="2522"/>
      <c r="G28" s="2522"/>
    </row>
    <row r="29" spans="1:10" x14ac:dyDescent="0.2">
      <c r="B29" s="1044"/>
      <c r="C29" s="1052" t="s">
        <v>1561</v>
      </c>
      <c r="E29" s="1053"/>
      <c r="F29" s="2521" t="s">
        <v>1510</v>
      </c>
      <c r="G29" s="2521"/>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503" t="s">
        <v>132</v>
      </c>
      <c r="D33" s="2504"/>
      <c r="E33" s="2504"/>
      <c r="F33" s="2504"/>
      <c r="G33" s="2504"/>
      <c r="H33" s="2504"/>
      <c r="I33" s="2504"/>
    </row>
    <row r="34" spans="1:10" ht="10.35" customHeight="1" x14ac:dyDescent="0.2">
      <c r="C34" s="2504"/>
      <c r="D34" s="2504"/>
      <c r="E34" s="2504"/>
      <c r="F34" s="2504"/>
      <c r="G34" s="2504"/>
      <c r="H34" s="2504"/>
      <c r="I34" s="2504"/>
    </row>
    <row r="35" spans="1:10" ht="7.5" customHeight="1" x14ac:dyDescent="0.2">
      <c r="C35" s="1059"/>
    </row>
    <row r="36" spans="1:10" ht="13.5" customHeight="1" x14ac:dyDescent="0.2">
      <c r="B36" s="1058"/>
      <c r="C36" s="2505" t="s">
        <v>1980</v>
      </c>
      <c r="D36" s="2504"/>
      <c r="E36" s="2504"/>
      <c r="F36" s="2504"/>
      <c r="G36" s="2504"/>
      <c r="H36" s="2504"/>
      <c r="I36" s="2504"/>
      <c r="J36" s="1060"/>
    </row>
    <row r="37" spans="1:10" ht="22.5" customHeight="1" x14ac:dyDescent="0.2">
      <c r="C37" s="2504"/>
      <c r="D37" s="2504"/>
      <c r="E37" s="2504"/>
      <c r="F37" s="2504"/>
      <c r="G37" s="2504"/>
      <c r="H37" s="2504"/>
      <c r="I37" s="2504"/>
      <c r="J37" s="1060"/>
    </row>
    <row r="38" spans="1:10" ht="7.5" customHeight="1" x14ac:dyDescent="0.2">
      <c r="C38" s="1059"/>
      <c r="D38" s="1061"/>
      <c r="E38" s="1062"/>
      <c r="F38" s="1063"/>
      <c r="G38" s="1062"/>
    </row>
    <row r="39" spans="1:10" ht="13.5" customHeight="1" x14ac:dyDescent="0.2">
      <c r="B39" s="1058"/>
      <c r="C39" s="2501" t="s">
        <v>882</v>
      </c>
      <c r="D39" s="2502"/>
      <c r="E39" s="2502"/>
      <c r="F39" s="2502"/>
      <c r="G39" s="2502"/>
      <c r="H39" s="2502"/>
      <c r="I39" s="250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2204</v>
      </c>
    </row>
    <row r="6" spans="1:2" x14ac:dyDescent="0.2">
      <c r="A6" s="1065">
        <v>2</v>
      </c>
      <c r="B6" s="329" t="s">
        <v>2205</v>
      </c>
    </row>
    <row r="7" spans="1:2" x14ac:dyDescent="0.2">
      <c r="A7" s="1065">
        <v>3</v>
      </c>
      <c r="B7" s="329" t="s">
        <v>2206</v>
      </c>
    </row>
    <row r="8" spans="1:2" x14ac:dyDescent="0.2">
      <c r="A8" s="1065">
        <v>4</v>
      </c>
      <c r="B8" s="329" t="s">
        <v>2207</v>
      </c>
    </row>
    <row r="9" spans="1:2" x14ac:dyDescent="0.2">
      <c r="A9" s="1066"/>
      <c r="B9" s="329" t="s">
        <v>2208</v>
      </c>
    </row>
    <row r="10" spans="1:2" x14ac:dyDescent="0.2">
      <c r="A10" s="1066"/>
      <c r="B10" s="329" t="s">
        <v>2213</v>
      </c>
    </row>
    <row r="11" spans="1:2" x14ac:dyDescent="0.2">
      <c r="A11" s="1066"/>
      <c r="B11" s="329" t="s">
        <v>2209</v>
      </c>
    </row>
    <row r="12" spans="1:2" x14ac:dyDescent="0.2">
      <c r="A12" s="1066">
        <v>5</v>
      </c>
      <c r="B12" s="329" t="s">
        <v>2210</v>
      </c>
    </row>
    <row r="13" spans="1:2" x14ac:dyDescent="0.2">
      <c r="A13" s="1066">
        <v>6</v>
      </c>
      <c r="B13" s="329" t="s">
        <v>2211</v>
      </c>
    </row>
    <row r="14" spans="1:2" x14ac:dyDescent="0.2">
      <c r="A14" s="1066">
        <v>7</v>
      </c>
      <c r="B14" s="329" t="s">
        <v>2214</v>
      </c>
    </row>
    <row r="15" spans="1:2" x14ac:dyDescent="0.2">
      <c r="A15" s="1066">
        <v>8</v>
      </c>
      <c r="B15" s="329" t="s">
        <v>2212</v>
      </c>
    </row>
    <row r="16" spans="1:2" x14ac:dyDescent="0.2">
      <c r="A16" s="1066">
        <v>9</v>
      </c>
      <c r="B16" s="329" t="s">
        <v>2215</v>
      </c>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c r="B66" s="258" t="str">
        <f>COVER!A17</f>
        <v>Pontiac CCSD 429</v>
      </c>
    </row>
    <row r="67" spans="1:2" x14ac:dyDescent="0.2">
      <c r="B67" s="1067">
        <f>COVER!A13</f>
        <v>17053429004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42" t="s">
        <v>1065</v>
      </c>
      <c r="B35" s="2242"/>
      <c r="C35" s="2242"/>
      <c r="D35" s="2242"/>
      <c r="E35" s="224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39" t="s">
        <v>691</v>
      </c>
      <c r="B40" s="2239"/>
      <c r="C40" s="2239"/>
      <c r="D40" s="2239"/>
      <c r="E40" s="2239"/>
    </row>
    <row r="41" spans="1:5" x14ac:dyDescent="0.2">
      <c r="A41" s="2240" t="s">
        <v>1608</v>
      </c>
      <c r="B41" s="2240"/>
      <c r="C41" s="2240"/>
      <c r="D41" s="2240"/>
      <c r="E41" s="2240"/>
    </row>
    <row r="42" spans="1:5" ht="12.75" customHeight="1" x14ac:dyDescent="0.2">
      <c r="A42" s="2241" t="s">
        <v>1022</v>
      </c>
      <c r="B42" s="2241"/>
      <c r="C42" s="2241"/>
      <c r="D42" s="2241"/>
      <c r="E42" s="224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525" t="s">
        <v>1685</v>
      </c>
      <c r="B18" s="252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447675</xdr:colOff>
                <xdr:row>2</xdr:row>
                <xdr:rowOff>95250</xdr:rowOff>
              </from>
              <to>
                <xdr:col>1</xdr:col>
                <xdr:colOff>1362075</xdr:colOff>
                <xdr:row>6</xdr:row>
                <xdr:rowOff>133350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1628775</xdr:colOff>
                <xdr:row>2</xdr:row>
                <xdr:rowOff>142875</xdr:rowOff>
              </from>
              <to>
                <xdr:col>1</xdr:col>
                <xdr:colOff>2543175</xdr:colOff>
                <xdr:row>7</xdr:row>
                <xdr:rowOff>9525</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26" t="s">
        <v>1690</v>
      </c>
      <c r="B1" s="2527"/>
      <c r="C1" s="2527"/>
      <c r="D1" s="2527"/>
      <c r="E1" s="2527"/>
      <c r="F1" s="2528"/>
    </row>
    <row r="2" spans="1:8" ht="45" customHeight="1" x14ac:dyDescent="0.2">
      <c r="A2" s="2536" t="s">
        <v>1984</v>
      </c>
      <c r="B2" s="2537"/>
      <c r="C2" s="2537"/>
      <c r="D2" s="2537"/>
      <c r="E2" s="2537"/>
      <c r="F2" s="2538"/>
      <c r="G2" s="1071"/>
      <c r="H2" s="1071"/>
    </row>
    <row r="3" spans="1:8" ht="57" customHeight="1" x14ac:dyDescent="0.2">
      <c r="A3" s="2539" t="s">
        <v>1686</v>
      </c>
      <c r="B3" s="2540"/>
      <c r="C3" s="2540"/>
      <c r="D3" s="2540"/>
      <c r="E3" s="2540"/>
      <c r="F3" s="2541"/>
      <c r="G3" s="1071"/>
      <c r="H3" s="1071"/>
    </row>
    <row r="4" spans="1:8" ht="14.25" customHeight="1" x14ac:dyDescent="0.2">
      <c r="A4" s="2545" t="s">
        <v>1985</v>
      </c>
      <c r="B4" s="2546"/>
      <c r="C4" s="2546"/>
      <c r="D4" s="2546"/>
      <c r="E4" s="2546"/>
      <c r="F4" s="2547"/>
      <c r="G4" s="1071"/>
      <c r="H4" s="1071"/>
    </row>
    <row r="5" spans="1:8" ht="14.25" customHeight="1" x14ac:dyDescent="0.2">
      <c r="A5" s="2548" t="s">
        <v>1981</v>
      </c>
      <c r="B5" s="2549"/>
      <c r="C5" s="2549"/>
      <c r="D5" s="2549"/>
      <c r="E5" s="2549"/>
      <c r="F5" s="2550"/>
      <c r="G5" s="1071"/>
      <c r="H5" s="1071"/>
    </row>
    <row r="6" spans="1:8" s="1072" customFormat="1" ht="41.25" customHeight="1" x14ac:dyDescent="0.2">
      <c r="A6" s="2542" t="s">
        <v>1691</v>
      </c>
      <c r="B6" s="2543"/>
      <c r="C6" s="2543"/>
      <c r="D6" s="2543"/>
      <c r="E6" s="2543"/>
      <c r="F6" s="2544"/>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12269393</v>
      </c>
      <c r="C8" s="1812">
        <f>'Acct Summary 7-8'!D8</f>
        <v>622305</v>
      </c>
      <c r="D8" s="1812">
        <f>'Acct Summary 7-8'!F8</f>
        <v>1110167</v>
      </c>
      <c r="E8" s="1812">
        <f>'Acct Summary 7-8'!I8</f>
        <v>31302</v>
      </c>
      <c r="F8" s="1812">
        <f>SUM(B8:E8)</f>
        <v>14033167</v>
      </c>
    </row>
    <row r="9" spans="1:8" s="1076" customFormat="1" ht="14.25" customHeight="1" thickBot="1" x14ac:dyDescent="0.25">
      <c r="A9" s="1075" t="s">
        <v>1369</v>
      </c>
      <c r="B9" s="1813">
        <f>'Acct Summary 7-8'!C17</f>
        <v>12202731</v>
      </c>
      <c r="C9" s="1813">
        <f>'Acct Summary 7-8'!D17</f>
        <v>614976</v>
      </c>
      <c r="D9" s="1813">
        <f>'Acct Summary 7-8'!F17</f>
        <v>1080987</v>
      </c>
      <c r="E9" s="1812"/>
      <c r="F9" s="1812">
        <f>SUM(B9:E9)</f>
        <v>13898694</v>
      </c>
    </row>
    <row r="10" spans="1:8" s="1076" customFormat="1" ht="14.25" thickTop="1" thickBot="1" x14ac:dyDescent="0.25">
      <c r="A10" s="1077" t="s">
        <v>1370</v>
      </c>
      <c r="B10" s="1814">
        <f>(B8-B9)</f>
        <v>66662</v>
      </c>
      <c r="C10" s="1814">
        <f>(C8-C9)</f>
        <v>7329</v>
      </c>
      <c r="D10" s="1814">
        <f>(D8-D9)</f>
        <v>29180</v>
      </c>
      <c r="E10" s="1813">
        <f>(E8-E9)</f>
        <v>31302</v>
      </c>
      <c r="F10" s="1815">
        <f>SUM(F8-F9)</f>
        <v>134473</v>
      </c>
    </row>
    <row r="11" spans="1:8" s="1076" customFormat="1" ht="14.25" thickTop="1" thickBot="1" x14ac:dyDescent="0.25">
      <c r="A11" s="1078" t="s">
        <v>1982</v>
      </c>
      <c r="B11" s="1816">
        <f>'Acct Summary 7-8'!C81</f>
        <v>2804646</v>
      </c>
      <c r="C11" s="1816">
        <f>'Acct Summary 7-8'!D81</f>
        <v>474616</v>
      </c>
      <c r="D11" s="1816">
        <f>'Acct Summary 7-8'!F81</f>
        <v>1799646</v>
      </c>
      <c r="E11" s="1816">
        <f>'Acct Summary 7-8'!I81</f>
        <v>2320449</v>
      </c>
      <c r="F11" s="1817">
        <f>SUM(B11:E11)</f>
        <v>7399357</v>
      </c>
    </row>
    <row r="12" spans="1:8" ht="16.5" customHeight="1" thickTop="1" x14ac:dyDescent="0.2">
      <c r="A12" s="1079"/>
      <c r="B12" s="1080"/>
      <c r="C12" s="2530" t="str">
        <f>IF(AND(F10&lt;0,F11&gt;=0,ABS(F10*3)&gt;ABS(F11)),A16,IF(AND(F10&lt;0,F11&gt;0,ABS(F10*3)&lt;=ABS(F11)),A17,IF(AND(F10&lt;0,F11&lt;0),A16,IF(F11=0,A19,A18))))</f>
        <v>Balanced - no deficit reduction plan is required.</v>
      </c>
      <c r="D12" s="2531"/>
      <c r="E12" s="2531"/>
      <c r="F12" s="2532"/>
    </row>
    <row r="13" spans="1:8" ht="19.5" customHeight="1" x14ac:dyDescent="0.2">
      <c r="A13" s="1081"/>
      <c r="B13" s="1082"/>
      <c r="C13" s="2530"/>
      <c r="D13" s="2531"/>
      <c r="E13" s="2531"/>
      <c r="F13" s="2532"/>
      <c r="H13" s="1071"/>
    </row>
    <row r="14" spans="1:8" ht="19.5" customHeight="1" x14ac:dyDescent="0.2">
      <c r="A14" s="1081"/>
      <c r="B14" s="1082"/>
      <c r="C14" s="2530"/>
      <c r="D14" s="2531"/>
      <c r="E14" s="2531"/>
      <c r="F14" s="2532"/>
      <c r="H14" s="1071"/>
    </row>
    <row r="15" spans="1:8" ht="17.25" customHeight="1" x14ac:dyDescent="0.2">
      <c r="A15" s="1081"/>
      <c r="B15" s="1082"/>
      <c r="C15" s="2533"/>
      <c r="D15" s="2534"/>
      <c r="E15" s="2534"/>
      <c r="F15" s="2535"/>
      <c r="H15" s="1071"/>
    </row>
    <row r="16" spans="1:8" s="310" customFormat="1" ht="51.75" hidden="1" customHeight="1" x14ac:dyDescent="0.2">
      <c r="A16" s="2529" t="s">
        <v>1687</v>
      </c>
      <c r="B16" s="2529"/>
      <c r="C16" s="2529"/>
      <c r="D16" s="2529"/>
      <c r="E16" s="2529"/>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551" t="s">
        <v>665</v>
      </c>
      <c r="B3" s="2552"/>
      <c r="C3" s="2552"/>
      <c r="D3" s="2553"/>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62" t="s">
        <v>1504</v>
      </c>
      <c r="D7" s="2563"/>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54" t="s">
        <v>1008</v>
      </c>
      <c r="B15" s="2555"/>
      <c r="C15" s="2555"/>
      <c r="D15" s="2556"/>
    </row>
    <row r="16" spans="1:4" s="665" customFormat="1" ht="24" customHeight="1" x14ac:dyDescent="0.2">
      <c r="A16" s="2557" t="s">
        <v>663</v>
      </c>
      <c r="B16" s="2558"/>
      <c r="C16" s="2558"/>
      <c r="D16" s="2559"/>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566" t="s">
        <v>314</v>
      </c>
      <c r="D21" s="2567"/>
    </row>
    <row r="22" spans="1:10" ht="12.75" x14ac:dyDescent="0.2">
      <c r="A22" s="1136"/>
      <c r="B22" s="1137">
        <v>2</v>
      </c>
      <c r="C22" s="2564" t="s">
        <v>1524</v>
      </c>
      <c r="D22" s="2565"/>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68" t="s">
        <v>536</v>
      </c>
      <c r="D43" s="2569"/>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60" t="s">
        <v>784</v>
      </c>
      <c r="D56" s="2561"/>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560" t="s">
        <v>1696</v>
      </c>
      <c r="D70" s="2561"/>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17053429004</v>
      </c>
    </row>
    <row r="3" spans="1:2" x14ac:dyDescent="0.2">
      <c r="A3" t="s">
        <v>956</v>
      </c>
      <c r="B3" s="138" t="str">
        <f>COVER!A15</f>
        <v>Livingston</v>
      </c>
    </row>
    <row r="4" spans="1:2" x14ac:dyDescent="0.2">
      <c r="A4" t="s">
        <v>1007</v>
      </c>
      <c r="B4" s="138" t="str">
        <f>COVER!A17</f>
        <v>Pontiac CCSD 429</v>
      </c>
    </row>
    <row r="5" spans="1:2" x14ac:dyDescent="0.2">
      <c r="A5" t="s">
        <v>704</v>
      </c>
      <c r="B5" s="138" t="str">
        <f>COVER!A38</f>
        <v>Brian Dukes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36251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1615730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2804646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2804646</v>
      </c>
      <c r="D92" s="2" t="str">
        <f t="shared" si="0"/>
        <v>Error?</v>
      </c>
    </row>
    <row r="93" spans="1:4" x14ac:dyDescent="0.2">
      <c r="A93" s="5">
        <v>32</v>
      </c>
      <c r="B93" s="138">
        <f>'Assets-Liab 5-6'!C41</f>
        <v>2804646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468459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474616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474616</v>
      </c>
      <c r="D123" s="2" t="str">
        <f t="shared" si="0"/>
        <v>Error?</v>
      </c>
    </row>
    <row r="124" spans="1:4" x14ac:dyDescent="0.2">
      <c r="A124" s="5">
        <v>63</v>
      </c>
      <c r="B124" s="138">
        <f>'Assets-Liab 5-6'!D41</f>
        <v>474616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v>
      </c>
      <c r="D129" s="2" t="str">
        <f t="shared" si="1"/>
        <v>Error?</v>
      </c>
    </row>
    <row r="130" spans="1:4" x14ac:dyDescent="0.2">
      <c r="A130" s="5">
        <v>69</v>
      </c>
      <c r="B130" s="138">
        <f>'Assets-Liab 5-6'!E12</f>
        <v>0</v>
      </c>
      <c r="D130" s="2" t="str">
        <f t="shared" si="1"/>
        <v>Error?</v>
      </c>
    </row>
    <row r="131" spans="1:4" x14ac:dyDescent="0.2">
      <c r="A131" s="5">
        <v>70</v>
      </c>
      <c r="B131" s="138">
        <f>'Assets-Liab 5-6'!E13</f>
        <v>8948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395</v>
      </c>
      <c r="D140" s="2" t="str">
        <f t="shared" si="1"/>
        <v>Error?</v>
      </c>
    </row>
    <row r="141" spans="1:4" x14ac:dyDescent="0.2">
      <c r="A141" s="5">
        <v>80</v>
      </c>
      <c r="B141" s="138">
        <f>'Assets-Liab 5-6'!E41</f>
        <v>8948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1795602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1799646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1799646</v>
      </c>
      <c r="D170" s="2" t="str">
        <f t="shared" si="1"/>
        <v>Error?</v>
      </c>
    </row>
    <row r="171" spans="1:4" x14ac:dyDescent="0.2">
      <c r="A171" s="5">
        <v>110</v>
      </c>
      <c r="B171" s="138">
        <f>'Assets-Liab 5-6'!F41</f>
        <v>1799646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178512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204447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118002</v>
      </c>
      <c r="D189" s="2" t="str">
        <f t="shared" si="1"/>
        <v>Error?</v>
      </c>
    </row>
    <row r="190" spans="1:4" x14ac:dyDescent="0.2">
      <c r="A190" s="5">
        <v>129</v>
      </c>
      <c r="B190" s="138">
        <f>'Assets-Liab 5-6'!G41</f>
        <v>204447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1231489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1257731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134493</v>
      </c>
      <c r="D212" s="2" t="str">
        <f t="shared" si="2"/>
        <v>Error?</v>
      </c>
    </row>
    <row r="213" spans="1:4" x14ac:dyDescent="0.2">
      <c r="A213" s="12">
        <v>152</v>
      </c>
      <c r="B213" s="138">
        <f>'Assets-Liab 5-6'!H41</f>
        <v>1257731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425059</v>
      </c>
      <c r="D273" s="2" t="str">
        <f t="shared" si="3"/>
        <v>Error?</v>
      </c>
    </row>
    <row r="274" spans="1:4" x14ac:dyDescent="0.2">
      <c r="A274" s="5">
        <v>213</v>
      </c>
      <c r="B274" s="138">
        <f>'Assets-Liab 5-6'!M17</f>
        <v>8352398</v>
      </c>
      <c r="D274" s="2" t="str">
        <f t="shared" si="3"/>
        <v>Error?</v>
      </c>
    </row>
    <row r="275" spans="1:4" x14ac:dyDescent="0.2">
      <c r="A275" s="5">
        <v>214</v>
      </c>
      <c r="B275" s="138">
        <f>'Assets-Liab 5-6'!M18</f>
        <v>426223</v>
      </c>
      <c r="D275" s="2" t="str">
        <f t="shared" si="3"/>
        <v>Error?</v>
      </c>
    </row>
    <row r="276" spans="1:4" x14ac:dyDescent="0.2">
      <c r="A276" s="5">
        <v>215</v>
      </c>
      <c r="B276" s="138">
        <f>'Assets-Liab 5-6'!M19</f>
        <v>1246240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10986917</v>
      </c>
      <c r="C279" s="2" t="s">
        <v>573</v>
      </c>
      <c r="D279" s="2" t="str">
        <f t="shared" si="3"/>
        <v>Error?</v>
      </c>
    </row>
    <row r="280" spans="1:4" x14ac:dyDescent="0.2">
      <c r="A280" s="5">
        <v>219</v>
      </c>
      <c r="B280" s="138">
        <f>'Assets-Liab 5-6'!M40</f>
        <v>10986917</v>
      </c>
      <c r="D280" s="2" t="str">
        <f t="shared" si="3"/>
        <v>Error?</v>
      </c>
    </row>
    <row r="281" spans="1:4" x14ac:dyDescent="0.2">
      <c r="A281" s="5">
        <v>220</v>
      </c>
      <c r="B281" s="138">
        <f>'Assets-Liab 5-6'!M41</f>
        <v>10986917</v>
      </c>
      <c r="C281" s="2" t="s">
        <v>573</v>
      </c>
      <c r="D281" s="2" t="str">
        <f t="shared" si="3"/>
        <v>Error?</v>
      </c>
    </row>
    <row r="282" spans="1:4" x14ac:dyDescent="0.2">
      <c r="A282" s="5">
        <v>221</v>
      </c>
      <c r="B282" s="138">
        <f>'Assets-Liab 5-6'!N21</f>
        <v>8948</v>
      </c>
      <c r="D282" s="2" t="str">
        <f t="shared" si="3"/>
        <v>Error?</v>
      </c>
    </row>
    <row r="283" spans="1:4" x14ac:dyDescent="0.2">
      <c r="A283" s="5">
        <v>222</v>
      </c>
      <c r="B283" s="138">
        <f>'Assets-Liab 5-6'!N22</f>
        <v>2338036</v>
      </c>
      <c r="D283" s="2" t="str">
        <f t="shared" si="3"/>
        <v>Error?</v>
      </c>
    </row>
    <row r="284" spans="1:4" x14ac:dyDescent="0.2">
      <c r="A284" s="5">
        <v>223</v>
      </c>
      <c r="B284" s="138">
        <f>'Assets-Liab 5-6'!N23</f>
        <v>2346984</v>
      </c>
      <c r="C284" s="2" t="s">
        <v>573</v>
      </c>
      <c r="D284" s="2" t="str">
        <f t="shared" si="3"/>
        <v>Error?</v>
      </c>
    </row>
    <row r="285" spans="1:4" x14ac:dyDescent="0.2">
      <c r="A285" s="5">
        <v>224</v>
      </c>
      <c r="B285" s="138">
        <f>'Assets-Liab 5-6'!N36</f>
        <v>2346984</v>
      </c>
      <c r="D285" s="2" t="str">
        <f t="shared" si="3"/>
        <v>Error?</v>
      </c>
    </row>
    <row r="286" spans="1:4" x14ac:dyDescent="0.2">
      <c r="A286" s="10">
        <v>225</v>
      </c>
      <c r="D286" s="2" t="str">
        <f t="shared" si="3"/>
        <v>OK</v>
      </c>
    </row>
    <row r="287" spans="1:4" x14ac:dyDescent="0.2">
      <c r="A287" s="5">
        <v>226</v>
      </c>
      <c r="B287" s="138">
        <f>'Assets-Liab 5-6'!N37</f>
        <v>2346984</v>
      </c>
      <c r="C287" s="2" t="s">
        <v>573</v>
      </c>
      <c r="D287" s="2" t="str">
        <f t="shared" si="3"/>
        <v>Error?</v>
      </c>
    </row>
    <row r="288" spans="1:4" x14ac:dyDescent="0.2">
      <c r="A288" s="5">
        <v>227</v>
      </c>
      <c r="B288" s="138">
        <f>'Assets-Liab 5-6'!N41</f>
        <v>2346984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999000</v>
      </c>
      <c r="D618" s="2" t="str">
        <f t="shared" si="8"/>
        <v>Error?</v>
      </c>
    </row>
    <row r="619" spans="1:4" x14ac:dyDescent="0.2">
      <c r="A619" s="5">
        <v>558</v>
      </c>
      <c r="B619" s="138">
        <f>'Acct Summary 7-8'!H34</f>
        <v>21607</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4578644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110884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7113208</v>
      </c>
      <c r="C720" s="2" t="s">
        <v>573</v>
      </c>
      <c r="D720" s="2" t="str">
        <f t="shared" si="10"/>
        <v>Error?</v>
      </c>
    </row>
    <row r="721" spans="1:4" x14ac:dyDescent="0.2">
      <c r="A721" s="5">
        <v>660</v>
      </c>
      <c r="B721" s="138">
        <f>'Expenditures 15-22'!C36</f>
        <v>186441</v>
      </c>
      <c r="D721" s="2" t="str">
        <f t="shared" si="10"/>
        <v>Error?</v>
      </c>
    </row>
    <row r="722" spans="1:4" x14ac:dyDescent="0.2">
      <c r="A722" s="5">
        <v>661</v>
      </c>
      <c r="B722" s="138">
        <f>'Expenditures 15-22'!C37</f>
        <v>69947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64226</v>
      </c>
      <c r="D724" s="2" t="str">
        <f t="shared" si="10"/>
        <v>Error?</v>
      </c>
    </row>
    <row r="725" spans="1:4" x14ac:dyDescent="0.2">
      <c r="A725" s="5">
        <v>664</v>
      </c>
      <c r="B725" s="138">
        <f>'Expenditures 15-22'!C40</f>
        <v>48524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369138</v>
      </c>
      <c r="C727" s="2" t="s">
        <v>573</v>
      </c>
      <c r="D727" s="2" t="str">
        <f t="shared" si="10"/>
        <v>Error?</v>
      </c>
    </row>
    <row r="728" spans="1:4" x14ac:dyDescent="0.2">
      <c r="A728" s="5">
        <v>667</v>
      </c>
      <c r="B728" s="138">
        <f>'Expenditures 15-22'!C44</f>
        <v>5912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4000</v>
      </c>
      <c r="D730" s="2" t="str">
        <f t="shared" si="10"/>
        <v>Error?</v>
      </c>
    </row>
    <row r="731" spans="1:4" x14ac:dyDescent="0.2">
      <c r="A731" s="5">
        <v>670</v>
      </c>
      <c r="B731" s="138">
        <f>'Expenditures 15-22'!C47</f>
        <v>9912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168919</v>
      </c>
      <c r="D733" s="2" t="str">
        <f t="shared" si="10"/>
        <v>Error?</v>
      </c>
    </row>
    <row r="734" spans="1:4" x14ac:dyDescent="0.2">
      <c r="A734" s="5">
        <v>673</v>
      </c>
      <c r="B734" s="138">
        <f>'Expenditures 15-22'!C53</f>
        <v>404651</v>
      </c>
      <c r="C734" s="2" t="s">
        <v>573</v>
      </c>
      <c r="D734" s="2" t="str">
        <f t="shared" si="10"/>
        <v>Error?</v>
      </c>
    </row>
    <row r="735" spans="1:4" x14ac:dyDescent="0.2">
      <c r="A735" s="5">
        <v>674</v>
      </c>
      <c r="B735" s="138">
        <f>'Expenditures 15-22'!C55</f>
        <v>567261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567261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63317</v>
      </c>
      <c r="D739" s="2" t="str">
        <f t="shared" si="10"/>
        <v>Error?</v>
      </c>
    </row>
    <row r="740" spans="1:4" x14ac:dyDescent="0.2">
      <c r="A740" s="5">
        <v>679</v>
      </c>
      <c r="B740" s="138">
        <f>'Expenditures 15-22'!C61</f>
        <v>365676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207720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636713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87832</v>
      </c>
      <c r="D747" s="2" t="str">
        <f t="shared" si="10"/>
        <v>Error?</v>
      </c>
    </row>
    <row r="748" spans="1:4" x14ac:dyDescent="0.2">
      <c r="A748" s="5">
        <v>687</v>
      </c>
      <c r="B748" s="138">
        <f>'Expenditures 15-22'!C69</f>
        <v>109940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197772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2185447</v>
      </c>
      <c r="C755" s="2" t="s">
        <v>573</v>
      </c>
      <c r="D755" s="2" t="str">
        <f t="shared" si="10"/>
        <v>Error?</v>
      </c>
    </row>
    <row r="756" spans="1:4" x14ac:dyDescent="0.2">
      <c r="A756" s="5">
        <v>695</v>
      </c>
      <c r="B756" s="138">
        <f>'Expenditures 15-22'!C75</f>
        <v>22320</v>
      </c>
      <c r="D756" s="2" t="str">
        <f t="shared" si="10"/>
        <v>Error?</v>
      </c>
    </row>
    <row r="757" spans="1:4" x14ac:dyDescent="0.2">
      <c r="A757" s="5">
        <v>696</v>
      </c>
      <c r="B757" s="138">
        <f>'Expenditures 15-22'!C114</f>
        <v>9320975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677964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2778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1051675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418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418</v>
      </c>
      <c r="C785" s="2" t="s">
        <v>573</v>
      </c>
      <c r="D785" s="2" t="str">
        <f t="shared" si="11"/>
        <v>Error?</v>
      </c>
    </row>
    <row r="786" spans="1:4" x14ac:dyDescent="0.2">
      <c r="A786" s="5">
        <v>725</v>
      </c>
      <c r="B786" s="138">
        <f>'Expenditures 15-22'!D44</f>
        <v>23546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394</v>
      </c>
      <c r="D788" s="2" t="str">
        <f t="shared" si="11"/>
        <v>Error?</v>
      </c>
    </row>
    <row r="789" spans="1:4" x14ac:dyDescent="0.2">
      <c r="A789" s="5">
        <v>728</v>
      </c>
      <c r="B789" s="138">
        <f>'Expenditures 15-22'!D47</f>
        <v>23940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29632</v>
      </c>
      <c r="D791" s="2" t="str">
        <f t="shared" si="11"/>
        <v>Error?</v>
      </c>
    </row>
    <row r="792" spans="1:4" x14ac:dyDescent="0.2">
      <c r="A792" s="5">
        <v>731</v>
      </c>
      <c r="B792" s="138">
        <f>'Expenditures 15-22'!D53</f>
        <v>43381</v>
      </c>
      <c r="C792" s="2" t="s">
        <v>573</v>
      </c>
      <c r="D792" s="2" t="str">
        <f t="shared" si="11"/>
        <v>Error?</v>
      </c>
    </row>
    <row r="793" spans="1:4" x14ac:dyDescent="0.2">
      <c r="A793" s="5">
        <v>732</v>
      </c>
      <c r="B793" s="138">
        <f>'Expenditures 15-22'!D55</f>
        <v>105189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105189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v>
      </c>
      <c r="D797" s="2" t="str">
        <f t="shared" si="11"/>
        <v>Error?</v>
      </c>
    </row>
    <row r="798" spans="1:4" x14ac:dyDescent="0.2">
      <c r="A798" s="5">
        <v>737</v>
      </c>
      <c r="B798" s="138">
        <f>'Expenditures 15-22'!D61</f>
        <v>35571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41053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76631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17296</v>
      </c>
      <c r="D805" s="2" t="str">
        <f t="shared" si="11"/>
        <v>Error?</v>
      </c>
    </row>
    <row r="806" spans="1:4" x14ac:dyDescent="0.2">
      <c r="A806" s="5">
        <v>745</v>
      </c>
      <c r="B806" s="138">
        <f>'Expenditures 15-22'!D69</f>
        <v>7187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24483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274042</v>
      </c>
      <c r="C813" s="2" t="s">
        <v>573</v>
      </c>
      <c r="D813" s="2" t="str">
        <f t="shared" si="11"/>
        <v>Error?</v>
      </c>
    </row>
    <row r="814" spans="1:4" x14ac:dyDescent="0.2">
      <c r="A814" s="5">
        <v>753</v>
      </c>
      <c r="B814" s="138">
        <f>'Expenditures 15-22'!D75</f>
        <v>1914</v>
      </c>
      <c r="D814" s="2" t="str">
        <f t="shared" si="11"/>
        <v>Error?</v>
      </c>
    </row>
    <row r="815" spans="1:4" x14ac:dyDescent="0.2">
      <c r="A815" s="5">
        <v>754</v>
      </c>
      <c r="B815" s="138">
        <f>'Expenditures 15-22'!D114</f>
        <v>1327631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14177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101248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3374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3374</v>
      </c>
      <c r="C843" s="2" t="s">
        <v>573</v>
      </c>
      <c r="D843" s="2" t="str">
        <f t="shared" si="12"/>
        <v>Error?</v>
      </c>
    </row>
    <row r="844" spans="1:4" x14ac:dyDescent="0.2">
      <c r="A844" s="5">
        <v>783</v>
      </c>
      <c r="B844" s="138">
        <f>'Expenditures 15-22'!E44</f>
        <v>32095</v>
      </c>
      <c r="D844" s="2" t="str">
        <f t="shared" si="12"/>
        <v>Error?</v>
      </c>
    </row>
    <row r="845" spans="1:4" x14ac:dyDescent="0.2">
      <c r="A845" s="5">
        <v>784</v>
      </c>
      <c r="B845" s="138">
        <f>'Expenditures 15-22'!E45</f>
        <v>8250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40345</v>
      </c>
      <c r="C847" s="2" t="s">
        <v>573</v>
      </c>
      <c r="D847" s="2" t="str">
        <f t="shared" si="12"/>
        <v>Error?</v>
      </c>
    </row>
    <row r="848" spans="1:4" x14ac:dyDescent="0.2">
      <c r="A848" s="5">
        <v>787</v>
      </c>
      <c r="B848" s="138">
        <f>'Expenditures 15-22'!E49</f>
        <v>24833</v>
      </c>
      <c r="D848" s="2" t="str">
        <f t="shared" si="12"/>
        <v>Error?</v>
      </c>
    </row>
    <row r="849" spans="1:4" x14ac:dyDescent="0.2">
      <c r="A849" s="5">
        <v>788</v>
      </c>
      <c r="B849" s="138">
        <f>'Expenditures 15-22'!E50</f>
        <v>5975</v>
      </c>
      <c r="D849" s="2" t="str">
        <f t="shared" si="12"/>
        <v>Error?</v>
      </c>
    </row>
    <row r="850" spans="1:4" x14ac:dyDescent="0.2">
      <c r="A850" s="5">
        <v>789</v>
      </c>
      <c r="B850" s="138">
        <f>'Expenditures 15-22'!E53</f>
        <v>37497</v>
      </c>
      <c r="C850" s="2" t="s">
        <v>573</v>
      </c>
      <c r="D850" s="2" t="str">
        <f t="shared" si="12"/>
        <v>Error?</v>
      </c>
    </row>
    <row r="851" spans="1:4" x14ac:dyDescent="0.2">
      <c r="A851" s="5">
        <v>790</v>
      </c>
      <c r="B851" s="138">
        <f>'Expenditures 15-22'!E55</f>
        <v>1333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1333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5345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682</v>
      </c>
      <c r="D863" s="2" t="str">
        <f t="shared" si="12"/>
        <v>Error?</v>
      </c>
    </row>
    <row r="864" spans="1:4" x14ac:dyDescent="0.2">
      <c r="A864" s="5">
        <v>803</v>
      </c>
      <c r="B864" s="138">
        <f>'Expenditures 15-22'!E69</f>
        <v>66116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1250</v>
      </c>
      <c r="D867" s="2" t="str">
        <f t="shared" si="12"/>
        <v>Error?</v>
      </c>
    </row>
    <row r="868" spans="1:4" x14ac:dyDescent="0.2">
      <c r="A868" s="10">
        <v>807</v>
      </c>
      <c r="D868" s="2" t="str">
        <f t="shared" si="12"/>
        <v>OK</v>
      </c>
    </row>
    <row r="869" spans="1:4" x14ac:dyDescent="0.2">
      <c r="A869" s="5">
        <v>808</v>
      </c>
      <c r="B869" s="138">
        <f>'Expenditures 15-22'!E72</f>
        <v>68048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155942</v>
      </c>
      <c r="C871" s="2" t="s">
        <v>573</v>
      </c>
      <c r="D871" s="2" t="str">
        <f t="shared" si="12"/>
        <v>Error?</v>
      </c>
    </row>
    <row r="872" spans="1:4" x14ac:dyDescent="0.2">
      <c r="A872" s="5">
        <v>811</v>
      </c>
      <c r="B872" s="138">
        <f>'Expenditures 15-22'!E75</f>
        <v>6610</v>
      </c>
      <c r="D872" s="2" t="str">
        <f t="shared" si="12"/>
        <v>Error?</v>
      </c>
    </row>
    <row r="873" spans="1:4" x14ac:dyDescent="0.2">
      <c r="A873" s="5">
        <v>812</v>
      </c>
      <c r="B873" s="138">
        <f>'Expenditures 15-22'!E114</f>
        <v>263800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143268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252266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1007</v>
      </c>
      <c r="D898" s="2" t="str">
        <f t="shared" si="13"/>
        <v>Error?</v>
      </c>
    </row>
    <row r="899" spans="1:4" x14ac:dyDescent="0.2">
      <c r="A899" s="5">
        <v>838</v>
      </c>
      <c r="B899" s="138">
        <f>'Expenditures 15-22'!F40</f>
        <v>25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1032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18843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18843</v>
      </c>
      <c r="C905" s="2" t="s">
        <v>573</v>
      </c>
      <c r="D905" s="2" t="str">
        <f t="shared" si="13"/>
        <v>Error?</v>
      </c>
    </row>
    <row r="906" spans="1:4" x14ac:dyDescent="0.2">
      <c r="A906" s="5">
        <v>845</v>
      </c>
      <c r="B906" s="138">
        <f>'Expenditures 15-22'!F49</f>
        <v>16960</v>
      </c>
      <c r="D906" s="2" t="str">
        <f t="shared" si="13"/>
        <v>Error?</v>
      </c>
    </row>
    <row r="907" spans="1:4" x14ac:dyDescent="0.2">
      <c r="A907" s="5">
        <v>846</v>
      </c>
      <c r="B907" s="138">
        <f>'Expenditures 15-22'!F50</f>
        <v>672</v>
      </c>
      <c r="D907" s="2" t="str">
        <f t="shared" si="13"/>
        <v>Error?</v>
      </c>
    </row>
    <row r="908" spans="1:4" x14ac:dyDescent="0.2">
      <c r="A908" s="5">
        <v>847</v>
      </c>
      <c r="B908" s="138">
        <f>'Expenditures 15-22'!F53</f>
        <v>18614</v>
      </c>
      <c r="C908" s="2" t="s">
        <v>573</v>
      </c>
      <c r="D908" s="2" t="str">
        <f t="shared" si="13"/>
        <v>Error?</v>
      </c>
    </row>
    <row r="909" spans="1:4" x14ac:dyDescent="0.2">
      <c r="A909" s="5">
        <v>848</v>
      </c>
      <c r="B909" s="138">
        <f>'Expenditures 15-22'!F55</f>
        <v>15371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15371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8867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308200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317067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486</v>
      </c>
      <c r="D921" s="2" t="str">
        <f t="shared" si="13"/>
        <v>Error?</v>
      </c>
    </row>
    <row r="922" spans="1:4" x14ac:dyDescent="0.2">
      <c r="A922" s="5">
        <v>861</v>
      </c>
      <c r="B922" s="138">
        <f>'Expenditures 15-22'!F69</f>
        <v>51347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51833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422760</v>
      </c>
      <c r="C929" s="2" t="s">
        <v>573</v>
      </c>
      <c r="D929" s="2" t="str">
        <f t="shared" si="13"/>
        <v>Error?</v>
      </c>
    </row>
    <row r="930" spans="1:4" x14ac:dyDescent="0.2">
      <c r="A930" s="5">
        <v>869</v>
      </c>
      <c r="B930" s="138">
        <f>'Expenditures 15-22'!F75</f>
        <v>7403</v>
      </c>
      <c r="D930" s="2" t="str">
        <f t="shared" si="13"/>
        <v>Error?</v>
      </c>
    </row>
    <row r="931" spans="1:4" x14ac:dyDescent="0.2">
      <c r="A931" s="5">
        <v>870</v>
      </c>
      <c r="B931" s="138">
        <f>'Expenditures 15-22'!F114</f>
        <v>682429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38697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68697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6251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6251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6251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74948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421013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5522</v>
      </c>
      <c r="D1022" s="2" t="str">
        <f t="shared" si="14"/>
        <v>Error?</v>
      </c>
    </row>
    <row r="1023" spans="1:4" x14ac:dyDescent="0.2">
      <c r="A1023" s="5">
        <v>962</v>
      </c>
      <c r="B1023" s="138">
        <f>'Expenditures 15-22'!H50</f>
        <v>4358</v>
      </c>
      <c r="D1023" s="2" t="str">
        <f t="shared" ref="D1023:D1086" si="15">IF(ISBLANK(B1023),"OK",IF(A1023-B1023=0,"OK","Error?"))</f>
        <v>Error?</v>
      </c>
    </row>
    <row r="1024" spans="1:4" x14ac:dyDescent="0.2">
      <c r="A1024" s="5">
        <v>963</v>
      </c>
      <c r="B1024" s="138">
        <f>'Expenditures 15-22'!H53</f>
        <v>10430</v>
      </c>
      <c r="C1024" s="2" t="s">
        <v>573</v>
      </c>
      <c r="D1024" s="2" t="str">
        <f t="shared" si="15"/>
        <v>Error?</v>
      </c>
    </row>
    <row r="1025" spans="1:4" x14ac:dyDescent="0.2">
      <c r="A1025" s="5">
        <v>964</v>
      </c>
      <c r="B1025" s="138">
        <f>'Expenditures 15-22'!H55</f>
        <v>790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405</v>
      </c>
      <c r="D1037" s="2" t="str">
        <f t="shared" si="15"/>
        <v>Error?</v>
      </c>
    </row>
    <row r="1038" spans="1:4" x14ac:dyDescent="0.2">
      <c r="A1038" s="5">
        <v>977</v>
      </c>
      <c r="B1038" s="138">
        <f>'Expenditures 15-22'!H69</f>
        <v>38764</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39169</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50389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61546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532948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5453403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116682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9008107</v>
      </c>
      <c r="C1108" s="2" t="s">
        <v>573</v>
      </c>
      <c r="D1108" s="2" t="str">
        <f t="shared" si="16"/>
        <v>Error?</v>
      </c>
    </row>
    <row r="1109" spans="1:4" x14ac:dyDescent="0.2">
      <c r="A1109" s="5">
        <v>1048</v>
      </c>
      <c r="B1109" s="138">
        <f>'Expenditures 15-22'!K36</f>
        <v>186441</v>
      </c>
      <c r="C1109" s="2" t="s">
        <v>573</v>
      </c>
      <c r="D1109" s="2" t="str">
        <f t="shared" si="16"/>
        <v>Error?</v>
      </c>
    </row>
    <row r="1110" spans="1:4" x14ac:dyDescent="0.2">
      <c r="A1110" s="5">
        <v>1049</v>
      </c>
      <c r="B1110" s="138">
        <f>'Expenditures 15-22'!K37</f>
        <v>69947</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65233</v>
      </c>
      <c r="C1112" s="2" t="s">
        <v>573</v>
      </c>
      <c r="D1112" s="2" t="str">
        <f t="shared" si="16"/>
        <v>Error?</v>
      </c>
    </row>
    <row r="1113" spans="1:4" x14ac:dyDescent="0.2">
      <c r="A1113" s="5">
        <v>1052</v>
      </c>
      <c r="B1113" s="138">
        <f>'Expenditures 15-22'!K40</f>
        <v>52341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373962</v>
      </c>
      <c r="C1115" s="2" t="s">
        <v>573</v>
      </c>
      <c r="D1115" s="2" t="str">
        <f t="shared" si="16"/>
        <v>Error?</v>
      </c>
    </row>
    <row r="1116" spans="1:4" x14ac:dyDescent="0.2">
      <c r="A1116" s="5">
        <v>1055</v>
      </c>
      <c r="B1116" s="138">
        <f>'Expenditures 15-22'!K44</f>
        <v>61553</v>
      </c>
      <c r="C1116" s="2" t="s">
        <v>573</v>
      </c>
      <c r="D1116" s="2" t="str">
        <f t="shared" si="16"/>
        <v>Error?</v>
      </c>
    </row>
    <row r="1117" spans="1:4" x14ac:dyDescent="0.2">
      <c r="A1117" s="5">
        <v>1056</v>
      </c>
      <c r="B1117" s="138">
        <f>'Expenditures 15-22'!K45</f>
        <v>33344</v>
      </c>
      <c r="C1117" s="2" t="s">
        <v>573</v>
      </c>
      <c r="D1117" s="2" t="str">
        <f t="shared" si="16"/>
        <v>Error?</v>
      </c>
    </row>
    <row r="1118" spans="1:4" x14ac:dyDescent="0.2">
      <c r="A1118" s="5">
        <v>1057</v>
      </c>
      <c r="B1118" s="138">
        <f>'Expenditures 15-22'!K46</f>
        <v>4394</v>
      </c>
      <c r="C1118" s="2" t="s">
        <v>573</v>
      </c>
      <c r="D1118" s="2" t="str">
        <f t="shared" si="16"/>
        <v>Error?</v>
      </c>
    </row>
    <row r="1119" spans="1:4" x14ac:dyDescent="0.2">
      <c r="A1119" s="5">
        <v>1058</v>
      </c>
      <c r="B1119" s="138">
        <f>'Expenditures 15-22'!K47</f>
        <v>99291</v>
      </c>
      <c r="C1119" s="2" t="s">
        <v>573</v>
      </c>
      <c r="D1119" s="2" t="str">
        <f t="shared" si="16"/>
        <v>Error?</v>
      </c>
    </row>
    <row r="1120" spans="1:4" x14ac:dyDescent="0.2">
      <c r="A1120" s="5">
        <v>1059</v>
      </c>
      <c r="B1120" s="138">
        <f>'Expenditures 15-22'!K49</f>
        <v>47315</v>
      </c>
      <c r="C1120" s="2" t="s">
        <v>573</v>
      </c>
      <c r="D1120" s="2" t="str">
        <f t="shared" si="16"/>
        <v>Error?</v>
      </c>
    </row>
    <row r="1121" spans="1:4" x14ac:dyDescent="0.2">
      <c r="A1121" s="5">
        <v>1060</v>
      </c>
      <c r="B1121" s="138">
        <f>'Expenditures 15-22'!K50</f>
        <v>209556</v>
      </c>
      <c r="C1121" s="2" t="s">
        <v>573</v>
      </c>
      <c r="D1121" s="2" t="str">
        <f t="shared" si="16"/>
        <v>Error?</v>
      </c>
    </row>
    <row r="1122" spans="1:4" x14ac:dyDescent="0.2">
      <c r="A1122" s="5">
        <v>1061</v>
      </c>
      <c r="B1122" s="138">
        <f>'Expenditures 15-22'!K53</f>
        <v>514573</v>
      </c>
      <c r="C1122" s="2" t="s">
        <v>573</v>
      </c>
      <c r="D1122" s="2" t="str">
        <f t="shared" si="16"/>
        <v>Error?</v>
      </c>
    </row>
    <row r="1123" spans="1:4" x14ac:dyDescent="0.2">
      <c r="A1123" s="5">
        <v>1062</v>
      </c>
      <c r="B1123" s="138">
        <f>'Expenditures 15-22'!K55</f>
        <v>689944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689944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72191</v>
      </c>
      <c r="C1127" s="2" t="s">
        <v>573</v>
      </c>
      <c r="D1127" s="2" t="str">
        <f t="shared" si="16"/>
        <v>Error?</v>
      </c>
    </row>
    <row r="1128" spans="1:4" x14ac:dyDescent="0.2">
      <c r="A1128" s="5">
        <v>1067</v>
      </c>
      <c r="B1128" s="138">
        <f>'Expenditures 15-22'!K61</f>
        <v>401247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562318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1035756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106701</v>
      </c>
      <c r="C1135" s="2" t="s">
        <v>573</v>
      </c>
      <c r="D1135" s="2" t="str">
        <f t="shared" si="16"/>
        <v>Error?</v>
      </c>
    </row>
    <row r="1136" spans="1:4" x14ac:dyDescent="0.2">
      <c r="A1136" s="5">
        <v>1075</v>
      </c>
      <c r="B1136" s="138">
        <f>'Expenditures 15-22'!K69</f>
        <v>273354</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1250</v>
      </c>
      <c r="C1139" s="2" t="s">
        <v>573</v>
      </c>
      <c r="D1139" s="2" t="str">
        <f t="shared" si="16"/>
        <v>Error?</v>
      </c>
    </row>
    <row r="1140" spans="1:4" x14ac:dyDescent="0.2">
      <c r="A1140" s="10">
        <v>1079</v>
      </c>
      <c r="D1140" s="2" t="str">
        <f t="shared" si="16"/>
        <v>OK</v>
      </c>
    </row>
    <row r="1141" spans="1:4" x14ac:dyDescent="0.2">
      <c r="A1141" s="5">
        <v>1080</v>
      </c>
      <c r="B1141" s="138">
        <f>'Expenditures 15-22'!K72</f>
        <v>381305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3094831</v>
      </c>
      <c r="C1143" s="2" t="s">
        <v>573</v>
      </c>
      <c r="D1143" s="2" t="str">
        <f t="shared" si="16"/>
        <v>Error?</v>
      </c>
    </row>
    <row r="1144" spans="1:4" x14ac:dyDescent="0.2">
      <c r="A1144" s="5">
        <v>1083</v>
      </c>
      <c r="B1144" s="138">
        <f>'Expenditures 15-22'!K75</f>
        <v>38247</v>
      </c>
      <c r="C1144" s="2" t="s">
        <v>573</v>
      </c>
      <c r="D1144" s="2" t="str">
        <f t="shared" si="16"/>
        <v>Error?</v>
      </c>
    </row>
    <row r="1145" spans="1:4" x14ac:dyDescent="0.2">
      <c r="A1145" s="5">
        <v>1084</v>
      </c>
      <c r="B1145" s="138">
        <f>'Expenditures 15-22'!K102</f>
        <v>61546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12202731</v>
      </c>
      <c r="C1152" s="2" t="s">
        <v>573</v>
      </c>
      <c r="D1152" s="2" t="str">
        <f t="shared" si="17"/>
        <v>Error?</v>
      </c>
    </row>
    <row r="1153" spans="1:4" x14ac:dyDescent="0.2">
      <c r="A1153" s="5">
        <v>1092</v>
      </c>
      <c r="B1153" s="138">
        <f>'Expenditures 15-22'!K115</f>
        <v>66662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100597</v>
      </c>
      <c r="D1221" s="2" t="str">
        <f t="shared" si="18"/>
        <v>Error?</v>
      </c>
    </row>
    <row r="1222" spans="1:4" x14ac:dyDescent="0.2">
      <c r="A1222" s="10">
        <v>1161</v>
      </c>
      <c r="D1222" s="2" t="str">
        <f t="shared" si="18"/>
        <v>OK</v>
      </c>
    </row>
    <row r="1223" spans="1:4" x14ac:dyDescent="0.2">
      <c r="A1223" s="5">
        <v>1162</v>
      </c>
      <c r="B1223" s="138">
        <f>'Expenditures 15-22'!C127</f>
        <v>100597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100597</v>
      </c>
      <c r="C1225" s="2" t="s">
        <v>573</v>
      </c>
      <c r="D1225" s="2" t="str">
        <f t="shared" si="18"/>
        <v>Error?</v>
      </c>
    </row>
    <row r="1226" spans="1:4" x14ac:dyDescent="0.2">
      <c r="A1226" s="5">
        <v>1165</v>
      </c>
      <c r="B1226" s="138">
        <f>'Expenditures 15-22'!C151</f>
        <v>100597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14220</v>
      </c>
      <c r="D1229" s="2" t="str">
        <f t="shared" si="18"/>
        <v>Error?</v>
      </c>
    </row>
    <row r="1230" spans="1:4" x14ac:dyDescent="0.2">
      <c r="A1230" s="10">
        <v>1169</v>
      </c>
      <c r="D1230" s="2" t="str">
        <f t="shared" si="18"/>
        <v>OK</v>
      </c>
    </row>
    <row r="1231" spans="1:4" x14ac:dyDescent="0.2">
      <c r="A1231" s="5">
        <v>1170</v>
      </c>
      <c r="B1231" s="138">
        <f>'Expenditures 15-22'!D127</f>
        <v>14220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14220</v>
      </c>
      <c r="C1233" s="2" t="s">
        <v>573</v>
      </c>
      <c r="D1233" s="2" t="str">
        <f t="shared" si="18"/>
        <v>Error?</v>
      </c>
    </row>
    <row r="1234" spans="1:4" x14ac:dyDescent="0.2">
      <c r="A1234" s="5">
        <v>1173</v>
      </c>
      <c r="B1234" s="138">
        <f>'Expenditures 15-22'!D151</f>
        <v>14220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250082</v>
      </c>
      <c r="D1237" s="2" t="str">
        <f t="shared" si="18"/>
        <v>Error?</v>
      </c>
    </row>
    <row r="1238" spans="1:4" x14ac:dyDescent="0.2">
      <c r="A1238" s="10">
        <v>1177</v>
      </c>
      <c r="D1238" s="2" t="str">
        <f t="shared" si="18"/>
        <v>OK</v>
      </c>
    </row>
    <row r="1239" spans="1:4" x14ac:dyDescent="0.2">
      <c r="A1239" s="5">
        <v>1178</v>
      </c>
      <c r="B1239" s="138">
        <f>'Expenditures 15-22'!E127</f>
        <v>250082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250082</v>
      </c>
      <c r="C1241" s="2" t="s">
        <v>573</v>
      </c>
      <c r="D1241" s="2" t="str">
        <f t="shared" si="18"/>
        <v>Error?</v>
      </c>
    </row>
    <row r="1242" spans="1:4" x14ac:dyDescent="0.2">
      <c r="A1242" s="5">
        <v>1181</v>
      </c>
      <c r="B1242" s="138">
        <f>'Expenditures 15-22'!E151</f>
        <v>250082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250077</v>
      </c>
      <c r="D1245" s="2" t="str">
        <f t="shared" si="18"/>
        <v>Error?</v>
      </c>
    </row>
    <row r="1246" spans="1:4" x14ac:dyDescent="0.2">
      <c r="A1246" s="10">
        <v>1185</v>
      </c>
      <c r="D1246" s="2" t="str">
        <f t="shared" si="18"/>
        <v>OK</v>
      </c>
    </row>
    <row r="1247" spans="1:4" x14ac:dyDescent="0.2">
      <c r="A1247" s="5">
        <v>1186</v>
      </c>
      <c r="B1247" s="138">
        <f>'Expenditures 15-22'!F127</f>
        <v>250077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250077</v>
      </c>
      <c r="C1249" s="2" t="s">
        <v>573</v>
      </c>
      <c r="D1249" s="2" t="str">
        <f t="shared" si="18"/>
        <v>Error?</v>
      </c>
    </row>
    <row r="1250" spans="1:4" x14ac:dyDescent="0.2">
      <c r="A1250" s="5">
        <v>1189</v>
      </c>
      <c r="B1250" s="138">
        <f>'Expenditures 15-22'!F151</f>
        <v>250077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614976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614976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614976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614976</v>
      </c>
      <c r="C1288" s="2" t="s">
        <v>573</v>
      </c>
      <c r="D1288" s="2" t="str">
        <f t="shared" si="19"/>
        <v>Error?</v>
      </c>
    </row>
    <row r="1289" spans="1:4" x14ac:dyDescent="0.2">
      <c r="A1289" s="5">
        <v>1228</v>
      </c>
      <c r="B1289" s="138">
        <f>'Expenditures 15-22'!K152</f>
        <v>7329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73164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497016</v>
      </c>
      <c r="D1315" s="2" t="str">
        <f t="shared" si="19"/>
        <v>Error?</v>
      </c>
    </row>
    <row r="1316" spans="1:4" x14ac:dyDescent="0.2">
      <c r="A1316" s="5">
        <v>1255</v>
      </c>
      <c r="B1316" s="138">
        <f>'Expenditures 15-22'!H171</f>
        <v>350</v>
      </c>
      <c r="D1316" s="2" t="str">
        <f t="shared" si="19"/>
        <v>Error?</v>
      </c>
    </row>
    <row r="1317" spans="1:4" x14ac:dyDescent="0.2">
      <c r="A1317" s="5">
        <v>1256</v>
      </c>
      <c r="B1317" s="138">
        <f>'Expenditures 15-22'!H172</f>
        <v>570530</v>
      </c>
      <c r="C1317" s="2" t="s">
        <v>573</v>
      </c>
      <c r="D1317" s="2" t="str">
        <f t="shared" si="19"/>
        <v>Error?</v>
      </c>
    </row>
    <row r="1318" spans="1:4" x14ac:dyDescent="0.2">
      <c r="A1318" s="5">
        <v>1257</v>
      </c>
      <c r="B1318" s="138">
        <f>'Expenditures 15-22'!H174</f>
        <v>570530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73164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497016</v>
      </c>
      <c r="C1329" s="2" t="s">
        <v>573</v>
      </c>
      <c r="D1329" s="2" t="str">
        <f t="shared" si="19"/>
        <v>Error?</v>
      </c>
    </row>
    <row r="1330" spans="1:4" x14ac:dyDescent="0.2">
      <c r="A1330" s="5">
        <v>1269</v>
      </c>
      <c r="B1330" s="138">
        <f>'Expenditures 15-22'!K171</f>
        <v>350</v>
      </c>
      <c r="C1330" s="2" t="s">
        <v>573</v>
      </c>
      <c r="D1330" s="2" t="str">
        <f t="shared" si="19"/>
        <v>Error?</v>
      </c>
    </row>
    <row r="1331" spans="1:4" x14ac:dyDescent="0.2">
      <c r="A1331" s="5">
        <v>1270</v>
      </c>
      <c r="B1331" s="138">
        <f>'Expenditures 15-22'!K172</f>
        <v>570530</v>
      </c>
      <c r="C1331" s="2" t="s">
        <v>573</v>
      </c>
      <c r="D1331" s="2" t="str">
        <f t="shared" si="19"/>
        <v>Error?</v>
      </c>
    </row>
    <row r="1332" spans="1:4" x14ac:dyDescent="0.2">
      <c r="A1332" s="5">
        <v>1271</v>
      </c>
      <c r="B1332" s="138">
        <f>'Expenditures 15-22'!K174</f>
        <v>570530</v>
      </c>
      <c r="C1332" s="2" t="s">
        <v>573</v>
      </c>
      <c r="D1332" s="2" t="str">
        <f t="shared" si="19"/>
        <v>Error?</v>
      </c>
    </row>
    <row r="1333" spans="1:4" x14ac:dyDescent="0.2">
      <c r="A1333" s="5">
        <v>1272</v>
      </c>
      <c r="B1333" s="138">
        <f>'Expenditures 15-22'!K175</f>
        <v>-15820</v>
      </c>
      <c r="C1333" s="2" t="s">
        <v>573</v>
      </c>
      <c r="D1333" s="2" t="str">
        <f t="shared" si="19"/>
        <v>Error?</v>
      </c>
    </row>
    <row r="1334" spans="1:4" x14ac:dyDescent="0.2">
      <c r="A1334" s="10">
        <v>1273</v>
      </c>
      <c r="D1334" s="2" t="str">
        <f t="shared" si="19"/>
        <v>OK</v>
      </c>
    </row>
    <row r="1335" spans="1:4" x14ac:dyDescent="0.2">
      <c r="A1335" s="5">
        <v>1274</v>
      </c>
      <c r="B1335" s="138">
        <f>'Expenditures 15-22'!C182</f>
        <v>521366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530994</v>
      </c>
      <c r="C1339" s="2" t="s">
        <v>573</v>
      </c>
      <c r="D1339" s="2" t="str">
        <f t="shared" si="19"/>
        <v>Error?</v>
      </c>
    </row>
    <row r="1340" spans="1:4" x14ac:dyDescent="0.2">
      <c r="A1340" s="5">
        <v>1279</v>
      </c>
      <c r="B1340" s="138">
        <f>'Expenditures 15-22'!C210</f>
        <v>530994</v>
      </c>
      <c r="C1340" s="2" t="s">
        <v>573</v>
      </c>
      <c r="D1340" s="2" t="str">
        <f t="shared" si="19"/>
        <v>Error?</v>
      </c>
    </row>
    <row r="1341" spans="1:4" x14ac:dyDescent="0.2">
      <c r="A1341" s="5">
        <v>1280</v>
      </c>
      <c r="B1341" s="138">
        <f>'Expenditures 15-22'!D182</f>
        <v>7141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7141</v>
      </c>
      <c r="C1345" s="2" t="s">
        <v>573</v>
      </c>
      <c r="D1345" s="2" t="str">
        <f t="shared" si="20"/>
        <v>Error?</v>
      </c>
    </row>
    <row r="1346" spans="1:4" x14ac:dyDescent="0.2">
      <c r="A1346" s="5">
        <v>1285</v>
      </c>
      <c r="B1346" s="138">
        <f>'Expenditures 15-22'!D210</f>
        <v>7141</v>
      </c>
      <c r="C1346" s="2" t="s">
        <v>573</v>
      </c>
      <c r="D1346" s="2" t="str">
        <f t="shared" si="20"/>
        <v>Error?</v>
      </c>
    </row>
    <row r="1347" spans="1:4" x14ac:dyDescent="0.2">
      <c r="A1347" s="5">
        <v>1286</v>
      </c>
      <c r="B1347" s="138">
        <f>'Expenditures 15-22'!E182</f>
        <v>208995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213799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213799</v>
      </c>
      <c r="C1353" s="2" t="s">
        <v>573</v>
      </c>
      <c r="D1353" s="2" t="str">
        <f t="shared" si="20"/>
        <v>Error?</v>
      </c>
    </row>
    <row r="1354" spans="1:4" x14ac:dyDescent="0.2">
      <c r="A1354" s="5">
        <v>1293</v>
      </c>
      <c r="B1354" s="138">
        <f>'Expenditures 15-22'!F182</f>
        <v>22641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28192</v>
      </c>
      <c r="C1358" s="2" t="s">
        <v>573</v>
      </c>
      <c r="D1358" s="2" t="str">
        <f t="shared" si="20"/>
        <v>Error?</v>
      </c>
    </row>
    <row r="1359" spans="1:4" x14ac:dyDescent="0.2">
      <c r="A1359" s="5">
        <v>1298</v>
      </c>
      <c r="B1359" s="138">
        <f>'Expenditures 15-22'!F210</f>
        <v>28192</v>
      </c>
      <c r="C1359" s="2" t="s">
        <v>573</v>
      </c>
      <c r="D1359" s="2" t="str">
        <f t="shared" si="20"/>
        <v>Error?</v>
      </c>
    </row>
    <row r="1360" spans="1:4" x14ac:dyDescent="0.2">
      <c r="A1360" s="5">
        <v>1299</v>
      </c>
      <c r="B1360" s="138">
        <f>'Expenditures 15-22'!G182</f>
        <v>14080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14080</v>
      </c>
      <c r="C1364" s="2" t="s">
        <v>573</v>
      </c>
      <c r="D1364" s="2" t="str">
        <f t="shared" si="20"/>
        <v>Error?</v>
      </c>
    </row>
    <row r="1365" spans="1:4" x14ac:dyDescent="0.2">
      <c r="A1365" s="5">
        <v>1304</v>
      </c>
      <c r="B1365" s="138">
        <f>'Expenditures 15-22'!G210</f>
        <v>14080</v>
      </c>
      <c r="C1365" s="2" t="s">
        <v>573</v>
      </c>
      <c r="D1365" s="2" t="str">
        <f t="shared" si="20"/>
        <v>Error?</v>
      </c>
    </row>
    <row r="1366" spans="1:4" x14ac:dyDescent="0.2">
      <c r="A1366" s="5">
        <v>1305</v>
      </c>
      <c r="B1366" s="138">
        <f>'Expenditures 15-22'!H182</f>
        <v>286781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286781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286781</v>
      </c>
      <c r="C1376" s="2" t="s">
        <v>573</v>
      </c>
      <c r="D1376" s="2" t="str">
        <f t="shared" si="20"/>
        <v>Error?</v>
      </c>
    </row>
    <row r="1377" spans="1:4" x14ac:dyDescent="0.2">
      <c r="A1377" s="5">
        <v>1316</v>
      </c>
      <c r="B1377" s="138">
        <f>'Expenditures 15-22'!K182</f>
        <v>1061004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1080987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1080987</v>
      </c>
      <c r="C1388" s="2" t="s">
        <v>573</v>
      </c>
      <c r="D1388" s="2" t="str">
        <f t="shared" si="20"/>
        <v>Error?</v>
      </c>
    </row>
    <row r="1389" spans="1:4" x14ac:dyDescent="0.2">
      <c r="A1389" s="5">
        <v>1328</v>
      </c>
      <c r="B1389" s="138">
        <f>'Expenditures 15-22'!K211</f>
        <v>29180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121315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7515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7515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9921</v>
      </c>
      <c r="D1423" s="2" t="str">
        <f t="shared" si="21"/>
        <v>Error?</v>
      </c>
    </row>
    <row r="1424" spans="1:4" x14ac:dyDescent="0.2">
      <c r="A1424" s="5">
        <v>1363</v>
      </c>
      <c r="B1424" s="138">
        <f>'Expenditures 15-22'!D257</f>
        <v>34099</v>
      </c>
      <c r="C1424" s="2" t="s">
        <v>573</v>
      </c>
      <c r="D1424" s="2" t="str">
        <f t="shared" si="21"/>
        <v>Error?</v>
      </c>
    </row>
    <row r="1425" spans="1:4" x14ac:dyDescent="0.2">
      <c r="A1425" s="5">
        <v>1364</v>
      </c>
      <c r="B1425" s="138">
        <f>'Expenditures 15-22'!D259</f>
        <v>35914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35914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78111</v>
      </c>
      <c r="D1431" s="2" t="str">
        <f t="shared" si="21"/>
        <v>Error?</v>
      </c>
    </row>
    <row r="1432" spans="1:4" x14ac:dyDescent="0.2">
      <c r="A1432" s="5">
        <v>1371</v>
      </c>
      <c r="B1432" s="138">
        <f>'Expenditures 15-22'!D267</f>
        <v>52229</v>
      </c>
      <c r="D1432" s="2" t="str">
        <f t="shared" si="21"/>
        <v>Error?</v>
      </c>
    </row>
    <row r="1433" spans="1:4" x14ac:dyDescent="0.2">
      <c r="A1433" s="5">
        <v>1372</v>
      </c>
      <c r="B1433" s="138">
        <f>'Expenditures 15-22'!D268</f>
        <v>35640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177043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1389</v>
      </c>
      <c r="D1438" s="2" t="str">
        <f t="shared" si="21"/>
        <v>Error?</v>
      </c>
    </row>
    <row r="1439" spans="1:4" x14ac:dyDescent="0.2">
      <c r="A1439" s="5">
        <v>1378</v>
      </c>
      <c r="B1439" s="138">
        <f>'Expenditures 15-22'!D274</f>
        <v>19517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20906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275477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396792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121315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7515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7515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9921</v>
      </c>
      <c r="C1487" s="2" t="s">
        <v>573</v>
      </c>
      <c r="D1487" s="2" t="str">
        <f t="shared" si="22"/>
        <v>Error?</v>
      </c>
    </row>
    <row r="1488" spans="1:4" x14ac:dyDescent="0.2">
      <c r="A1488" s="5">
        <v>1427</v>
      </c>
      <c r="B1488" s="138">
        <f>'Expenditures 15-22'!K257</f>
        <v>34099</v>
      </c>
      <c r="C1488" s="2" t="s">
        <v>573</v>
      </c>
      <c r="D1488" s="2" t="str">
        <f t="shared" si="22"/>
        <v>Error?</v>
      </c>
    </row>
    <row r="1489" spans="1:4" x14ac:dyDescent="0.2">
      <c r="A1489" s="5">
        <v>1428</v>
      </c>
      <c r="B1489" s="138">
        <f>'Expenditures 15-22'!K259</f>
        <v>35914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35914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11063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78111</v>
      </c>
      <c r="C1495" s="2" t="s">
        <v>573</v>
      </c>
      <c r="D1495" s="2" t="str">
        <f t="shared" si="22"/>
        <v>Error?</v>
      </c>
    </row>
    <row r="1496" spans="1:4" x14ac:dyDescent="0.2">
      <c r="A1496" s="5">
        <v>1435</v>
      </c>
      <c r="B1496" s="138">
        <f>'Expenditures 15-22'!K267</f>
        <v>52229</v>
      </c>
      <c r="C1496" s="2" t="s">
        <v>573</v>
      </c>
      <c r="D1496" s="2" t="str">
        <f t="shared" si="22"/>
        <v>Error?</v>
      </c>
    </row>
    <row r="1497" spans="1:4" x14ac:dyDescent="0.2">
      <c r="A1497" s="5">
        <v>1436</v>
      </c>
      <c r="B1497" s="138">
        <f>'Expenditures 15-22'!K268</f>
        <v>35640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177043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1389</v>
      </c>
      <c r="C1502" s="2" t="s">
        <v>573</v>
      </c>
      <c r="D1502" s="2" t="str">
        <f t="shared" si="22"/>
        <v>Error?</v>
      </c>
    </row>
    <row r="1503" spans="1:4" x14ac:dyDescent="0.2">
      <c r="A1503" s="5">
        <v>1442</v>
      </c>
      <c r="B1503" s="138">
        <f>'Expenditures 15-22'!K274</f>
        <v>19517</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20906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275477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396792</v>
      </c>
      <c r="C1517" s="2" t="s">
        <v>573</v>
      </c>
      <c r="D1517" s="2" t="str">
        <f t="shared" si="22"/>
        <v>Error?</v>
      </c>
    </row>
    <row r="1518" spans="1:4" x14ac:dyDescent="0.2">
      <c r="A1518" s="5">
        <v>1457</v>
      </c>
      <c r="B1518" s="138">
        <f>'Expenditures 15-22'!K296</f>
        <v>4204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90319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90319</v>
      </c>
      <c r="C1535" s="2" t="s">
        <v>573</v>
      </c>
      <c r="D1535" s="2" t="str">
        <f t="shared" ref="D1535:D1598" si="23">IF(ISBLANK(B1535),"OK",IF(A1535-B1535=0,"OK","Error?"))</f>
        <v>Error?</v>
      </c>
    </row>
    <row r="1536" spans="1:4" x14ac:dyDescent="0.2">
      <c r="A1536" s="5">
        <v>1475</v>
      </c>
      <c r="B1536" s="138">
        <f>'Expenditures 15-22'!E312</f>
        <v>90319</v>
      </c>
      <c r="C1536" s="2" t="s">
        <v>573</v>
      </c>
      <c r="D1536" s="2" t="str">
        <f t="shared" si="23"/>
        <v>Error?</v>
      </c>
    </row>
    <row r="1537" spans="1:4" x14ac:dyDescent="0.2">
      <c r="A1537" s="5">
        <v>1476</v>
      </c>
      <c r="B1537" s="138">
        <f>'Expenditures 15-22'!F301</f>
        <v>280773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280773</v>
      </c>
      <c r="C1541" s="2" t="s">
        <v>573</v>
      </c>
      <c r="D1541" s="2" t="str">
        <f t="shared" si="23"/>
        <v>Error?</v>
      </c>
    </row>
    <row r="1542" spans="1:4" x14ac:dyDescent="0.2">
      <c r="A1542" s="5">
        <v>1481</v>
      </c>
      <c r="B1542" s="138">
        <f>'Expenditures 15-22'!F312</f>
        <v>280773</v>
      </c>
      <c r="C1542" s="2" t="s">
        <v>573</v>
      </c>
      <c r="D1542" s="2" t="str">
        <f t="shared" si="23"/>
        <v>Error?</v>
      </c>
    </row>
    <row r="1543" spans="1:4" x14ac:dyDescent="0.2">
      <c r="A1543" s="5">
        <v>1482</v>
      </c>
      <c r="B1543" s="138">
        <f>'Expenditures 15-22'!G301</f>
        <v>1036881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1036881</v>
      </c>
      <c r="C1547" s="2" t="s">
        <v>573</v>
      </c>
      <c r="D1547" s="2" t="str">
        <f t="shared" si="23"/>
        <v>Error?</v>
      </c>
    </row>
    <row r="1548" spans="1:4" x14ac:dyDescent="0.2">
      <c r="A1548" s="5">
        <v>1487</v>
      </c>
      <c r="B1548" s="138">
        <f>'Expenditures 15-22'!G312</f>
        <v>1036881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1407973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1407973</v>
      </c>
      <c r="C1559" s="2" t="s">
        <v>573</v>
      </c>
      <c r="D1559" s="2" t="str">
        <f t="shared" si="23"/>
        <v>Error?</v>
      </c>
    </row>
    <row r="1560" spans="1:4" x14ac:dyDescent="0.2">
      <c r="A1560" s="5">
        <v>1499</v>
      </c>
      <c r="B1560" s="138">
        <f>'Expenditures 15-22'!K312</f>
        <v>1407973</v>
      </c>
      <c r="C1560" s="2" t="s">
        <v>573</v>
      </c>
      <c r="D1560" s="2" t="str">
        <f t="shared" si="23"/>
        <v>Error?</v>
      </c>
    </row>
    <row r="1561" spans="1:4" x14ac:dyDescent="0.2">
      <c r="A1561" s="5">
        <v>1500</v>
      </c>
      <c r="B1561" s="138">
        <f>'Expenditures 15-22'!K313</f>
        <v>-911766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2755173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2804646</v>
      </c>
      <c r="C1630" s="2" t="s">
        <v>573</v>
      </c>
      <c r="D1630" s="2" t="str">
        <f t="shared" si="24"/>
        <v>Error?</v>
      </c>
    </row>
    <row r="1631" spans="1:4" x14ac:dyDescent="0.2">
      <c r="A1631" s="5">
        <v>1570</v>
      </c>
      <c r="B1631" s="138">
        <f>'Acct Summary 7-8'!D79</f>
        <v>467287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474616</v>
      </c>
      <c r="C1644" s="2" t="s">
        <v>573</v>
      </c>
      <c r="D1644" s="2" t="str">
        <f t="shared" si="24"/>
        <v>Error?</v>
      </c>
    </row>
    <row r="1645" spans="1:4" x14ac:dyDescent="0.2">
      <c r="A1645" s="5">
        <v>1584</v>
      </c>
      <c r="B1645" s="138">
        <f>'Acct Summary 7-8'!E79</f>
        <v>7579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8948</v>
      </c>
      <c r="C1658" s="2" t="s">
        <v>573</v>
      </c>
      <c r="D1658" s="2" t="str">
        <f t="shared" si="24"/>
        <v>Error?</v>
      </c>
    </row>
    <row r="1659" spans="1:4" x14ac:dyDescent="0.2">
      <c r="A1659" s="5">
        <v>1598</v>
      </c>
      <c r="B1659" s="138">
        <f>'Acct Summary 7-8'!F79</f>
        <v>1770466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1799646</v>
      </c>
      <c r="C1672" s="2" t="s">
        <v>573</v>
      </c>
      <c r="D1672" s="2" t="str">
        <f t="shared" si="25"/>
        <v>Error?</v>
      </c>
    </row>
    <row r="1673" spans="1:4" x14ac:dyDescent="0.2">
      <c r="A1673" s="5">
        <v>1612</v>
      </c>
      <c r="B1673" s="138">
        <f>'Acct Summary 7-8'!G79</f>
        <v>200243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204447</v>
      </c>
      <c r="C1686" s="2" t="s">
        <v>573</v>
      </c>
      <c r="D1686" s="2" t="str">
        <f t="shared" si="25"/>
        <v>Error?</v>
      </c>
    </row>
    <row r="1687" spans="1:4" x14ac:dyDescent="0.2">
      <c r="A1687" s="5">
        <v>1626</v>
      </c>
      <c r="B1687" s="138">
        <f>'Acct Summary 7-8'!H79</f>
        <v>1148890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1257731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4979772</v>
      </c>
      <c r="C1744" s="2" t="s">
        <v>573</v>
      </c>
      <c r="D1744" s="2" t="str">
        <f t="shared" si="26"/>
        <v>Error?</v>
      </c>
    </row>
    <row r="1745" spans="1:5" x14ac:dyDescent="0.2">
      <c r="A1745" s="5">
        <v>1684</v>
      </c>
      <c r="B1745" s="138">
        <f>'Tax Sched 23'!B5</f>
        <v>542564</v>
      </c>
      <c r="C1745" s="2" t="s">
        <v>573</v>
      </c>
      <c r="D1745" s="2" t="str">
        <f t="shared" si="26"/>
        <v>Error?</v>
      </c>
    </row>
    <row r="1746" spans="1:5" x14ac:dyDescent="0.2">
      <c r="A1746" s="5">
        <v>1685</v>
      </c>
      <c r="B1746" s="138">
        <f>'Tax Sched 23'!B6</f>
        <v>273228</v>
      </c>
      <c r="C1746" s="2" t="s">
        <v>573</v>
      </c>
      <c r="D1746" s="2" t="str">
        <f t="shared" si="26"/>
        <v>Error?</v>
      </c>
    </row>
    <row r="1747" spans="1:5" x14ac:dyDescent="0.2">
      <c r="A1747" s="5">
        <v>1686</v>
      </c>
      <c r="B1747" s="138">
        <f>'Tax Sched 23'!B7</f>
        <v>290678</v>
      </c>
      <c r="C1747" s="2" t="s">
        <v>573</v>
      </c>
      <c r="D1747" s="2" t="str">
        <f t="shared" si="26"/>
        <v>Error?</v>
      </c>
    </row>
    <row r="1748" spans="1:5" x14ac:dyDescent="0.2">
      <c r="A1748" s="5">
        <v>1687</v>
      </c>
      <c r="B1748" s="138">
        <f>'Tax Sched 23'!B8</f>
        <v>125971</v>
      </c>
      <c r="C1748" s="2" t="s">
        <v>573</v>
      </c>
      <c r="D1748" s="2" t="str">
        <f t="shared" si="26"/>
        <v>Error?</v>
      </c>
    </row>
    <row r="1749" spans="1:5" x14ac:dyDescent="0.2">
      <c r="A1749" s="5">
        <v>1688</v>
      </c>
      <c r="B1749" s="138">
        <f>'Tax Sched 23'!B10</f>
        <v>4852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25208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33923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6442865</v>
      </c>
      <c r="C1759" s="2" t="s">
        <v>573</v>
      </c>
      <c r="D1759" s="2" t="str">
        <f t="shared" si="26"/>
        <v>Error?</v>
      </c>
    </row>
    <row r="1760" spans="1:5" x14ac:dyDescent="0.2">
      <c r="A1760" s="5">
        <v>1699</v>
      </c>
      <c r="B1760" s="138">
        <f>'Tax Sched 23'!D4</f>
        <v>4979772</v>
      </c>
      <c r="C1760" s="2" t="s">
        <v>573</v>
      </c>
      <c r="D1760" s="2" t="str">
        <f t="shared" si="26"/>
        <v>Error?</v>
      </c>
    </row>
    <row r="1761" spans="1:5" x14ac:dyDescent="0.2">
      <c r="A1761" s="5">
        <v>1700</v>
      </c>
      <c r="B1761" s="138">
        <f>'Tax Sched 23'!D5</f>
        <v>542564</v>
      </c>
      <c r="C1761" s="2" t="s">
        <v>573</v>
      </c>
      <c r="D1761" s="2" t="str">
        <f t="shared" si="26"/>
        <v>Error?</v>
      </c>
    </row>
    <row r="1762" spans="1:5" s="8" customFormat="1" x14ac:dyDescent="0.2">
      <c r="A1762" s="5">
        <v>1701</v>
      </c>
      <c r="B1762" s="138">
        <f>'Tax Sched 23'!D6</f>
        <v>273228</v>
      </c>
      <c r="C1762" s="2" t="s">
        <v>573</v>
      </c>
      <c r="D1762" s="2" t="str">
        <f t="shared" si="26"/>
        <v>Error?</v>
      </c>
      <c r="E1762" s="9"/>
    </row>
    <row r="1763" spans="1:5" x14ac:dyDescent="0.2">
      <c r="A1763" s="5">
        <v>1702</v>
      </c>
      <c r="B1763" s="138">
        <f>'Tax Sched 23'!D7</f>
        <v>290678</v>
      </c>
      <c r="C1763" s="2" t="s">
        <v>573</v>
      </c>
      <c r="D1763" s="2" t="str">
        <f t="shared" si="26"/>
        <v>Error?</v>
      </c>
    </row>
    <row r="1764" spans="1:5" x14ac:dyDescent="0.2">
      <c r="A1764" s="5">
        <v>1703</v>
      </c>
      <c r="B1764" s="138">
        <f>'Tax Sched 23'!D8</f>
        <v>125971</v>
      </c>
      <c r="C1764" s="2" t="s">
        <v>573</v>
      </c>
      <c r="D1764" s="2" t="str">
        <f t="shared" si="26"/>
        <v>Error?</v>
      </c>
    </row>
    <row r="1765" spans="1:5" x14ac:dyDescent="0.2">
      <c r="A1765" s="5">
        <v>1704</v>
      </c>
      <c r="B1765" s="138">
        <f>'Tax Sched 23'!D10</f>
        <v>4852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25208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33923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6442865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5289633</v>
      </c>
      <c r="C1792" s="2" t="s">
        <v>573</v>
      </c>
      <c r="D1792" s="2" t="str">
        <f t="shared" si="27"/>
        <v>Error?</v>
      </c>
    </row>
    <row r="1793" spans="1:4" x14ac:dyDescent="0.2">
      <c r="A1793" s="5">
        <v>1732</v>
      </c>
      <c r="B1793" s="138">
        <f>'Tax Sched 23'!F5</f>
        <v>549243</v>
      </c>
      <c r="C1793" s="2" t="s">
        <v>573</v>
      </c>
      <c r="D1793" s="2" t="str">
        <f t="shared" si="27"/>
        <v>Error?</v>
      </c>
    </row>
    <row r="1794" spans="1:4" x14ac:dyDescent="0.2">
      <c r="A1794" s="5">
        <v>1733</v>
      </c>
      <c r="B1794" s="138">
        <f>'Tax Sched 23'!F6</f>
        <v>273685</v>
      </c>
      <c r="C1794" s="2" t="s">
        <v>573</v>
      </c>
      <c r="D1794" s="2" t="str">
        <f t="shared" si="27"/>
        <v>Error?</v>
      </c>
    </row>
    <row r="1795" spans="1:4" x14ac:dyDescent="0.2">
      <c r="A1795" s="5">
        <v>1734</v>
      </c>
      <c r="B1795" s="138">
        <f>'Tax Sched 23'!F7</f>
        <v>276606</v>
      </c>
      <c r="C1795" s="2" t="s">
        <v>573</v>
      </c>
      <c r="D1795" s="2" t="str">
        <f t="shared" si="27"/>
        <v>Error?</v>
      </c>
    </row>
    <row r="1796" spans="1:4" x14ac:dyDescent="0.2">
      <c r="A1796" s="5">
        <v>1735</v>
      </c>
      <c r="B1796" s="138">
        <f>'Tax Sched 23'!F8</f>
        <v>128428</v>
      </c>
      <c r="C1796" s="2" t="s">
        <v>573</v>
      </c>
      <c r="D1796" s="2" t="str">
        <f t="shared" si="27"/>
        <v>Error?</v>
      </c>
    </row>
    <row r="1797" spans="1:4" x14ac:dyDescent="0.2">
      <c r="A1797" s="5">
        <v>1736</v>
      </c>
      <c r="B1797" s="138">
        <f>'Tax Sched 23'!F10</f>
        <v>4961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25704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35589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6753781</v>
      </c>
      <c r="C1807" s="2" t="s">
        <v>573</v>
      </c>
      <c r="D1807" s="2" t="str">
        <f t="shared" si="27"/>
        <v>Error?</v>
      </c>
    </row>
    <row r="1808" spans="1:4" x14ac:dyDescent="0.2">
      <c r="A1808" s="5">
        <v>1747</v>
      </c>
      <c r="B1808" s="138">
        <f>'Tax Sched 23'!E4</f>
        <v>5289633</v>
      </c>
      <c r="D1808" s="2" t="str">
        <f t="shared" si="27"/>
        <v>Error?</v>
      </c>
    </row>
    <row r="1809" spans="1:4" x14ac:dyDescent="0.2">
      <c r="A1809" s="5">
        <v>1748</v>
      </c>
      <c r="B1809" s="138">
        <f>'Tax Sched 23'!E5</f>
        <v>549243</v>
      </c>
      <c r="D1809" s="2" t="str">
        <f t="shared" si="27"/>
        <v>Error?</v>
      </c>
    </row>
    <row r="1810" spans="1:4" x14ac:dyDescent="0.2">
      <c r="A1810" s="5">
        <v>1749</v>
      </c>
      <c r="B1810" s="138">
        <f>'Tax Sched 23'!E6</f>
        <v>273685</v>
      </c>
      <c r="D1810" s="2" t="str">
        <f t="shared" si="27"/>
        <v>Error?</v>
      </c>
    </row>
    <row r="1811" spans="1:4" x14ac:dyDescent="0.2">
      <c r="A1811" s="5">
        <v>1750</v>
      </c>
      <c r="B1811" s="138">
        <f>'Tax Sched 23'!E7</f>
        <v>276606</v>
      </c>
      <c r="D1811" s="2" t="str">
        <f t="shared" si="27"/>
        <v>Error?</v>
      </c>
    </row>
    <row r="1812" spans="1:4" x14ac:dyDescent="0.2">
      <c r="A1812" s="5">
        <v>1751</v>
      </c>
      <c r="B1812" s="138">
        <f>'Tax Sched 23'!E8</f>
        <v>128428</v>
      </c>
      <c r="D1812" s="2" t="str">
        <f t="shared" si="27"/>
        <v>Error?</v>
      </c>
    </row>
    <row r="1813" spans="1:4" x14ac:dyDescent="0.2">
      <c r="A1813" s="5">
        <v>1752</v>
      </c>
      <c r="B1813" s="138">
        <f>'Tax Sched 23'!E10</f>
        <v>4961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25704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35589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6753781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1845000</v>
      </c>
      <c r="C1939" s="2" t="s">
        <v>573</v>
      </c>
      <c r="D1939" s="2" t="str">
        <f t="shared" si="29"/>
        <v>Error?</v>
      </c>
    </row>
    <row r="1940" spans="1:5" x14ac:dyDescent="0.2">
      <c r="A1940" s="5">
        <v>1879</v>
      </c>
      <c r="B1940" s="138">
        <f>'Short-Term Long-Term Debt 24'!F49</f>
        <v>999000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33923</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33931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33931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425059</v>
      </c>
      <c r="D2008" s="2" t="str">
        <f t="shared" si="30"/>
        <v>Error?</v>
      </c>
    </row>
    <row r="2009" spans="1:4" x14ac:dyDescent="0.2">
      <c r="A2009" s="5">
        <v>1948</v>
      </c>
      <c r="B2009" s="138">
        <f>'Cap Outlay Deprec 26'!C8</f>
        <v>7852514</v>
      </c>
      <c r="D2009" s="2" t="str">
        <f t="shared" si="30"/>
        <v>Error?</v>
      </c>
    </row>
    <row r="2010" spans="1:4" x14ac:dyDescent="0.2">
      <c r="A2010" s="5">
        <v>1949</v>
      </c>
      <c r="B2010" s="138">
        <f>'Cap Outlay Deprec 26'!C10</f>
        <v>426223</v>
      </c>
      <c r="D2010" s="2" t="str">
        <f t="shared" si="30"/>
        <v>Error?</v>
      </c>
    </row>
    <row r="2011" spans="1:4" x14ac:dyDescent="0.2">
      <c r="A2011" s="5">
        <v>1950</v>
      </c>
      <c r="B2011" s="138">
        <f>'Cap Outlay Deprec 26'!C12</f>
        <v>1247143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9950939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499884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74948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1125909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89931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89931</v>
      </c>
      <c r="C2025" s="2" t="s">
        <v>573</v>
      </c>
      <c r="D2025" s="2" t="str">
        <f t="shared" si="30"/>
        <v>Error?</v>
      </c>
    </row>
    <row r="2026" spans="1:4" x14ac:dyDescent="0.2">
      <c r="A2026" s="5">
        <v>1965</v>
      </c>
      <c r="B2026" s="138">
        <f>'Cap Outlay Deprec 26'!F5</f>
        <v>425059</v>
      </c>
      <c r="C2026" s="2" t="s">
        <v>573</v>
      </c>
      <c r="D2026" s="2" t="str">
        <f t="shared" si="30"/>
        <v>Error?</v>
      </c>
    </row>
    <row r="2027" spans="1:4" x14ac:dyDescent="0.2">
      <c r="A2027" s="5">
        <v>1966</v>
      </c>
      <c r="B2027" s="138">
        <f>'Cap Outlay Deprec 26'!F8</f>
        <v>8352398</v>
      </c>
      <c r="C2027" s="2" t="s">
        <v>573</v>
      </c>
      <c r="D2027" s="2" t="str">
        <f t="shared" si="30"/>
        <v>Error?</v>
      </c>
    </row>
    <row r="2028" spans="1:4" x14ac:dyDescent="0.2">
      <c r="A2028" s="5">
        <v>1967</v>
      </c>
      <c r="B2028" s="138">
        <f>'Cap Outlay Deprec 26'!F10</f>
        <v>426223</v>
      </c>
      <c r="C2028" s="2" t="s">
        <v>573</v>
      </c>
      <c r="D2028" s="2" t="str">
        <f t="shared" si="30"/>
        <v>Error?</v>
      </c>
    </row>
    <row r="2029" spans="1:4" x14ac:dyDescent="0.2">
      <c r="A2029" s="5">
        <v>1968</v>
      </c>
      <c r="B2029" s="138">
        <f>'Cap Outlay Deprec 26'!F12</f>
        <v>1232160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10986917</v>
      </c>
      <c r="C2031" s="2" t="s">
        <v>573</v>
      </c>
      <c r="D2031" s="2" t="str">
        <f t="shared" si="30"/>
        <v>Error?</v>
      </c>
    </row>
    <row r="2032" spans="1:4" x14ac:dyDescent="0.2">
      <c r="A2032" s="10">
        <v>1971</v>
      </c>
      <c r="D2032" s="2" t="str">
        <f t="shared" si="30"/>
        <v>OK</v>
      </c>
    </row>
    <row r="2033" spans="1:4" x14ac:dyDescent="0.2">
      <c r="A2033" s="5">
        <v>1972</v>
      </c>
      <c r="B2033" s="138">
        <f>'Cap Outlay Deprec 26'!H8</f>
        <v>4659590</v>
      </c>
      <c r="D2033" s="2" t="str">
        <f t="shared" si="30"/>
        <v>Error?</v>
      </c>
    </row>
    <row r="2034" spans="1:4" x14ac:dyDescent="0.2">
      <c r="A2034" s="5">
        <v>1973</v>
      </c>
      <c r="B2034" s="138">
        <f>'Cap Outlay Deprec 26'!H10</f>
        <v>230940</v>
      </c>
      <c r="D2034" s="2" t="str">
        <f t="shared" si="30"/>
        <v>Error?</v>
      </c>
    </row>
    <row r="2035" spans="1:4" x14ac:dyDescent="0.2">
      <c r="A2035" s="5">
        <v>1974</v>
      </c>
      <c r="B2035" s="138">
        <f>'Cap Outlay Deprec 26'!H12</f>
        <v>541914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5432444</v>
      </c>
      <c r="C2037" s="2" t="s">
        <v>573</v>
      </c>
      <c r="D2037" s="2" t="str">
        <f t="shared" si="30"/>
        <v>Error?</v>
      </c>
    </row>
    <row r="2038" spans="1:4" x14ac:dyDescent="0.2">
      <c r="A2038" s="10">
        <v>1977</v>
      </c>
      <c r="D2038" s="2" t="str">
        <f t="shared" si="30"/>
        <v>OK</v>
      </c>
    </row>
    <row r="2039" spans="1:4" x14ac:dyDescent="0.2">
      <c r="A2039" s="5">
        <v>1978</v>
      </c>
      <c r="B2039" s="138">
        <f>'Cap Outlay Deprec 26'!I8</f>
        <v>167047</v>
      </c>
      <c r="D2039" s="2" t="str">
        <f t="shared" si="30"/>
        <v>Error?</v>
      </c>
    </row>
    <row r="2040" spans="1:4" x14ac:dyDescent="0.2">
      <c r="A2040" s="5">
        <v>1979</v>
      </c>
      <c r="B2040" s="138">
        <f>'Cap Outlay Deprec 26'!I10</f>
        <v>11771</v>
      </c>
      <c r="D2040" s="2" t="str">
        <f t="shared" si="30"/>
        <v>Error?</v>
      </c>
    </row>
    <row r="2041" spans="1:4" x14ac:dyDescent="0.2">
      <c r="A2041" s="5">
        <v>1980</v>
      </c>
      <c r="B2041" s="138">
        <f>'Cap Outlay Deprec 26'!I12</f>
        <v>123217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306728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89931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89931</v>
      </c>
      <c r="C2049" s="2" t="s">
        <v>573</v>
      </c>
      <c r="D2049" s="2" t="str">
        <f t="shared" si="31"/>
        <v>Error?</v>
      </c>
    </row>
    <row r="2050" spans="1:4" x14ac:dyDescent="0.2">
      <c r="A2050" s="10">
        <v>1989</v>
      </c>
      <c r="D2050" s="2" t="str">
        <f t="shared" si="31"/>
        <v>OK</v>
      </c>
    </row>
    <row r="2051" spans="1:4" x14ac:dyDescent="0.2">
      <c r="A2051" s="5">
        <v>1990</v>
      </c>
      <c r="B2051" s="138">
        <f>'Cap Outlay Deprec 26'!K8</f>
        <v>4826637</v>
      </c>
      <c r="C2051" s="2" t="s">
        <v>573</v>
      </c>
      <c r="D2051" s="2" t="str">
        <f t="shared" si="31"/>
        <v>Error?</v>
      </c>
    </row>
    <row r="2052" spans="1:4" x14ac:dyDescent="0.2">
      <c r="A2052" s="5">
        <v>1991</v>
      </c>
      <c r="B2052" s="138">
        <f>'Cap Outlay Deprec 26'!K10</f>
        <v>242711</v>
      </c>
      <c r="C2052" s="2" t="s">
        <v>573</v>
      </c>
      <c r="D2052" s="2" t="str">
        <f t="shared" si="31"/>
        <v>Error?</v>
      </c>
    </row>
    <row r="2053" spans="1:4" x14ac:dyDescent="0.2">
      <c r="A2053" s="5">
        <v>1992</v>
      </c>
      <c r="B2053" s="138">
        <f>'Cap Outlay Deprec 26'!K12</f>
        <v>575200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5649241</v>
      </c>
      <c r="C2055" s="2" t="s">
        <v>573</v>
      </c>
      <c r="D2055" s="2" t="str">
        <f t="shared" si="31"/>
        <v>Error?</v>
      </c>
    </row>
    <row r="2056" spans="1:4" x14ac:dyDescent="0.2">
      <c r="A2056" s="5">
        <v>1995</v>
      </c>
      <c r="B2056" s="138">
        <f>'Cap Outlay Deprec 26'!L5</f>
        <v>425059</v>
      </c>
      <c r="C2056" s="2" t="s">
        <v>573</v>
      </c>
      <c r="D2056" s="2" t="str">
        <f t="shared" si="31"/>
        <v>Error?</v>
      </c>
    </row>
    <row r="2057" spans="1:4" x14ac:dyDescent="0.2">
      <c r="A2057" s="5">
        <v>1996</v>
      </c>
      <c r="B2057" s="138">
        <f>'Cap Outlay Deprec 26'!L8</f>
        <v>3525761</v>
      </c>
      <c r="C2057" s="2" t="s">
        <v>573</v>
      </c>
      <c r="D2057" s="2" t="str">
        <f t="shared" si="31"/>
        <v>Error?</v>
      </c>
    </row>
    <row r="2058" spans="1:4" x14ac:dyDescent="0.2">
      <c r="A2058" s="5">
        <v>1997</v>
      </c>
      <c r="B2058" s="138">
        <f>'Cap Outlay Deprec 26'!L10</f>
        <v>183512</v>
      </c>
      <c r="C2058" s="2" t="s">
        <v>573</v>
      </c>
      <c r="D2058" s="2" t="str">
        <f t="shared" si="31"/>
        <v>Error?</v>
      </c>
    </row>
    <row r="2059" spans="1:4" x14ac:dyDescent="0.2">
      <c r="A2059" s="5">
        <v>1998</v>
      </c>
      <c r="B2059" s="138">
        <f>'Cap Outlay Deprec 26'!L12</f>
        <v>656960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5337676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982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982</v>
      </c>
      <c r="C2088" s="2" t="s">
        <v>573</v>
      </c>
      <c r="D2088" s="2" t="str">
        <f t="shared" si="31"/>
        <v>Error?</v>
      </c>
    </row>
    <row r="2089" spans="1:4" x14ac:dyDescent="0.2">
      <c r="A2089" s="5">
        <v>2028</v>
      </c>
      <c r="B2089" s="138">
        <f>'Expenditures 15-22'!K92</f>
        <v>60564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86445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8553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1123238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5673108</v>
      </c>
      <c r="C2551" s="2" t="s">
        <v>573</v>
      </c>
      <c r="D2551" s="2" t="str">
        <f t="shared" si="38"/>
        <v>Error?</v>
      </c>
    </row>
    <row r="2552" spans="1:4" x14ac:dyDescent="0.2">
      <c r="A2552" s="10">
        <v>2491</v>
      </c>
      <c r="D2552" s="2" t="str">
        <f t="shared" si="38"/>
        <v>OK</v>
      </c>
    </row>
    <row r="2553" spans="1:4" x14ac:dyDescent="0.2">
      <c r="A2553" s="5">
        <v>2492</v>
      </c>
      <c r="B2553" s="138">
        <f>'Acct Summary 7-8'!C6</f>
        <v>4823430</v>
      </c>
      <c r="C2553" s="2" t="s">
        <v>573</v>
      </c>
      <c r="D2553" s="2" t="str">
        <f t="shared" si="38"/>
        <v>Error?</v>
      </c>
    </row>
    <row r="2554" spans="1:4" x14ac:dyDescent="0.2">
      <c r="A2554" s="5">
        <v>2493</v>
      </c>
      <c r="B2554" s="138">
        <f>'Acct Summary 7-8'!C7</f>
        <v>1772855</v>
      </c>
      <c r="C2554" s="2" t="s">
        <v>573</v>
      </c>
      <c r="D2554" s="2" t="str">
        <f t="shared" si="38"/>
        <v>Error?</v>
      </c>
    </row>
    <row r="2555" spans="1:4" x14ac:dyDescent="0.2">
      <c r="A2555" s="5">
        <v>2494</v>
      </c>
      <c r="B2555" s="138">
        <f>'Acct Summary 7-8'!C8</f>
        <v>12269393</v>
      </c>
      <c r="C2555" s="2" t="s">
        <v>573</v>
      </c>
      <c r="D2555" s="2" t="str">
        <f t="shared" si="38"/>
        <v>Error?</v>
      </c>
    </row>
    <row r="2556" spans="1:4" x14ac:dyDescent="0.2">
      <c r="A2556" s="5">
        <v>2495</v>
      </c>
      <c r="B2556" s="138">
        <f>'Acct Summary 7-8'!C12</f>
        <v>9008107</v>
      </c>
      <c r="C2556" s="2" t="s">
        <v>573</v>
      </c>
      <c r="D2556" s="2" t="str">
        <f t="shared" si="38"/>
        <v>Error?</v>
      </c>
    </row>
    <row r="2557" spans="1:4" x14ac:dyDescent="0.2">
      <c r="A2557" s="5">
        <v>2496</v>
      </c>
      <c r="B2557" s="138">
        <f>'Acct Summary 7-8'!C13</f>
        <v>3094831</v>
      </c>
      <c r="C2557" s="2" t="s">
        <v>573</v>
      </c>
      <c r="D2557" s="2" t="str">
        <f t="shared" si="38"/>
        <v>Error?</v>
      </c>
    </row>
    <row r="2558" spans="1:4" x14ac:dyDescent="0.2">
      <c r="A2558" s="5">
        <v>2497</v>
      </c>
      <c r="B2558" s="138">
        <f>'Acct Summary 7-8'!C14</f>
        <v>38247</v>
      </c>
      <c r="C2558" s="2" t="s">
        <v>573</v>
      </c>
      <c r="D2558" s="2" t="str">
        <f t="shared" si="38"/>
        <v>Error?</v>
      </c>
    </row>
    <row r="2559" spans="1:4" x14ac:dyDescent="0.2">
      <c r="A2559" s="5">
        <v>2498</v>
      </c>
      <c r="B2559" s="138">
        <f>'Acct Summary 7-8'!C15</f>
        <v>61546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12202731</v>
      </c>
      <c r="C2561" s="2" t="s">
        <v>573</v>
      </c>
      <c r="D2561" s="2" t="str">
        <f t="shared" si="39"/>
        <v>Error?</v>
      </c>
    </row>
    <row r="2562" spans="1:4" x14ac:dyDescent="0.2">
      <c r="A2562" s="5">
        <v>2501</v>
      </c>
      <c r="B2562" s="138">
        <f>'Acct Summary 7-8'!C20</f>
        <v>66662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622305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622305</v>
      </c>
      <c r="C2568" s="2" t="s">
        <v>573</v>
      </c>
      <c r="D2568" s="2" t="str">
        <f t="shared" si="39"/>
        <v>Error?</v>
      </c>
    </row>
    <row r="2569" spans="1:4" x14ac:dyDescent="0.2">
      <c r="A2569" s="5">
        <v>2508</v>
      </c>
      <c r="B2569" s="138">
        <f>'Acct Summary 7-8'!D13</f>
        <v>614976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614976</v>
      </c>
      <c r="C2573" s="2" t="s">
        <v>573</v>
      </c>
      <c r="D2573" s="2" t="str">
        <f t="shared" si="39"/>
        <v>Error?</v>
      </c>
    </row>
    <row r="2574" spans="1:4" x14ac:dyDescent="0.2">
      <c r="A2574" s="5">
        <v>2513</v>
      </c>
      <c r="B2574" s="138">
        <f>'Acct Summary 7-8'!D20</f>
        <v>7329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745165</v>
      </c>
      <c r="C2591" s="2" t="s">
        <v>573</v>
      </c>
      <c r="D2591" s="2" t="str">
        <f t="shared" si="39"/>
        <v>Error?</v>
      </c>
    </row>
    <row r="2592" spans="1:4" x14ac:dyDescent="0.2">
      <c r="A2592" s="10">
        <v>2531</v>
      </c>
      <c r="D2592" s="2" t="str">
        <f t="shared" si="39"/>
        <v>OK</v>
      </c>
    </row>
    <row r="2593" spans="1:4" x14ac:dyDescent="0.2">
      <c r="A2593" s="5">
        <v>2532</v>
      </c>
      <c r="B2593" s="138">
        <f>'Acct Summary 7-8'!F6</f>
        <v>365002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1110167</v>
      </c>
      <c r="C2595" s="2" t="s">
        <v>573</v>
      </c>
      <c r="D2595" s="2" t="str">
        <f t="shared" si="39"/>
        <v>Error?</v>
      </c>
    </row>
    <row r="2596" spans="1:4" x14ac:dyDescent="0.2">
      <c r="A2596" s="5">
        <v>2535</v>
      </c>
      <c r="B2596" s="138">
        <f>'Acct Summary 7-8'!F13</f>
        <v>1080987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1080987</v>
      </c>
      <c r="C2600" s="2" t="s">
        <v>573</v>
      </c>
      <c r="D2600" s="2" t="str">
        <f t="shared" si="39"/>
        <v>Error?</v>
      </c>
    </row>
    <row r="2601" spans="1:4" x14ac:dyDescent="0.2">
      <c r="A2601" s="5">
        <v>2540</v>
      </c>
      <c r="B2601" s="138">
        <f>'Acct Summary 7-8'!F20</f>
        <v>29180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400996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400996</v>
      </c>
      <c r="C2606" s="2" t="s">
        <v>573</v>
      </c>
      <c r="D2606" s="2" t="str">
        <f t="shared" si="39"/>
        <v>Error?</v>
      </c>
    </row>
    <row r="2607" spans="1:4" x14ac:dyDescent="0.2">
      <c r="A2607" s="5">
        <v>2546</v>
      </c>
      <c r="B2607" s="138">
        <f>'Acct Summary 7-8'!G12</f>
        <v>121315</v>
      </c>
      <c r="C2607" s="2" t="s">
        <v>573</v>
      </c>
      <c r="D2607" s="2" t="str">
        <f t="shared" si="39"/>
        <v>Error?</v>
      </c>
    </row>
    <row r="2608" spans="1:4" x14ac:dyDescent="0.2">
      <c r="A2608" s="5">
        <v>2547</v>
      </c>
      <c r="B2608" s="138">
        <f>'Acct Summary 7-8'!G13</f>
        <v>275477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396792</v>
      </c>
      <c r="C2612" s="2" t="s">
        <v>573</v>
      </c>
      <c r="D2612" s="2" t="str">
        <f t="shared" si="39"/>
        <v>Error?</v>
      </c>
    </row>
    <row r="2613" spans="1:4" x14ac:dyDescent="0.2">
      <c r="A2613" s="5">
        <v>2552</v>
      </c>
      <c r="B2613" s="138">
        <f>'Acct Summary 7-8'!G20</f>
        <v>4204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554710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554710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570530</v>
      </c>
      <c r="C2634" s="2" t="s">
        <v>573</v>
      </c>
      <c r="D2634" s="2" t="str">
        <f t="shared" si="40"/>
        <v>Error?</v>
      </c>
    </row>
    <row r="2635" spans="1:4" x14ac:dyDescent="0.2">
      <c r="A2635" s="5">
        <v>2574</v>
      </c>
      <c r="B2635" s="138">
        <f>'Acct Summary 7-8'!E17</f>
        <v>570530</v>
      </c>
      <c r="C2635" s="2" t="s">
        <v>573</v>
      </c>
      <c r="D2635" s="2" t="str">
        <f t="shared" si="40"/>
        <v>Error?</v>
      </c>
    </row>
    <row r="2636" spans="1:4" x14ac:dyDescent="0.2">
      <c r="A2636" s="5">
        <v>2575</v>
      </c>
      <c r="B2636" s="138">
        <f>'Acct Summary 7-8'!E20</f>
        <v>-15820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496207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496207</v>
      </c>
      <c r="C2658" s="2" t="s">
        <v>573</v>
      </c>
      <c r="D2658" s="2" t="str">
        <f t="shared" si="40"/>
        <v>Error?</v>
      </c>
    </row>
    <row r="2659" spans="1:4" x14ac:dyDescent="0.2">
      <c r="A2659" s="5">
        <v>2598</v>
      </c>
      <c r="B2659" s="138">
        <f>'Acct Summary 7-8'!H13</f>
        <v>1407973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1407973</v>
      </c>
      <c r="C2661" s="2" t="s">
        <v>573</v>
      </c>
      <c r="D2661" s="2" t="str">
        <f t="shared" si="40"/>
        <v>Error?</v>
      </c>
    </row>
    <row r="2662" spans="1:4" x14ac:dyDescent="0.2">
      <c r="A2662" s="5">
        <v>2601</v>
      </c>
      <c r="B2662" s="138">
        <f>'Acct Summary 7-8'!H20</f>
        <v>-911766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113116</v>
      </c>
      <c r="D2718" s="2" t="str">
        <f t="shared" si="41"/>
        <v>Error?</v>
      </c>
    </row>
    <row r="2719" spans="1:4" x14ac:dyDescent="0.2">
      <c r="A2719" s="5">
        <v>2658</v>
      </c>
      <c r="B2719" s="138">
        <f>'Expenditures 15-22'!D51</f>
        <v>13749</v>
      </c>
      <c r="D2719" s="2" t="str">
        <f t="shared" si="41"/>
        <v>Error?</v>
      </c>
    </row>
    <row r="2720" spans="1:4" x14ac:dyDescent="0.2">
      <c r="A2720" s="5">
        <v>2659</v>
      </c>
      <c r="B2720" s="138">
        <f>'Expenditures 15-22'!E51</f>
        <v>96</v>
      </c>
      <c r="D2720" s="2" t="str">
        <f t="shared" si="41"/>
        <v>Error?</v>
      </c>
    </row>
    <row r="2721" spans="1:4" x14ac:dyDescent="0.2">
      <c r="A2721" s="5">
        <v>2660</v>
      </c>
      <c r="B2721" s="138">
        <f>'Expenditures 15-22'!F51</f>
        <v>982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550</v>
      </c>
      <c r="D2723" s="2" t="str">
        <f t="shared" si="41"/>
        <v>Error?</v>
      </c>
    </row>
    <row r="2724" spans="1:4" x14ac:dyDescent="0.2">
      <c r="A2724" s="5">
        <v>2663</v>
      </c>
      <c r="B2724" s="138">
        <f>'Expenditures 15-22'!K51</f>
        <v>128493</v>
      </c>
      <c r="C2724" s="2" t="s">
        <v>573</v>
      </c>
      <c r="D2724" s="2" t="str">
        <f t="shared" si="41"/>
        <v>Error?</v>
      </c>
    </row>
    <row r="2725" spans="1:4" x14ac:dyDescent="0.2">
      <c r="A2725" s="5">
        <v>2664</v>
      </c>
      <c r="B2725" s="138">
        <f>'Expenditures 15-22'!D247</f>
        <v>1642</v>
      </c>
      <c r="D2725" s="2" t="str">
        <f t="shared" si="41"/>
        <v>Error?</v>
      </c>
    </row>
    <row r="2726" spans="1:4" x14ac:dyDescent="0.2">
      <c r="A2726" s="5">
        <v>2665</v>
      </c>
      <c r="B2726" s="138">
        <f>'Expenditures 15-22'!K247</f>
        <v>1642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536997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2315572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2320449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90246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2320449</v>
      </c>
      <c r="D2912" s="2" t="str">
        <f t="shared" si="44"/>
        <v>Error?</v>
      </c>
    </row>
    <row r="2913" spans="1:4" x14ac:dyDescent="0.2">
      <c r="A2913" s="5">
        <v>2852</v>
      </c>
      <c r="B2913" s="138">
        <f>'Assets-Liab 5-6'!I41</f>
        <v>2320449</v>
      </c>
      <c r="C2913" s="2" t="s">
        <v>573</v>
      </c>
      <c r="D2913" s="2" t="str">
        <f t="shared" si="44"/>
        <v>Error?</v>
      </c>
    </row>
    <row r="2914" spans="1:4" x14ac:dyDescent="0.2">
      <c r="A2914" s="5">
        <v>2853</v>
      </c>
      <c r="B2914" s="138">
        <f>'Assets-Liab 5-6'!L33</f>
        <v>90246</v>
      </c>
      <c r="D2914" s="2" t="str">
        <f t="shared" si="44"/>
        <v>Error?</v>
      </c>
    </row>
    <row r="2915" spans="1:4" x14ac:dyDescent="0.2">
      <c r="A2915" s="10">
        <v>2854</v>
      </c>
      <c r="D2915" s="2" t="str">
        <f t="shared" si="44"/>
        <v>OK</v>
      </c>
    </row>
    <row r="2916" spans="1:4" x14ac:dyDescent="0.2">
      <c r="A2916" s="5">
        <v>2855</v>
      </c>
      <c r="B2916" s="138">
        <f>'Assets-Liab 5-6'!L34</f>
        <v>90246</v>
      </c>
      <c r="C2916" s="2" t="s">
        <v>573</v>
      </c>
      <c r="D2916" s="2" t="str">
        <f t="shared" si="44"/>
        <v>Error?</v>
      </c>
    </row>
    <row r="2917" spans="1:4" x14ac:dyDescent="0.2">
      <c r="A2917" s="5">
        <v>2856</v>
      </c>
      <c r="B2917" s="138">
        <f>'Assets-Liab 5-6'!L41</f>
        <v>90246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982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982</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31302</v>
      </c>
      <c r="C3225" s="2" t="s">
        <v>573</v>
      </c>
      <c r="D3225" s="2" t="str">
        <f t="shared" si="49"/>
        <v>Error?</v>
      </c>
    </row>
    <row r="3226" spans="1:4" x14ac:dyDescent="0.2">
      <c r="A3226" s="5">
        <v>3165</v>
      </c>
      <c r="B3226" s="138">
        <f>'Acct Summary 7-8'!I8</f>
        <v>31302</v>
      </c>
      <c r="C3226" s="2" t="s">
        <v>573</v>
      </c>
      <c r="D3226" s="2" t="str">
        <f t="shared" si="49"/>
        <v>Error?</v>
      </c>
    </row>
    <row r="3227" spans="1:4" x14ac:dyDescent="0.2">
      <c r="A3227" s="5">
        <v>3166</v>
      </c>
      <c r="B3227" s="138">
        <f>'Acct Summary 7-8'!I20</f>
        <v>31302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17189</v>
      </c>
      <c r="C3231" s="2" t="s">
        <v>573</v>
      </c>
      <c r="D3231" s="2" t="str">
        <f t="shared" si="49"/>
        <v>Error?</v>
      </c>
    </row>
    <row r="3232" spans="1:4" x14ac:dyDescent="0.2">
      <c r="A3232" s="5">
        <v>3171</v>
      </c>
      <c r="B3232" s="138">
        <f>'Acct Summary 7-8'!C77</f>
        <v>-17189</v>
      </c>
      <c r="C3232" s="2" t="s">
        <v>573</v>
      </c>
      <c r="D3232" s="2" t="str">
        <f t="shared" si="49"/>
        <v>Error?</v>
      </c>
    </row>
    <row r="3233" spans="1:4" x14ac:dyDescent="0.2">
      <c r="A3233" s="5">
        <v>3172</v>
      </c>
      <c r="B3233" s="138">
        <f>'Acct Summary 7-8'!C78</f>
        <v>49473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7329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29180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4204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17189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17189</v>
      </c>
      <c r="C3277" s="2" t="s">
        <v>573</v>
      </c>
      <c r="D3277" s="2" t="str">
        <f t="shared" si="50"/>
        <v>Error?</v>
      </c>
    </row>
    <row r="3278" spans="1:4" x14ac:dyDescent="0.2">
      <c r="A3278" s="5">
        <v>3217</v>
      </c>
      <c r="B3278" s="138">
        <f>'Acct Summary 7-8'!E78</f>
        <v>1369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1020607</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1020607</v>
      </c>
      <c r="C3299" s="2" t="s">
        <v>573</v>
      </c>
      <c r="D3299" s="2" t="str">
        <f t="shared" si="50"/>
        <v>Error?</v>
      </c>
    </row>
    <row r="3300" spans="1:4" x14ac:dyDescent="0.2">
      <c r="A3300" s="5">
        <v>3239</v>
      </c>
      <c r="B3300" s="138">
        <f>'Acct Summary 7-8'!H78</f>
        <v>108841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31302</v>
      </c>
      <c r="C3320" s="2" t="s">
        <v>573</v>
      </c>
      <c r="D3320" s="2" t="str">
        <f t="shared" si="50"/>
        <v>Error?</v>
      </c>
    </row>
    <row r="3321" spans="1:4" x14ac:dyDescent="0.2">
      <c r="A3321" s="5">
        <v>3260</v>
      </c>
      <c r="B3321" s="138">
        <f>'Acct Summary 7-8'!I79</f>
        <v>2289147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2320449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2210062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346745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85157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82174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2724138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135</v>
      </c>
      <c r="D3387" s="2" t="str">
        <f t="shared" si="51"/>
        <v>Error?</v>
      </c>
    </row>
    <row r="3388" spans="1:4" x14ac:dyDescent="0.2">
      <c r="A3388" s="5">
        <v>3327</v>
      </c>
      <c r="B3388" s="138">
        <f>'Expenditures 15-22'!D217</f>
        <v>121180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135</v>
      </c>
      <c r="C3390" s="2" t="s">
        <v>573</v>
      </c>
      <c r="D3390" s="2" t="str">
        <f t="shared" si="51"/>
        <v>Error?</v>
      </c>
    </row>
    <row r="3391" spans="1:4" x14ac:dyDescent="0.2">
      <c r="A3391" s="5">
        <v>3330</v>
      </c>
      <c r="B3391" s="138">
        <f>'Expenditures 15-22'!K217</f>
        <v>121180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1188916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6157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8944</v>
      </c>
      <c r="D3417" s="2" t="str">
        <f t="shared" si="52"/>
        <v>Error?</v>
      </c>
    </row>
    <row r="3418" spans="1:4" x14ac:dyDescent="0.2">
      <c r="A3418" s="10">
        <v>3357</v>
      </c>
      <c r="D3418" s="2" t="str">
        <f t="shared" si="52"/>
        <v>OK</v>
      </c>
    </row>
    <row r="3419" spans="1:4" x14ac:dyDescent="0.2">
      <c r="A3419" s="5">
        <v>3358</v>
      </c>
      <c r="B3419" s="138">
        <f>'Assets-Liab 5-6'!F4</f>
        <v>4044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25935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26242</v>
      </c>
      <c r="D3425" s="2" t="str">
        <f t="shared" si="52"/>
        <v>Error?</v>
      </c>
    </row>
    <row r="3426" spans="1:4" x14ac:dyDescent="0.2">
      <c r="A3426" s="10">
        <v>3365</v>
      </c>
      <c r="D3426" s="2" t="str">
        <f t="shared" si="52"/>
        <v>OK</v>
      </c>
    </row>
    <row r="3427" spans="1:4" x14ac:dyDescent="0.2">
      <c r="A3427" s="5">
        <v>3366</v>
      </c>
      <c r="B3427" s="138">
        <f>'Assets-Liab 5-6'!I4</f>
        <v>4877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90246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142431</v>
      </c>
      <c r="C3446" s="2" t="s">
        <v>573</v>
      </c>
      <c r="D3446" s="2" t="str">
        <f t="shared" si="52"/>
        <v>Error?</v>
      </c>
    </row>
    <row r="3447" spans="1:4" x14ac:dyDescent="0.2">
      <c r="A3447" s="5">
        <v>3386</v>
      </c>
      <c r="B3447" s="138">
        <f>'Tax Sched 23'!D16</f>
        <v>142431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145220</v>
      </c>
      <c r="C3449" s="2" t="s">
        <v>573</v>
      </c>
      <c r="D3449" s="2" t="str">
        <f t="shared" si="52"/>
        <v>Error?</v>
      </c>
    </row>
    <row r="3450" spans="1:4" x14ac:dyDescent="0.2">
      <c r="A3450" s="5">
        <v>3389</v>
      </c>
      <c r="B3450" s="138">
        <f>'Tax Sched 23'!E16</f>
        <v>145220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536997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536997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536997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126648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128743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128743</v>
      </c>
      <c r="D3567" s="2" t="str">
        <f t="shared" si="54"/>
        <v>Error?</v>
      </c>
    </row>
    <row r="3568" spans="1:4" x14ac:dyDescent="0.2">
      <c r="A3568" s="5">
        <v>3507</v>
      </c>
      <c r="B3568" s="138">
        <f>'Assets-Liab 5-6'!K41</f>
        <v>128743</v>
      </c>
      <c r="C3568" s="2" t="s">
        <v>573</v>
      </c>
      <c r="D3568" s="2" t="str">
        <f t="shared" si="54"/>
        <v>Error?</v>
      </c>
    </row>
    <row r="3569" spans="1:4" x14ac:dyDescent="0.2">
      <c r="A3569" s="5">
        <v>3508</v>
      </c>
      <c r="B3569" s="138">
        <f>'Acct Summary 7-8'!K4</f>
        <v>1448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1448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1448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1448</v>
      </c>
      <c r="C3588" s="2" t="s">
        <v>573</v>
      </c>
      <c r="D3588" s="2" t="str">
        <f t="shared" si="55"/>
        <v>Error?</v>
      </c>
    </row>
    <row r="3589" spans="1:4" x14ac:dyDescent="0.2">
      <c r="A3589" s="5">
        <v>3528</v>
      </c>
      <c r="B3589" s="138">
        <f>'Acct Summary 7-8'!K79</f>
        <v>127295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128743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24238</v>
      </c>
      <c r="C3725" s="2" t="s">
        <v>573</v>
      </c>
      <c r="D3725" s="2" t="str">
        <f t="shared" si="57"/>
        <v>Error?</v>
      </c>
    </row>
    <row r="3726" spans="1:4" x14ac:dyDescent="0.2">
      <c r="A3726" s="5">
        <v>3665</v>
      </c>
      <c r="B3726" s="138">
        <f>'Tax Sched 23'!D13</f>
        <v>24238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24712</v>
      </c>
      <c r="C3728" s="2" t="s">
        <v>573</v>
      </c>
      <c r="D3728" s="2" t="str">
        <f t="shared" si="57"/>
        <v>Error?</v>
      </c>
    </row>
    <row r="3729" spans="1:4" x14ac:dyDescent="0.2">
      <c r="A3729" s="5">
        <v>3668</v>
      </c>
      <c r="B3729" s="138">
        <f>'Tax Sched 23'!E13</f>
        <v>24712</v>
      </c>
      <c r="D3729" s="2" t="str">
        <f t="shared" si="57"/>
        <v>Error?</v>
      </c>
    </row>
    <row r="3730" spans="1:4" x14ac:dyDescent="0.2">
      <c r="A3730" s="5">
        <v>3669</v>
      </c>
      <c r="B3730" s="138">
        <f>'ICR Computation 30'!E10</f>
        <v>291684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9628</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4804</v>
      </c>
      <c r="D4083" s="2" t="str">
        <f t="shared" si="62"/>
        <v>Error?</v>
      </c>
    </row>
    <row r="4084" spans="1:4" x14ac:dyDescent="0.2">
      <c r="A4084" s="5">
        <v>4023</v>
      </c>
      <c r="B4084" s="138">
        <f>'Expenditures 15-22'!F180</f>
        <v>5551</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19983</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4997536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17266929</v>
      </c>
      <c r="C4122" s="2" t="s">
        <v>573</v>
      </c>
      <c r="D4122" s="2" t="str">
        <f t="shared" si="63"/>
        <v>Error?</v>
      </c>
    </row>
    <row r="4123" spans="1:4" x14ac:dyDescent="0.2">
      <c r="A4123" s="5">
        <v>4062</v>
      </c>
      <c r="B4123" s="138">
        <f>'Acct Summary 7-8'!D10</f>
        <v>622305</v>
      </c>
      <c r="C4123" s="2" t="s">
        <v>573</v>
      </c>
      <c r="D4123" s="2" t="str">
        <f t="shared" si="63"/>
        <v>Error?</v>
      </c>
    </row>
    <row r="4124" spans="1:4" x14ac:dyDescent="0.2">
      <c r="A4124" s="5">
        <v>4063</v>
      </c>
      <c r="B4124" s="138">
        <f>'Acct Summary 7-8'!E10</f>
        <v>554710</v>
      </c>
      <c r="C4124" s="2" t="s">
        <v>573</v>
      </c>
      <c r="D4124" s="2" t="str">
        <f t="shared" si="63"/>
        <v>Error?</v>
      </c>
    </row>
    <row r="4125" spans="1:4" x14ac:dyDescent="0.2">
      <c r="A4125" s="5">
        <v>4064</v>
      </c>
      <c r="B4125" s="138">
        <f>'Acct Summary 7-8'!F10</f>
        <v>1110167</v>
      </c>
      <c r="C4125" s="2" t="s">
        <v>573</v>
      </c>
      <c r="D4125" s="2" t="str">
        <f t="shared" si="63"/>
        <v>Error?</v>
      </c>
    </row>
    <row r="4126" spans="1:4" x14ac:dyDescent="0.2">
      <c r="A4126" s="5">
        <v>4065</v>
      </c>
      <c r="B4126" s="138">
        <f>'Acct Summary 7-8'!G10</f>
        <v>400996</v>
      </c>
      <c r="C4126" s="2" t="s">
        <v>573</v>
      </c>
      <c r="D4126" s="2" t="str">
        <f t="shared" si="63"/>
        <v>Error?</v>
      </c>
    </row>
    <row r="4127" spans="1:4" x14ac:dyDescent="0.2">
      <c r="A4127" s="5">
        <v>4066</v>
      </c>
      <c r="B4127" s="138">
        <f>'Acct Summary 7-8'!H10</f>
        <v>496207</v>
      </c>
      <c r="C4127" s="2" t="s">
        <v>573</v>
      </c>
      <c r="D4127" s="2" t="str">
        <f t="shared" si="63"/>
        <v>Error?</v>
      </c>
    </row>
    <row r="4128" spans="1:4" x14ac:dyDescent="0.2">
      <c r="A4128" s="5">
        <v>4067</v>
      </c>
      <c r="B4128" s="138">
        <f>'Acct Summary 7-8'!I10</f>
        <v>31302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1448</v>
      </c>
      <c r="C4130" s="2" t="s">
        <v>573</v>
      </c>
      <c r="D4130" s="2" t="str">
        <f t="shared" si="63"/>
        <v>Error?</v>
      </c>
    </row>
    <row r="4131" spans="1:4" x14ac:dyDescent="0.2">
      <c r="A4131" s="5">
        <v>4070</v>
      </c>
      <c r="B4131" s="138">
        <f>'Acct Summary 7-8'!C18</f>
        <v>4997536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17200267</v>
      </c>
      <c r="C4136" s="2" t="s">
        <v>573</v>
      </c>
      <c r="D4136" s="2" t="str">
        <f t="shared" si="63"/>
        <v>Error?</v>
      </c>
    </row>
    <row r="4137" spans="1:4" x14ac:dyDescent="0.2">
      <c r="A4137" s="5">
        <v>4076</v>
      </c>
      <c r="B4137" s="138">
        <f>'Acct Summary 7-8'!D19</f>
        <v>614976</v>
      </c>
      <c r="C4137" s="2" t="s">
        <v>573</v>
      </c>
      <c r="D4137" s="2" t="str">
        <f t="shared" si="63"/>
        <v>Error?</v>
      </c>
    </row>
    <row r="4138" spans="1:4" x14ac:dyDescent="0.2">
      <c r="A4138" s="5">
        <v>4077</v>
      </c>
      <c r="B4138" s="138">
        <f>'Acct Summary 7-8'!E19</f>
        <v>570530</v>
      </c>
      <c r="C4138" s="2" t="s">
        <v>573</v>
      </c>
      <c r="D4138" s="2" t="str">
        <f t="shared" si="63"/>
        <v>Error?</v>
      </c>
    </row>
    <row r="4139" spans="1:4" x14ac:dyDescent="0.2">
      <c r="A4139" s="5">
        <v>4078</v>
      </c>
      <c r="B4139" s="138">
        <f>'Acct Summary 7-8'!F19</f>
        <v>1080987</v>
      </c>
      <c r="C4139" s="2" t="s">
        <v>573</v>
      </c>
      <c r="D4139" s="2" t="str">
        <f t="shared" si="63"/>
        <v>Error?</v>
      </c>
    </row>
    <row r="4140" spans="1:4" x14ac:dyDescent="0.2">
      <c r="A4140" s="5">
        <v>4079</v>
      </c>
      <c r="B4140" s="138">
        <f>'Acct Summary 7-8'!G19</f>
        <v>396792</v>
      </c>
      <c r="C4140" s="2" t="s">
        <v>573</v>
      </c>
      <c r="D4140" s="2" t="str">
        <f t="shared" si="63"/>
        <v>Error?</v>
      </c>
    </row>
    <row r="4141" spans="1:4" x14ac:dyDescent="0.2">
      <c r="A4141" s="5">
        <v>4080</v>
      </c>
      <c r="B4141" s="138">
        <f>'Acct Summary 7-8'!H19</f>
        <v>1407973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2346984</v>
      </c>
      <c r="C4171" s="2" t="s">
        <v>573</v>
      </c>
      <c r="D4171" s="2" t="str">
        <f t="shared" si="64"/>
        <v>Error?</v>
      </c>
    </row>
    <row r="4172" spans="1:4" x14ac:dyDescent="0.2">
      <c r="A4172" s="5">
        <v>4111</v>
      </c>
      <c r="B4172" s="138">
        <f>'Short-Term Long-Term Debt 24'!J49</f>
        <v>2338036</v>
      </c>
      <c r="C4172" s="2" t="s">
        <v>573</v>
      </c>
      <c r="D4172" s="2" t="str">
        <f t="shared" si="64"/>
        <v>Error?</v>
      </c>
    </row>
    <row r="4173" spans="1:4" x14ac:dyDescent="0.2">
      <c r="A4173" s="5">
        <v>4112</v>
      </c>
      <c r="B4173" s="138">
        <f>'Short-Term Long-Term Debt 24'!H49</f>
        <v>497016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2879.02</v>
      </c>
      <c r="C4265" s="2" t="s">
        <v>573</v>
      </c>
      <c r="D4265" s="2" t="str">
        <f t="shared" si="65"/>
        <v>Error?</v>
      </c>
      <c r="E4265" s="128"/>
    </row>
    <row r="4266" spans="1:5" x14ac:dyDescent="0.2">
      <c r="A4266" s="12">
        <v>4205</v>
      </c>
      <c r="B4266" s="138">
        <f>('FP Info 3'!F10)*100000</f>
        <v>298.94</v>
      </c>
      <c r="C4266" s="2" t="s">
        <v>573</v>
      </c>
      <c r="D4266" s="2" t="str">
        <f t="shared" si="65"/>
        <v>Error?</v>
      </c>
      <c r="E4266" s="128"/>
    </row>
    <row r="4267" spans="1:5" x14ac:dyDescent="0.2">
      <c r="A4267" s="12">
        <v>4206</v>
      </c>
      <c r="B4267" s="138">
        <f>('FP Info 3'!H10)*100000</f>
        <v>150.54999999999998</v>
      </c>
      <c r="C4267" s="2" t="s">
        <v>573</v>
      </c>
      <c r="D4267" s="2" t="str">
        <f t="shared" si="65"/>
        <v>Error?</v>
      </c>
      <c r="E4267" s="128"/>
    </row>
    <row r="4268" spans="1:5" x14ac:dyDescent="0.2">
      <c r="A4268" s="12">
        <v>4207</v>
      </c>
      <c r="B4268" s="138">
        <f>('FP Info 3'!J10)*100000</f>
        <v>3329</v>
      </c>
      <c r="C4268" s="2" t="s">
        <v>573</v>
      </c>
      <c r="D4268" s="2" t="str">
        <f t="shared" si="65"/>
        <v>Error?</v>
      </c>
    </row>
    <row r="4269" spans="1:5" x14ac:dyDescent="0.2">
      <c r="A4269" s="12">
        <v>4208</v>
      </c>
      <c r="B4269" s="138">
        <f>'FP Info 3'!J16</f>
        <v>7399357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30549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286533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20461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2.6999999999999997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183730341</v>
      </c>
      <c r="D4995" s="2" t="str">
        <f t="shared" si="77"/>
        <v>Error?</v>
      </c>
    </row>
    <row r="4996" spans="1:4" x14ac:dyDescent="0.2">
      <c r="A4996" s="12">
        <v>4935</v>
      </c>
      <c r="B4996" s="138">
        <f>'FP Info 3'!H31</f>
        <v>12677393.529000001</v>
      </c>
      <c r="D4996" s="2" t="str">
        <f t="shared" si="77"/>
        <v>Error?</v>
      </c>
    </row>
    <row r="4997" spans="1:4" x14ac:dyDescent="0.2">
      <c r="A4997" s="12">
        <v>4936</v>
      </c>
      <c r="B4997" s="138">
        <f>'FP Info 3'!H37</f>
        <v>2346984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24238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4979772</v>
      </c>
      <c r="D5061" s="2" t="str">
        <f t="shared" si="78"/>
        <v>Error?</v>
      </c>
    </row>
    <row r="5062" spans="1:4" x14ac:dyDescent="0.2">
      <c r="A5062" s="10">
        <v>5001</v>
      </c>
      <c r="D5062" s="2" t="str">
        <f t="shared" si="78"/>
        <v>OK</v>
      </c>
    </row>
    <row r="5063" spans="1:4" x14ac:dyDescent="0.2">
      <c r="A5063" s="5">
        <v>5002</v>
      </c>
      <c r="B5063" s="138">
        <f>'Revenues 9-14'!C7</f>
        <v>33923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5037933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5489</v>
      </c>
      <c r="D5068" s="2" t="str">
        <f t="shared" si="78"/>
        <v>Error?</v>
      </c>
    </row>
    <row r="5069" spans="1:4" x14ac:dyDescent="0.2">
      <c r="A5069" s="5">
        <v>5008</v>
      </c>
      <c r="B5069" s="138">
        <f>'Revenues 9-14'!C16</f>
        <v>374048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379537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7026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7026</v>
      </c>
      <c r="C5087" s="2" t="s">
        <v>573</v>
      </c>
      <c r="D5087" s="2" t="str">
        <f t="shared" si="78"/>
        <v>Error?</v>
      </c>
    </row>
    <row r="5088" spans="1:4" x14ac:dyDescent="0.2">
      <c r="A5088" s="5">
        <v>5027</v>
      </c>
      <c r="B5088" s="138">
        <f>'Revenues 9-14'!C65</f>
        <v>33670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33670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16442</v>
      </c>
      <c r="D5092" s="2" t="str">
        <f t="shared" si="78"/>
        <v>Error?</v>
      </c>
    </row>
    <row r="5093" spans="1:4" x14ac:dyDescent="0.2">
      <c r="A5093" s="5">
        <v>5032</v>
      </c>
      <c r="B5093" s="138">
        <f>'Revenues 9-14'!C72</f>
        <v>407</v>
      </c>
      <c r="D5093" s="2" t="str">
        <f t="shared" si="78"/>
        <v>Error?</v>
      </c>
    </row>
    <row r="5094" spans="1:4" x14ac:dyDescent="0.2">
      <c r="A5094" s="5">
        <v>5033</v>
      </c>
      <c r="B5094" s="138">
        <f>'Revenues 9-14'!C73</f>
        <v>3652</v>
      </c>
      <c r="D5094" s="2" t="str">
        <f t="shared" si="78"/>
        <v>Error?</v>
      </c>
    </row>
    <row r="5095" spans="1:4" x14ac:dyDescent="0.2">
      <c r="A5095" s="5">
        <v>5034</v>
      </c>
      <c r="B5095" s="138">
        <f>'Revenues 9-14'!C74</f>
        <v>4242</v>
      </c>
      <c r="D5095" s="2" t="str">
        <f t="shared" si="78"/>
        <v>Error?</v>
      </c>
    </row>
    <row r="5096" spans="1:4" x14ac:dyDescent="0.2">
      <c r="A5096" s="5">
        <v>5035</v>
      </c>
      <c r="B5096" s="138">
        <f>'Revenues 9-14'!C75</f>
        <v>38475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28906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5244</v>
      </c>
      <c r="D5101" s="2" t="str">
        <f t="shared" si="78"/>
        <v>Error?</v>
      </c>
    </row>
    <row r="5102" spans="1:4" x14ac:dyDescent="0.2">
      <c r="A5102" s="5">
        <v>5041</v>
      </c>
      <c r="B5102" s="138">
        <f>'Revenues 9-14'!C82</f>
        <v>34150</v>
      </c>
      <c r="C5102" s="2" t="s">
        <v>573</v>
      </c>
      <c r="D5102" s="2" t="str">
        <f t="shared" si="78"/>
        <v>Error?</v>
      </c>
    </row>
    <row r="5103" spans="1:4" x14ac:dyDescent="0.2">
      <c r="A5103" s="5">
        <v>5042</v>
      </c>
      <c r="B5103" s="138">
        <f>'Revenues 9-14'!C84</f>
        <v>100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18200</v>
      </c>
      <c r="D5114" s="2" t="str">
        <f t="shared" si="78"/>
        <v>Error?</v>
      </c>
    </row>
    <row r="5115" spans="1:4" x14ac:dyDescent="0.2">
      <c r="A5115" s="5">
        <v>5054</v>
      </c>
      <c r="B5115" s="138">
        <f>'Revenues 9-14'!C98</f>
        <v>10000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3017</v>
      </c>
      <c r="D5119" s="2" t="str">
        <f t="shared" ref="D5119:D5182" si="79">IF(ISBLANK(B5119),"OK",IF(A5119-B5119=0,"OK","Error?"))</f>
        <v>Error?</v>
      </c>
    </row>
    <row r="5120" spans="1:4" x14ac:dyDescent="0.2">
      <c r="A5120" s="5">
        <v>5059</v>
      </c>
      <c r="B5120" s="138">
        <f>'Revenues 9-14'!C108</f>
        <v>142217</v>
      </c>
      <c r="C5120" s="2" t="s">
        <v>573</v>
      </c>
      <c r="D5120" s="2" t="str">
        <f t="shared" si="79"/>
        <v>Error?</v>
      </c>
    </row>
    <row r="5121" spans="1:4" x14ac:dyDescent="0.2">
      <c r="A5121" s="5">
        <v>5060</v>
      </c>
      <c r="B5121" s="138">
        <f>'Revenues 9-14'!C109</f>
        <v>5673108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4195571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4195571</v>
      </c>
      <c r="C5132" s="2" t="s">
        <v>573</v>
      </c>
      <c r="D5132" s="2" t="str">
        <f t="shared" si="79"/>
        <v>Error?</v>
      </c>
    </row>
    <row r="5133" spans="1:4" x14ac:dyDescent="0.2">
      <c r="A5133" s="5">
        <v>5072</v>
      </c>
      <c r="B5133" s="138">
        <f>'Revenues 9-14'!C125</f>
        <v>177431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25143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202574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9338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415947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627859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4823430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20461</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408939</v>
      </c>
      <c r="D5239" s="2" t="str">
        <f t="shared" si="80"/>
        <v>Error?</v>
      </c>
    </row>
    <row r="5240" spans="1:4" x14ac:dyDescent="0.2">
      <c r="A5240" s="5">
        <v>5179</v>
      </c>
      <c r="B5240" s="138">
        <f>'Revenues 9-14'!C192</f>
        <v>704</v>
      </c>
      <c r="D5240" s="2" t="str">
        <f t="shared" si="80"/>
        <v>Error?</v>
      </c>
    </row>
    <row r="5241" spans="1:4" x14ac:dyDescent="0.2">
      <c r="A5241" s="5">
        <v>5180</v>
      </c>
      <c r="B5241" s="138">
        <f>'Revenues 9-14'!C193</f>
        <v>152934</v>
      </c>
      <c r="D5241" s="2" t="str">
        <f t="shared" si="80"/>
        <v>Error?</v>
      </c>
    </row>
    <row r="5242" spans="1:4" x14ac:dyDescent="0.2">
      <c r="A5242" s="5">
        <v>5181</v>
      </c>
      <c r="B5242" s="138">
        <f>'Revenues 9-14'!C194</f>
        <v>1243</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563820</v>
      </c>
      <c r="C5246" s="2" t="s">
        <v>573</v>
      </c>
      <c r="D5246" s="2" t="str">
        <f t="shared" si="80"/>
        <v>Error?</v>
      </c>
    </row>
    <row r="5247" spans="1:4" x14ac:dyDescent="0.2">
      <c r="A5247" s="5">
        <v>5186</v>
      </c>
      <c r="B5247" s="138">
        <f>'Revenues 9-14'!C200</f>
        <v>544626</v>
      </c>
      <c r="D5247" s="2" t="str">
        <f t="shared" ref="D5247:D5310" si="81">IF(ISBLANK(B5247),"OK",IF(A5247-B5247=0,"OK","Error?"))</f>
        <v>Error?</v>
      </c>
    </row>
    <row r="5248" spans="1:4" x14ac:dyDescent="0.2">
      <c r="A5248" s="5">
        <v>5187</v>
      </c>
      <c r="B5248" s="138">
        <f>'Revenues 9-14'!C201</f>
        <v>12157</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556783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13232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301477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314709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1772855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1772855</v>
      </c>
      <c r="C5326" s="2" t="s">
        <v>573</v>
      </c>
      <c r="D5326" s="2" t="str">
        <f t="shared" si="82"/>
        <v>Error?</v>
      </c>
    </row>
    <row r="5327" spans="1:5" x14ac:dyDescent="0.2">
      <c r="A5327" s="5">
        <v>5266</v>
      </c>
      <c r="B5327" s="138">
        <f>'Revenues 9-14'!C268</f>
        <v>12269393</v>
      </c>
      <c r="C5327" s="2" t="s">
        <v>573</v>
      </c>
      <c r="D5327" s="2" t="str">
        <f t="shared" si="82"/>
        <v>Error?</v>
      </c>
    </row>
    <row r="5328" spans="1:5" x14ac:dyDescent="0.2">
      <c r="A5328" s="5">
        <v>5267</v>
      </c>
      <c r="B5328" s="138">
        <f>'Revenues 9-14'!D5</f>
        <v>542564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542564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595</v>
      </c>
      <c r="D5336" s="2" t="str">
        <f t="shared" si="82"/>
        <v>Error?</v>
      </c>
    </row>
    <row r="5337" spans="1:4" x14ac:dyDescent="0.2">
      <c r="A5337" s="5">
        <v>5276</v>
      </c>
      <c r="B5337" s="138">
        <f>'Revenues 9-14'!D16</f>
        <v>72000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72595</v>
      </c>
      <c r="C5339" s="2" t="s">
        <v>573</v>
      </c>
      <c r="D5339" s="2" t="str">
        <f t="shared" si="82"/>
        <v>Error?</v>
      </c>
    </row>
    <row r="5340" spans="1:4" x14ac:dyDescent="0.2">
      <c r="A5340" s="5">
        <v>5279</v>
      </c>
      <c r="B5340" s="138">
        <f>'Revenues 9-14'!D65</f>
        <v>7014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7014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132</v>
      </c>
      <c r="D5354" s="2" t="str">
        <f t="shared" si="82"/>
        <v>Error?</v>
      </c>
    </row>
    <row r="5355" spans="1:4" x14ac:dyDescent="0.2">
      <c r="A5355" s="5">
        <v>5294</v>
      </c>
      <c r="B5355" s="138">
        <f>'Revenues 9-14'!D108</f>
        <v>132</v>
      </c>
      <c r="C5355" s="2" t="s">
        <v>573</v>
      </c>
      <c r="D5355" s="2" t="str">
        <f t="shared" si="82"/>
        <v>Error?</v>
      </c>
    </row>
    <row r="5356" spans="1:4" x14ac:dyDescent="0.2">
      <c r="A5356" s="5">
        <v>5295</v>
      </c>
      <c r="B5356" s="138">
        <f>'Revenues 9-14'!D109</f>
        <v>622305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622305</v>
      </c>
      <c r="C5508" s="2" t="s">
        <v>573</v>
      </c>
      <c r="D5508" s="2" t="str">
        <f t="shared" si="85"/>
        <v>Error?</v>
      </c>
    </row>
    <row r="5509" spans="1:4" x14ac:dyDescent="0.2">
      <c r="A5509" s="5">
        <v>5448</v>
      </c>
      <c r="B5509" s="138">
        <f>'Revenues 9-14'!E5</f>
        <v>273228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273228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3901</v>
      </c>
      <c r="D5515" s="2" t="str">
        <f t="shared" si="85"/>
        <v>Error?</v>
      </c>
    </row>
    <row r="5516" spans="1:4" x14ac:dyDescent="0.2">
      <c r="A5516" s="5">
        <v>5455</v>
      </c>
      <c r="B5516" s="138">
        <f>'Revenues 9-14'!E16</f>
        <v>39514</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43415</v>
      </c>
      <c r="C5518" s="2" t="s">
        <v>573</v>
      </c>
      <c r="D5518" s="2" t="str">
        <f t="shared" si="85"/>
        <v>Error?</v>
      </c>
    </row>
    <row r="5519" spans="1:4" x14ac:dyDescent="0.2">
      <c r="A5519" s="5">
        <v>5458</v>
      </c>
      <c r="B5519" s="138">
        <f>'Revenues 9-14'!E65</f>
        <v>427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237640</v>
      </c>
      <c r="C5526" s="2" t="s">
        <v>573</v>
      </c>
      <c r="D5526" s="2" t="str">
        <f t="shared" si="85"/>
        <v>Error?</v>
      </c>
    </row>
    <row r="5527" spans="1:4" x14ac:dyDescent="0.2">
      <c r="A5527" s="5">
        <v>5466</v>
      </c>
      <c r="B5527" s="138">
        <f>'Revenues 9-14'!E109</f>
        <v>554710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554710</v>
      </c>
      <c r="C5552" s="2" t="s">
        <v>573</v>
      </c>
      <c r="D5552" s="2" t="str">
        <f t="shared" si="85"/>
        <v>Error?</v>
      </c>
    </row>
    <row r="5553" spans="1:4" x14ac:dyDescent="0.2">
      <c r="A5553" s="5">
        <v>5492</v>
      </c>
      <c r="B5553" s="138">
        <f>'Revenues 9-14'!F5</f>
        <v>290678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290678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320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320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429297</v>
      </c>
      <c r="D5564" s="2" t="str">
        <f t="shared" si="85"/>
        <v>Error?</v>
      </c>
    </row>
    <row r="5565" spans="1:4" x14ac:dyDescent="0.2">
      <c r="A5565" s="5">
        <v>5504</v>
      </c>
      <c r="B5565" s="138">
        <f>'Revenues 9-14'!F44</f>
        <v>3380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432677</v>
      </c>
      <c r="C5579" s="2" t="s">
        <v>573</v>
      </c>
      <c r="D5579" s="2" t="str">
        <f t="shared" si="86"/>
        <v>Error?</v>
      </c>
    </row>
    <row r="5580" spans="1:4" x14ac:dyDescent="0.2">
      <c r="A5580" s="5">
        <v>5519</v>
      </c>
      <c r="B5580" s="138">
        <f>'Revenues 9-14'!F65</f>
        <v>18381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18381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3109</v>
      </c>
      <c r="D5586" s="2" t="str">
        <f t="shared" si="86"/>
        <v>Error?</v>
      </c>
    </row>
    <row r="5587" spans="1:4" x14ac:dyDescent="0.2">
      <c r="A5587" s="5">
        <v>5526</v>
      </c>
      <c r="B5587" s="138">
        <f>'Revenues 9-14'!F108</f>
        <v>3109</v>
      </c>
      <c r="C5587" s="2" t="s">
        <v>573</v>
      </c>
      <c r="D5587" s="2" t="str">
        <f t="shared" si="86"/>
        <v>Error?</v>
      </c>
    </row>
    <row r="5588" spans="1:4" x14ac:dyDescent="0.2">
      <c r="A5588" s="5">
        <v>5527</v>
      </c>
      <c r="B5588" s="138">
        <f>'Revenues 9-14'!F109</f>
        <v>745165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208202</v>
      </c>
      <c r="D5615" s="2" t="str">
        <f t="shared" si="86"/>
        <v>Error?</v>
      </c>
    </row>
    <row r="5616" spans="1:4" x14ac:dyDescent="0.2">
      <c r="A5616" s="10">
        <v>5555</v>
      </c>
      <c r="D5616" s="2" t="str">
        <f t="shared" si="86"/>
        <v>OK</v>
      </c>
    </row>
    <row r="5617" spans="1:5" x14ac:dyDescent="0.2">
      <c r="A5617" s="5">
        <v>5556</v>
      </c>
      <c r="B5617" s="138">
        <f>'Revenues 9-14'!F153</f>
        <v>156800</v>
      </c>
      <c r="D5617" s="2" t="str">
        <f t="shared" si="86"/>
        <v>Error?</v>
      </c>
    </row>
    <row r="5618" spans="1:5" x14ac:dyDescent="0.2">
      <c r="A5618" s="5">
        <v>5557</v>
      </c>
      <c r="B5618" s="138">
        <f>'Revenues 9-14'!F155</f>
        <v>365002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365002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365002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1110167</v>
      </c>
      <c r="C5720" s="2" t="s">
        <v>573</v>
      </c>
      <c r="D5720" s="2" t="str">
        <f t="shared" si="88"/>
        <v>Error?</v>
      </c>
    </row>
    <row r="5721" spans="1:4" x14ac:dyDescent="0.2">
      <c r="A5721" s="5">
        <v>5660</v>
      </c>
      <c r="B5721" s="138">
        <f>'Revenues 9-14'!G5</f>
        <v>125971</v>
      </c>
      <c r="D5721" s="2" t="str">
        <f t="shared" si="88"/>
        <v>Error?</v>
      </c>
    </row>
    <row r="5722" spans="1:4" x14ac:dyDescent="0.2">
      <c r="A5722" s="5">
        <v>5661</v>
      </c>
      <c r="B5722" s="138">
        <f>'Revenues 9-14'!G7</f>
        <v>0</v>
      </c>
      <c r="D5722" s="2" t="str">
        <f t="shared" si="88"/>
        <v>Error?</v>
      </c>
    </row>
    <row r="5723" spans="1:4" x14ac:dyDescent="0.2">
      <c r="A5723" s="5">
        <v>5662</v>
      </c>
      <c r="B5723" s="138">
        <f>'Revenues 9-14'!G8</f>
        <v>142431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268402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293</v>
      </c>
      <c r="D5727" s="2" t="str">
        <f t="shared" si="88"/>
        <v>Error?</v>
      </c>
    </row>
    <row r="5728" spans="1:4" x14ac:dyDescent="0.2">
      <c r="A5728" s="5">
        <v>5667</v>
      </c>
      <c r="B5728" s="138">
        <f>'Revenues 9-14'!G16</f>
        <v>70000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70293</v>
      </c>
      <c r="C5730" s="2" t="s">
        <v>573</v>
      </c>
      <c r="D5730" s="2" t="str">
        <f t="shared" si="88"/>
        <v>Error?</v>
      </c>
    </row>
    <row r="5731" spans="1:4" x14ac:dyDescent="0.2">
      <c r="A5731" s="5">
        <v>5670</v>
      </c>
      <c r="B5731" s="138">
        <f>'Revenues 9-14'!G65</f>
        <v>2301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2301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60000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400996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8785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8785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487422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496207</v>
      </c>
      <c r="C5915" s="2" t="s">
        <v>573</v>
      </c>
      <c r="D5915" s="2" t="str">
        <f t="shared" si="91"/>
        <v>Error?</v>
      </c>
    </row>
    <row r="5916" spans="1:4" x14ac:dyDescent="0.2">
      <c r="A5916" s="5">
        <v>5855</v>
      </c>
      <c r="B5916" s="138">
        <f>'Revenues 9-14'!I5</f>
        <v>4852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4852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3</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v>
      </c>
      <c r="C5923" s="2" t="s">
        <v>573</v>
      </c>
      <c r="D5923" s="2" t="str">
        <f t="shared" si="91"/>
        <v>Error?</v>
      </c>
    </row>
    <row r="5924" spans="1:4" x14ac:dyDescent="0.2">
      <c r="A5924" s="5">
        <v>5863</v>
      </c>
      <c r="B5924" s="138">
        <f>'Revenues 9-14'!I65</f>
        <v>26447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26447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31302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1448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1448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1448</v>
      </c>
      <c r="C6023" s="2" t="s">
        <v>573</v>
      </c>
      <c r="D6023" s="2" t="str">
        <f t="shared" si="93"/>
        <v>Error?</v>
      </c>
    </row>
    <row r="6024" spans="1:5" x14ac:dyDescent="0.2">
      <c r="A6024" s="5">
        <v>5963</v>
      </c>
      <c r="B6024" s="138">
        <f>'Revenues 9-14'!G109</f>
        <v>400996</v>
      </c>
      <c r="C6024" s="2" t="s">
        <v>573</v>
      </c>
      <c r="D6024" s="2" t="str">
        <f t="shared" si="93"/>
        <v>Error?</v>
      </c>
    </row>
    <row r="6025" spans="1:5" x14ac:dyDescent="0.2">
      <c r="A6025" s="5">
        <v>5964</v>
      </c>
      <c r="B6025" s="138">
        <f>'Revenues 9-14'!H109</f>
        <v>496207</v>
      </c>
      <c r="C6025" s="2" t="s">
        <v>573</v>
      </c>
      <c r="D6025" s="2" t="str">
        <f t="shared" si="93"/>
        <v>Error?</v>
      </c>
    </row>
    <row r="6026" spans="1:5" x14ac:dyDescent="0.2">
      <c r="A6026" s="5">
        <v>5965</v>
      </c>
      <c r="B6026" s="138">
        <f>'Revenues 9-14'!I109</f>
        <v>31302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1448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13732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53067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1088.4000000000001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165090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165090</v>
      </c>
      <c r="D6215" s="2" t="str">
        <f t="shared" si="96"/>
        <v>Error?</v>
      </c>
      <c r="E6215" s="2" t="s">
        <v>190</v>
      </c>
    </row>
    <row r="6216" spans="1:5" x14ac:dyDescent="0.2">
      <c r="A6216">
        <v>6155</v>
      </c>
      <c r="B6216" s="138">
        <f>'Assets-Liab 5-6'!J41</f>
        <v>165090</v>
      </c>
      <c r="D6216" s="2" t="str">
        <f t="shared" si="96"/>
        <v>Error?</v>
      </c>
      <c r="E6216" s="2" t="s">
        <v>190</v>
      </c>
    </row>
    <row r="6217" spans="1:5" x14ac:dyDescent="0.2">
      <c r="A6217">
        <v>6156</v>
      </c>
      <c r="B6217" s="138">
        <f>'Assets-Liab 5-6'!J4</f>
        <v>5286</v>
      </c>
      <c r="D6217" s="2" t="str">
        <f t="shared" si="96"/>
        <v>Error?</v>
      </c>
      <c r="E6217" s="2" t="s">
        <v>190</v>
      </c>
    </row>
    <row r="6218" spans="1:5" x14ac:dyDescent="0.2">
      <c r="A6218">
        <v>6157</v>
      </c>
      <c r="B6218" s="138">
        <f>'Assets-Liab 5-6'!J5</f>
        <v>159804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27293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27293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27293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26734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26734</v>
      </c>
      <c r="D6229" s="2" t="str">
        <f t="shared" si="96"/>
        <v>Error?</v>
      </c>
      <c r="E6229" s="2" t="s">
        <v>190</v>
      </c>
    </row>
    <row r="6230" spans="1:5" x14ac:dyDescent="0.2">
      <c r="A6230">
        <v>6169</v>
      </c>
      <c r="B6230" s="138">
        <f>'Acct Summary 7-8'!J20</f>
        <v>559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17016</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173</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559</v>
      </c>
      <c r="D6263" s="2" t="str">
        <f t="shared" si="96"/>
        <v>Error?</v>
      </c>
      <c r="E6263" s="2" t="s">
        <v>190</v>
      </c>
    </row>
    <row r="6264" spans="1:5" x14ac:dyDescent="0.2">
      <c r="A6264">
        <v>6203</v>
      </c>
      <c r="B6264" s="138">
        <f>'Acct Summary 7-8'!J79</f>
        <v>164531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165090</v>
      </c>
      <c r="D6266" s="2" t="str">
        <f t="shared" si="96"/>
        <v>Error?</v>
      </c>
      <c r="E6266" s="2" t="s">
        <v>190</v>
      </c>
    </row>
    <row r="6267" spans="1:5" x14ac:dyDescent="0.2">
      <c r="A6267">
        <v>6206</v>
      </c>
      <c r="B6267" s="138">
        <f>'Acct Summary 7-8'!C82</f>
        <v>49473</v>
      </c>
      <c r="D6267" s="2" t="str">
        <f t="shared" si="96"/>
        <v>Error?</v>
      </c>
      <c r="E6267" s="2" t="s">
        <v>190</v>
      </c>
    </row>
    <row r="6268" spans="1:5" x14ac:dyDescent="0.2">
      <c r="A6268">
        <v>6207</v>
      </c>
      <c r="B6268" s="138">
        <f>'Acct Summary 7-8'!D82</f>
        <v>7329</v>
      </c>
      <c r="D6268" s="2" t="str">
        <f t="shared" si="96"/>
        <v>Error?</v>
      </c>
      <c r="E6268" s="2" t="s">
        <v>190</v>
      </c>
    </row>
    <row r="6269" spans="1:5" x14ac:dyDescent="0.2">
      <c r="A6269">
        <v>6208</v>
      </c>
      <c r="B6269" s="138">
        <f>'Acct Summary 7-8'!E82</f>
        <v>1369</v>
      </c>
      <c r="D6269" s="2" t="str">
        <f t="shared" si="96"/>
        <v>Error?</v>
      </c>
      <c r="E6269" s="2" t="s">
        <v>190</v>
      </c>
    </row>
    <row r="6270" spans="1:5" x14ac:dyDescent="0.2">
      <c r="A6270">
        <v>6209</v>
      </c>
      <c r="B6270" s="138">
        <f>'Acct Summary 7-8'!F82</f>
        <v>29180</v>
      </c>
      <c r="D6270" s="2" t="str">
        <f t="shared" si="96"/>
        <v>Error?</v>
      </c>
      <c r="E6270" s="2" t="s">
        <v>190</v>
      </c>
    </row>
    <row r="6271" spans="1:5" x14ac:dyDescent="0.2">
      <c r="A6271">
        <v>6210</v>
      </c>
      <c r="B6271" s="138">
        <f>'Acct Summary 7-8'!G82</f>
        <v>4204</v>
      </c>
      <c r="D6271" s="2" t="str">
        <f t="shared" ref="D6271:D6334" si="97">IF(ISBLANK(B6271),"OK",IF(A6271-B6271=0,"OK","Error?"))</f>
        <v>Error?</v>
      </c>
      <c r="E6271" s="2" t="s">
        <v>190</v>
      </c>
    </row>
    <row r="6272" spans="1:5" x14ac:dyDescent="0.2">
      <c r="A6272">
        <v>6211</v>
      </c>
      <c r="B6272" s="138">
        <f>'Acct Summary 7-8'!H82</f>
        <v>108841</v>
      </c>
      <c r="D6272" s="2" t="str">
        <f t="shared" si="97"/>
        <v>Error?</v>
      </c>
      <c r="E6272" s="2" t="s">
        <v>190</v>
      </c>
    </row>
    <row r="6273" spans="1:5" x14ac:dyDescent="0.2">
      <c r="A6273">
        <v>6212</v>
      </c>
      <c r="B6273" s="138">
        <f>'Acct Summary 7-8'!I82</f>
        <v>31302</v>
      </c>
      <c r="D6273" s="2" t="str">
        <f t="shared" si="97"/>
        <v>Error?</v>
      </c>
      <c r="E6273" s="2" t="s">
        <v>190</v>
      </c>
    </row>
    <row r="6274" spans="1:5" x14ac:dyDescent="0.2">
      <c r="A6274">
        <v>6213</v>
      </c>
      <c r="B6274" s="138">
        <f>'Acct Summary 7-8'!J82</f>
        <v>559</v>
      </c>
      <c r="D6274" s="2" t="str">
        <f t="shared" si="97"/>
        <v>Error?</v>
      </c>
      <c r="E6274" s="2" t="s">
        <v>190</v>
      </c>
    </row>
    <row r="6275" spans="1:5" x14ac:dyDescent="0.2">
      <c r="A6275">
        <v>6214</v>
      </c>
      <c r="B6275" s="138">
        <f>'Acct Summary 7-8'!K82</f>
        <v>1448</v>
      </c>
      <c r="D6275" s="2" t="str">
        <f t="shared" si="97"/>
        <v>Error?</v>
      </c>
      <c r="E6275" s="2" t="s">
        <v>190</v>
      </c>
    </row>
    <row r="6276" spans="1:5" x14ac:dyDescent="0.2">
      <c r="A6276">
        <v>6215</v>
      </c>
      <c r="B6276" s="138">
        <f>'Acct Summary 7-8'!C83</f>
        <v>1.7639659336686341E-2</v>
      </c>
      <c r="D6276" s="2" t="str">
        <f t="shared" si="97"/>
        <v>Error?</v>
      </c>
      <c r="E6276" s="2" t="s">
        <v>190</v>
      </c>
    </row>
    <row r="6277" spans="1:5" x14ac:dyDescent="0.2">
      <c r="A6277">
        <v>6216</v>
      </c>
      <c r="B6277" s="138">
        <f>'Acct Summary 7-8'!D83</f>
        <v>1.544195728757564E-2</v>
      </c>
      <c r="D6277" s="2" t="str">
        <f t="shared" si="97"/>
        <v>Error?</v>
      </c>
      <c r="E6277" s="2" t="s">
        <v>190</v>
      </c>
    </row>
    <row r="6278" spans="1:5" x14ac:dyDescent="0.2">
      <c r="A6278">
        <v>6217</v>
      </c>
      <c r="B6278" s="138">
        <f>'Acct Summary 7-8'!E83</f>
        <v>0.15299508270004469</v>
      </c>
      <c r="D6278" s="2" t="str">
        <f t="shared" si="97"/>
        <v>Error?</v>
      </c>
      <c r="E6278" s="2" t="s">
        <v>190</v>
      </c>
    </row>
    <row r="6279" spans="1:5" x14ac:dyDescent="0.2">
      <c r="A6279">
        <v>6218</v>
      </c>
      <c r="B6279" s="138">
        <f>'Acct Summary 7-8'!F83</f>
        <v>1.6214299923429387E-2</v>
      </c>
      <c r="D6279" s="2" t="str">
        <f t="shared" si="97"/>
        <v>Error?</v>
      </c>
      <c r="E6279" s="2" t="s">
        <v>190</v>
      </c>
    </row>
    <row r="6280" spans="1:5" x14ac:dyDescent="0.2">
      <c r="A6280">
        <v>6219</v>
      </c>
      <c r="B6280" s="138">
        <f>'Acct Summary 7-8'!G83</f>
        <v>2.0562786443430327E-2</v>
      </c>
      <c r="D6280" s="2" t="str">
        <f t="shared" si="97"/>
        <v>Error?</v>
      </c>
      <c r="E6280" s="2" t="s">
        <v>190</v>
      </c>
    </row>
    <row r="6281" spans="1:5" x14ac:dyDescent="0.2">
      <c r="A6281">
        <v>6220</v>
      </c>
      <c r="B6281" s="138">
        <f>'Acct Summary 7-8'!H83</f>
        <v>8.6537582360616067E-2</v>
      </c>
      <c r="D6281" s="2" t="str">
        <f t="shared" si="97"/>
        <v>Error?</v>
      </c>
      <c r="E6281" s="2" t="s">
        <v>190</v>
      </c>
    </row>
    <row r="6282" spans="1:5" x14ac:dyDescent="0.2">
      <c r="A6282">
        <v>6221</v>
      </c>
      <c r="B6282" s="138">
        <f>'Acct Summary 7-8'!I83</f>
        <v>1.3489630670615902E-2</v>
      </c>
      <c r="D6282" s="2" t="str">
        <f t="shared" si="97"/>
        <v>Error?</v>
      </c>
      <c r="E6282" s="2" t="s">
        <v>190</v>
      </c>
    </row>
    <row r="6283" spans="1:5" x14ac:dyDescent="0.2">
      <c r="A6283">
        <v>6222</v>
      </c>
      <c r="B6283" s="138">
        <f>'Acct Summary 7-8'!J83</f>
        <v>3.3860318614089284E-3</v>
      </c>
      <c r="D6283" s="2" t="str">
        <f t="shared" si="97"/>
        <v>Error?</v>
      </c>
      <c r="E6283" s="2" t="s">
        <v>190</v>
      </c>
    </row>
    <row r="6284" spans="1:5" x14ac:dyDescent="0.2">
      <c r="A6284">
        <v>6223</v>
      </c>
      <c r="B6284" s="138">
        <f>'Acct Summary 7-8'!K83</f>
        <v>1.1247213440730758E-2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17016</v>
      </c>
      <c r="D6287" s="2" t="str">
        <f t="shared" si="97"/>
        <v>Error?</v>
      </c>
      <c r="E6287" s="2" t="s">
        <v>190</v>
      </c>
    </row>
    <row r="6288" spans="1:5" x14ac:dyDescent="0.2">
      <c r="A6288">
        <v>6227</v>
      </c>
      <c r="B6288" s="138">
        <f>'Acct Summary 7-8'!E40</f>
        <v>173</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25208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25208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29</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2056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2056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111000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117983</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60000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27293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213618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293524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420360</v>
      </c>
      <c r="D6880" s="2" t="str">
        <f t="shared" si="106"/>
        <v>Error?</v>
      </c>
    </row>
    <row r="6881" spans="1:4" x14ac:dyDescent="0.2">
      <c r="A6881">
        <v>6820</v>
      </c>
      <c r="B6881" s="138">
        <f>'Expenditures 15-22'!K22</f>
        <v>420360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122616</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6593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129209</v>
      </c>
      <c r="D6940" s="2" t="str">
        <f t="shared" si="107"/>
        <v>Error?</v>
      </c>
    </row>
    <row r="6941" spans="1:4" x14ac:dyDescent="0.2">
      <c r="A6941">
        <v>6880</v>
      </c>
      <c r="B6941" s="138">
        <f>'Expenditures 15-22'!L52</f>
        <v>129209</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60564</v>
      </c>
      <c r="D6983" s="2" t="str">
        <f t="shared" si="108"/>
        <v>Error?</v>
      </c>
    </row>
    <row r="6984" spans="1:4" x14ac:dyDescent="0.2">
      <c r="A6984">
        <v>6923</v>
      </c>
      <c r="B6984" s="138">
        <f>'Expenditures 15-22'!K86</f>
        <v>60564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60564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26734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27293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22536</v>
      </c>
      <c r="D7093" s="2" t="str">
        <f t="shared" si="109"/>
        <v>Error?</v>
      </c>
    </row>
    <row r="7094" spans="1:4" x14ac:dyDescent="0.2">
      <c r="A7094">
        <v>7033</v>
      </c>
      <c r="B7094" s="138">
        <f>'Expenditures 15-22'!K254</f>
        <v>22536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22928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3806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26734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22928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3806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26734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22928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3806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26734</v>
      </c>
      <c r="D7224" s="2" t="str">
        <f t="shared" si="111"/>
        <v>Error?</v>
      </c>
    </row>
    <row r="7225" spans="1:4" x14ac:dyDescent="0.2">
      <c r="A7225">
        <v>7164</v>
      </c>
      <c r="B7225" s="138">
        <f>'Expenditures 15-22'!K343</f>
        <v>559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24188</v>
      </c>
      <c r="D7246" s="2" t="str">
        <f t="shared" si="112"/>
        <v>Error?</v>
      </c>
    </row>
    <row r="7247" spans="1:4" x14ac:dyDescent="0.2">
      <c r="A7247">
        <f t="shared" si="113"/>
        <v>7186</v>
      </c>
      <c r="B7247" s="138">
        <f>'Expenditures 15-22'!E7</f>
        <v>1914</v>
      </c>
      <c r="D7247" s="2" t="str">
        <f t="shared" si="112"/>
        <v>Error?</v>
      </c>
    </row>
    <row r="7248" spans="1:4" x14ac:dyDescent="0.2">
      <c r="A7248">
        <f t="shared" si="113"/>
        <v>7187</v>
      </c>
      <c r="B7248" s="138">
        <f>'Expenditures 15-22'!F7</f>
        <v>23804</v>
      </c>
      <c r="D7248" s="2" t="str">
        <f t="shared" si="112"/>
        <v>Error?</v>
      </c>
    </row>
    <row r="7249" spans="1:4" x14ac:dyDescent="0.2">
      <c r="A7249">
        <f t="shared" si="113"/>
        <v>7188</v>
      </c>
      <c r="B7249" s="138">
        <f>'Expenditures 15-22'!G7</f>
        <v>30000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14080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14080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4693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4693</v>
      </c>
      <c r="D7622" s="2" t="str">
        <f t="shared" si="124"/>
        <v>Error?</v>
      </c>
      <c r="E7622" s="2" t="s">
        <v>19</v>
      </c>
    </row>
    <row r="7623" spans="1:5" x14ac:dyDescent="0.2">
      <c r="A7623">
        <f t="shared" si="123"/>
        <v>7562</v>
      </c>
      <c r="B7623" s="138">
        <f>'Cap Outlay Deprec 26'!L14</f>
        <v>9387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306728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1146938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2115</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646593</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1020607</v>
      </c>
      <c r="D7717" s="2" t="str">
        <f t="shared" si="126"/>
        <v>Error?</v>
      </c>
      <c r="E7717" s="2" t="s">
        <v>827</v>
      </c>
    </row>
    <row r="7718" spans="1:6" x14ac:dyDescent="0.2">
      <c r="A7718">
        <v>7657</v>
      </c>
      <c r="B7718" s="138">
        <f>'Rest Tax Levies-Tort Im 25'!J12</f>
        <v>1669315</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33931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1407974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16138</v>
      </c>
      <c r="D7724" s="2" t="str">
        <f t="shared" si="126"/>
        <v>Error?</v>
      </c>
      <c r="E7724" s="2" t="s">
        <v>827</v>
      </c>
      <c r="F7724" s="2"/>
    </row>
    <row r="7725" spans="1:6" x14ac:dyDescent="0.2">
      <c r="A7725">
        <v>7664</v>
      </c>
      <c r="B7725" s="138">
        <f>'Rest Tax Levies-Tort Im 25'!J19</f>
        <v>260000</v>
      </c>
      <c r="D7725" s="2" t="str">
        <f t="shared" si="126"/>
        <v>Error?</v>
      </c>
      <c r="E7725" s="2" t="s">
        <v>827</v>
      </c>
    </row>
    <row r="7726" spans="1:6" x14ac:dyDescent="0.2">
      <c r="A7726">
        <v>7665</v>
      </c>
      <c r="B7726" s="138">
        <f>'Rest Tax Levies-Tort Im 25'!J20</f>
        <v>350</v>
      </c>
      <c r="D7726" s="2" t="str">
        <f t="shared" si="126"/>
        <v>Error?</v>
      </c>
      <c r="E7726" s="2" t="s">
        <v>827</v>
      </c>
    </row>
    <row r="7727" spans="1:6" x14ac:dyDescent="0.2">
      <c r="A7727">
        <v>7666</v>
      </c>
      <c r="B7727" s="138">
        <f>'Rest Tax Levies-Tort Im 25'!J21</f>
        <v>276488</v>
      </c>
      <c r="D7727" s="2" t="str">
        <f t="shared" si="126"/>
        <v>Error?</v>
      </c>
      <c r="E7727" s="2" t="s">
        <v>827</v>
      </c>
    </row>
    <row r="7728" spans="1:6" x14ac:dyDescent="0.2">
      <c r="A7728">
        <v>7667</v>
      </c>
      <c r="B7728" s="138">
        <f>'Revenues 9-14'!E103</f>
        <v>237640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1684462</v>
      </c>
      <c r="D7730" s="2" t="str">
        <f t="shared" si="126"/>
        <v>Error?</v>
      </c>
      <c r="E7730" s="2" t="s">
        <v>827</v>
      </c>
    </row>
    <row r="7731" spans="1:6" x14ac:dyDescent="0.2">
      <c r="A7731">
        <v>7670</v>
      </c>
      <c r="B7731" s="138">
        <f>'Revenues 9-14'!H103</f>
        <v>369439</v>
      </c>
      <c r="D7731" s="2" t="str">
        <f t="shared" si="126"/>
        <v>Error?</v>
      </c>
      <c r="E7731" s="2" t="s">
        <v>827</v>
      </c>
    </row>
    <row r="7732" spans="1:6" x14ac:dyDescent="0.2">
      <c r="A7732">
        <v>7671</v>
      </c>
      <c r="B7732" s="138">
        <f>'Rest Tax Levies-Tort Im 25'!J24</f>
        <v>1131791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1131791</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0</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93" t="s">
        <v>1191</v>
      </c>
      <c r="B2" s="2593"/>
      <c r="C2" s="2593"/>
      <c r="D2" s="2593"/>
      <c r="E2" s="2593"/>
      <c r="F2" s="2593"/>
      <c r="G2" s="2593"/>
      <c r="H2" s="2593"/>
      <c r="I2" s="2593"/>
      <c r="J2" s="2593"/>
      <c r="K2" s="2593"/>
      <c r="L2" s="2593"/>
    </row>
    <row r="3" spans="1:29" ht="13.5" customHeight="1" x14ac:dyDescent="0.2">
      <c r="A3" s="2579" t="s">
        <v>1190</v>
      </c>
      <c r="B3" s="2579"/>
      <c r="C3" s="2579"/>
      <c r="D3" s="2579"/>
      <c r="E3" s="2579"/>
      <c r="F3" s="2579"/>
      <c r="G3" s="2579"/>
      <c r="H3" s="2579"/>
      <c r="I3" s="2579"/>
      <c r="J3" s="2579"/>
      <c r="K3" s="2579"/>
      <c r="L3" s="2579"/>
    </row>
    <row r="4" spans="1:29" ht="13.5" customHeight="1" x14ac:dyDescent="0.2">
      <c r="A4" s="2593" t="s">
        <v>1986</v>
      </c>
      <c r="B4" s="2610"/>
      <c r="C4" s="2610"/>
      <c r="D4" s="2610"/>
      <c r="E4" s="2610"/>
      <c r="F4" s="2610"/>
      <c r="G4" s="2610"/>
      <c r="H4" s="2610"/>
      <c r="I4" s="2610"/>
      <c r="J4" s="2610"/>
      <c r="K4" s="2610"/>
      <c r="L4" s="261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73" t="str">
        <f>COVER!A17</f>
        <v>Pontiac CCSD 429</v>
      </c>
      <c r="B7" s="2574"/>
      <c r="C7" s="2574"/>
      <c r="D7" s="2611"/>
      <c r="E7" s="2612">
        <f>COVER!A13</f>
        <v>17053429004</v>
      </c>
      <c r="F7" s="2613"/>
      <c r="G7" s="2580" t="str">
        <f>COVER!T23</f>
        <v>066-005027</v>
      </c>
      <c r="H7" s="2581"/>
      <c r="I7" s="2581"/>
      <c r="J7" s="2581"/>
      <c r="K7" s="2581"/>
      <c r="L7" s="258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83"/>
      <c r="B9" s="2584"/>
      <c r="C9" s="2584"/>
      <c r="D9" s="2584"/>
      <c r="E9" s="2584"/>
      <c r="F9" s="2585"/>
      <c r="G9" s="2586" t="str">
        <f>COVER!T13</f>
        <v>Gorenz and Associates, Ltd.</v>
      </c>
      <c r="H9" s="2587"/>
      <c r="I9" s="2587"/>
      <c r="J9" s="2587"/>
      <c r="K9" s="2587"/>
      <c r="L9" s="2588"/>
    </row>
    <row r="10" spans="1:29" ht="13.5" customHeight="1" x14ac:dyDescent="0.2">
      <c r="A10" s="2570" t="str">
        <f>COVER!A38</f>
        <v>Brian Dukes</v>
      </c>
      <c r="B10" s="2571"/>
      <c r="C10" s="2571"/>
      <c r="D10" s="2571"/>
      <c r="E10" s="2571"/>
      <c r="F10" s="2572"/>
      <c r="G10" s="2586" t="str">
        <f>COVER!T17</f>
        <v>4200 N Knoxville Ave</v>
      </c>
      <c r="H10" s="2599"/>
      <c r="I10" s="2599"/>
      <c r="J10" s="2599"/>
      <c r="K10" s="2599"/>
      <c r="L10" s="2600"/>
    </row>
    <row r="11" spans="1:29" ht="13.5" customHeight="1" x14ac:dyDescent="0.2">
      <c r="A11" s="1181" t="s">
        <v>1519</v>
      </c>
      <c r="B11" s="1182"/>
      <c r="C11" s="1183"/>
      <c r="D11" s="1188"/>
      <c r="E11" s="1183"/>
      <c r="F11" s="1187"/>
      <c r="G11" s="2586" t="str">
        <f>COVER!T19</f>
        <v>Peoria</v>
      </c>
      <c r="H11" s="2599"/>
      <c r="I11" s="2599"/>
      <c r="J11" s="2599"/>
      <c r="K11" s="2599"/>
      <c r="L11" s="2600"/>
    </row>
    <row r="12" spans="1:29" ht="13.5" customHeight="1" x14ac:dyDescent="0.2">
      <c r="A12" s="2604" t="s">
        <v>1518</v>
      </c>
      <c r="B12" s="2605"/>
      <c r="C12" s="2605"/>
      <c r="D12" s="2605"/>
      <c r="E12" s="2605"/>
      <c r="F12" s="2606"/>
      <c r="G12" s="2601"/>
      <c r="H12" s="2602"/>
      <c r="I12" s="2602"/>
      <c r="J12" s="2602"/>
      <c r="K12" s="2602"/>
      <c r="L12" s="2603"/>
    </row>
    <row r="13" spans="1:29" ht="13.5" customHeight="1" x14ac:dyDescent="0.2">
      <c r="A13" s="2586"/>
      <c r="B13" s="2599"/>
      <c r="C13" s="2599"/>
      <c r="D13" s="2599"/>
      <c r="E13" s="2599"/>
      <c r="F13" s="2600"/>
      <c r="G13" s="2594" t="s">
        <v>1520</v>
      </c>
      <c r="H13" s="2595"/>
      <c r="I13" s="2607" t="str">
        <f>COVER!T25</f>
        <v>tcustis@gorenzcpa.com</v>
      </c>
      <c r="J13" s="2608"/>
      <c r="K13" s="2608"/>
      <c r="L13" s="2609"/>
    </row>
    <row r="14" spans="1:29" ht="13.5" customHeight="1" x14ac:dyDescent="0.2">
      <c r="A14" s="2586" t="str">
        <f>COVER!A19</f>
        <v>600 N. Morrow Street</v>
      </c>
      <c r="B14" s="2599"/>
      <c r="C14" s="2599"/>
      <c r="D14" s="2599"/>
      <c r="E14" s="2599"/>
      <c r="F14" s="2600"/>
      <c r="G14" s="1192" t="s">
        <v>1185</v>
      </c>
      <c r="H14" s="1190"/>
      <c r="I14" s="1190"/>
      <c r="J14" s="1190"/>
      <c r="K14" s="1190"/>
      <c r="L14" s="1191"/>
    </row>
    <row r="15" spans="1:29" ht="13.5" customHeight="1" x14ac:dyDescent="0.2">
      <c r="A15" s="2586" t="str">
        <f>COVER!A21</f>
        <v>Pontiac, IL</v>
      </c>
      <c r="B15" s="2599"/>
      <c r="C15" s="2599"/>
      <c r="D15" s="2599"/>
      <c r="E15" s="2599"/>
      <c r="F15" s="2600"/>
      <c r="G15" s="2596" t="str">
        <f>COVER!T15</f>
        <v>Tim C. Custis, CPA</v>
      </c>
      <c r="H15" s="2597"/>
      <c r="I15" s="2597"/>
      <c r="J15" s="2597"/>
      <c r="K15" s="2597"/>
      <c r="L15" s="2598"/>
    </row>
    <row r="16" spans="1:29" ht="12.2" customHeight="1" x14ac:dyDescent="0.2">
      <c r="A16" s="2576">
        <f>COVER!A25</f>
        <v>61764</v>
      </c>
      <c r="B16" s="2577"/>
      <c r="C16" s="2577"/>
      <c r="D16" s="2577"/>
      <c r="E16" s="2577"/>
      <c r="F16" s="2578"/>
      <c r="G16" s="2589"/>
      <c r="H16" s="2590"/>
      <c r="I16" s="2590"/>
      <c r="J16" s="2590"/>
      <c r="K16" s="2590"/>
      <c r="L16" s="2591"/>
    </row>
    <row r="17" spans="1:13" ht="12.2" customHeight="1" x14ac:dyDescent="0.2">
      <c r="A17" s="2592"/>
      <c r="B17" s="2577"/>
      <c r="C17" s="2577"/>
      <c r="D17" s="2577"/>
      <c r="E17" s="2577"/>
      <c r="F17" s="2578"/>
      <c r="G17" s="1192" t="s">
        <v>1184</v>
      </c>
      <c r="H17" s="1190"/>
      <c r="I17" s="1190"/>
      <c r="J17" s="1190"/>
      <c r="K17" s="1194" t="s">
        <v>1183</v>
      </c>
      <c r="L17" s="1187"/>
      <c r="M17" s="1180"/>
    </row>
    <row r="18" spans="1:13" ht="12.2" customHeight="1" x14ac:dyDescent="0.2">
      <c r="A18" s="2570"/>
      <c r="B18" s="2571"/>
      <c r="C18" s="2571"/>
      <c r="D18" s="2571"/>
      <c r="E18" s="2571"/>
      <c r="F18" s="2572"/>
      <c r="G18" s="2573" t="str">
        <f>COVER!T21</f>
        <v>309-685-7621</v>
      </c>
      <c r="H18" s="2574"/>
      <c r="I18" s="2574"/>
      <c r="J18" s="2574"/>
      <c r="K18" s="2573" t="str">
        <f>COVER!X21</f>
        <v>309-685-4758</v>
      </c>
      <c r="L18" s="257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2067</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2067</v>
      </c>
      <c r="C26" s="1199" t="s">
        <v>1699</v>
      </c>
    </row>
    <row r="27" spans="1:13" s="1195" customFormat="1" ht="9" customHeight="1" x14ac:dyDescent="0.2">
      <c r="B27" s="1200"/>
      <c r="C27" s="1199"/>
    </row>
    <row r="28" spans="1:13" s="1195" customFormat="1" ht="12.2" customHeight="1" x14ac:dyDescent="0.2">
      <c r="A28" s="1202"/>
      <c r="B28" s="1198" t="s">
        <v>2067</v>
      </c>
      <c r="C28" s="1199" t="s">
        <v>1700</v>
      </c>
    </row>
    <row r="29" spans="1:13" s="1195" customFormat="1" ht="9" customHeight="1" x14ac:dyDescent="0.2">
      <c r="A29" s="1202"/>
      <c r="B29" s="1200"/>
      <c r="C29" s="1199"/>
    </row>
    <row r="30" spans="1:13" s="1195" customFormat="1" ht="12.2" customHeight="1" x14ac:dyDescent="0.2">
      <c r="B30" s="1198" t="s">
        <v>2067</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2067</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2067</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2067</v>
      </c>
      <c r="C38" s="1199" t="s">
        <v>1566</v>
      </c>
    </row>
    <row r="39" spans="1:8" ht="9" customHeight="1" x14ac:dyDescent="0.2">
      <c r="B39" s="1200"/>
      <c r="C39" s="1203"/>
    </row>
    <row r="40" spans="1:8" s="1195" customFormat="1" ht="13.5" customHeight="1" x14ac:dyDescent="0.2">
      <c r="B40" s="1198" t="s">
        <v>2067</v>
      </c>
      <c r="C40" s="1199" t="s">
        <v>1567</v>
      </c>
    </row>
    <row r="41" spans="1:8" ht="9" customHeight="1" x14ac:dyDescent="0.2">
      <c r="A41" s="1204"/>
      <c r="B41" s="1200"/>
      <c r="C41" s="1203"/>
    </row>
    <row r="42" spans="1:8" s="1195" customFormat="1" ht="13.5" customHeight="1" x14ac:dyDescent="0.2">
      <c r="B42" s="1198" t="s">
        <v>2067</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614" t="str">
        <f>'Single Audit Cover'!A7</f>
        <v>Pontiac CCSD 429</v>
      </c>
      <c r="B1" s="2610"/>
      <c r="C1" s="2610"/>
      <c r="D1" s="2610"/>
    </row>
    <row r="2" spans="1:11" s="1209" customFormat="1" ht="12.75" x14ac:dyDescent="0.2">
      <c r="A2" s="2615">
        <f>'Single Audit Cover'!E7</f>
        <v>17053429004</v>
      </c>
      <c r="B2" s="2616"/>
      <c r="C2" s="2616"/>
      <c r="D2" s="2616"/>
    </row>
    <row r="3" spans="1:11" s="1209" customFormat="1" ht="12.75" x14ac:dyDescent="0.2">
      <c r="A3" s="2614" t="s">
        <v>1513</v>
      </c>
      <c r="B3" s="2610"/>
      <c r="C3" s="2610"/>
      <c r="D3" s="261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618" t="str">
        <f>'Single Audit Cover'!A7</f>
        <v>Pontiac CCSD 429</v>
      </c>
      <c r="B1" s="2618"/>
      <c r="C1" s="2618"/>
      <c r="D1" s="2618"/>
      <c r="E1" s="2618"/>
    </row>
    <row r="2" spans="1:5" x14ac:dyDescent="0.2">
      <c r="A2" s="2619">
        <f>'Single Audit Cover'!E7</f>
        <v>17053429004</v>
      </c>
      <c r="B2" s="2619"/>
      <c r="C2" s="2619"/>
      <c r="D2" s="2619"/>
      <c r="E2" s="2619"/>
    </row>
    <row r="3" spans="1:5" ht="4.5" customHeight="1" x14ac:dyDescent="0.2"/>
    <row r="4" spans="1:5" x14ac:dyDescent="0.2">
      <c r="A4" s="2618" t="s">
        <v>1245</v>
      </c>
      <c r="B4" s="2618"/>
      <c r="C4" s="2618"/>
      <c r="D4" s="2618"/>
      <c r="E4" s="2618"/>
    </row>
    <row r="5" spans="1:5" x14ac:dyDescent="0.2">
      <c r="A5" s="2621" t="str">
        <f>'Single Audit Cover'!A4</f>
        <v>Year Ending June 30, 2019</v>
      </c>
      <c r="B5" s="2621"/>
      <c r="C5" s="2621"/>
      <c r="D5" s="2621"/>
      <c r="E5" s="2621"/>
    </row>
    <row r="6" spans="1:5" x14ac:dyDescent="0.2">
      <c r="A6" s="2618" t="s">
        <v>1244</v>
      </c>
      <c r="B6" s="2618"/>
      <c r="C6" s="2618"/>
      <c r="D6" s="2618"/>
      <c r="E6" s="2618"/>
    </row>
    <row r="8" spans="1:5" x14ac:dyDescent="0.2">
      <c r="A8" s="1254" t="s">
        <v>1243</v>
      </c>
    </row>
    <row r="10" spans="1:5" x14ac:dyDescent="0.2">
      <c r="A10" s="1255" t="s">
        <v>1242</v>
      </c>
      <c r="B10" s="1256" t="s">
        <v>1241</v>
      </c>
      <c r="C10" s="1256"/>
      <c r="D10" s="1257">
        <f>SUM('Acct Summary 7-8'!C7:K7)</f>
        <v>1772855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53067</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-286533</v>
      </c>
    </row>
    <row r="19" spans="1:4" ht="13.5" thickBot="1" x14ac:dyDescent="0.25">
      <c r="A19" s="1259" t="s">
        <v>1235</v>
      </c>
      <c r="D19" s="1260">
        <f>SUM(D10:D17)</f>
        <v>1539389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620"/>
      <c r="B24" s="2620"/>
      <c r="D24" s="1262"/>
    </row>
    <row r="25" spans="1:4" x14ac:dyDescent="0.2">
      <c r="A25" s="2617"/>
      <c r="B25" s="2617"/>
      <c r="D25" s="1262"/>
    </row>
    <row r="26" spans="1:4" x14ac:dyDescent="0.2">
      <c r="A26" s="2617"/>
      <c r="B26" s="2617"/>
      <c r="D26" s="1262"/>
    </row>
    <row r="27" spans="1:4" x14ac:dyDescent="0.2">
      <c r="A27" s="2617"/>
      <c r="B27" s="2617"/>
      <c r="D27" s="1262"/>
    </row>
    <row r="28" spans="1:4" x14ac:dyDescent="0.2">
      <c r="A28" s="2617"/>
      <c r="B28" s="2617"/>
      <c r="D28" s="1262"/>
    </row>
    <row r="29" spans="1:4" x14ac:dyDescent="0.2">
      <c r="A29" s="2617"/>
      <c r="B29" s="2617"/>
      <c r="D29" s="1262"/>
    </row>
    <row r="30" spans="1:4" x14ac:dyDescent="0.2">
      <c r="A30" s="2617"/>
      <c r="B30" s="2617"/>
      <c r="D30" s="1262"/>
    </row>
    <row r="32" spans="1:4" x14ac:dyDescent="0.2">
      <c r="A32" s="1254" t="s">
        <v>1233</v>
      </c>
      <c r="D32" s="1257">
        <f>SUM(D19:D30)</f>
        <v>1539389</v>
      </c>
    </row>
    <row r="33" spans="1:4" x14ac:dyDescent="0.2">
      <c r="D33" s="1263"/>
    </row>
    <row r="34" spans="1:4" x14ac:dyDescent="0.2">
      <c r="A34" s="317" t="s">
        <v>1232</v>
      </c>
    </row>
    <row r="35" spans="1:4" x14ac:dyDescent="0.2">
      <c r="A35" s="317" t="s">
        <v>1231</v>
      </c>
      <c r="B35" s="1252" t="s">
        <v>1230</v>
      </c>
      <c r="D35" s="1264">
        <v>1539389</v>
      </c>
    </row>
    <row r="37" spans="1:4" x14ac:dyDescent="0.2">
      <c r="A37" s="1254" t="s">
        <v>1229</v>
      </c>
    </row>
    <row r="39" spans="1:4" ht="13.35" customHeight="1" x14ac:dyDescent="0.2">
      <c r="A39" s="1261" t="s">
        <v>1228</v>
      </c>
    </row>
    <row r="40" spans="1:4" x14ac:dyDescent="0.2">
      <c r="A40" s="2617"/>
      <c r="B40" s="2617"/>
      <c r="D40" s="1262"/>
    </row>
    <row r="41" spans="1:4" x14ac:dyDescent="0.2">
      <c r="A41" s="2617"/>
      <c r="B41" s="2617"/>
      <c r="D41" s="1265"/>
    </row>
    <row r="42" spans="1:4" x14ac:dyDescent="0.2">
      <c r="A42" s="2617"/>
      <c r="B42" s="2617"/>
      <c r="D42" s="1265"/>
    </row>
    <row r="43" spans="1:4" x14ac:dyDescent="0.2">
      <c r="A43" s="2617"/>
      <c r="B43" s="2617"/>
      <c r="D43" s="1265"/>
    </row>
    <row r="44" spans="1:4" x14ac:dyDescent="0.2">
      <c r="A44" s="2617"/>
      <c r="B44" s="2617"/>
      <c r="D44" s="1265"/>
    </row>
    <row r="45" spans="1:4" x14ac:dyDescent="0.2">
      <c r="A45" s="2617"/>
      <c r="B45" s="2617"/>
      <c r="D45" s="1265"/>
    </row>
    <row r="47" spans="1:4" x14ac:dyDescent="0.2">
      <c r="B47" s="1266" t="s">
        <v>1227</v>
      </c>
      <c r="C47" s="1266"/>
      <c r="D47" s="1267">
        <f>SUM(D35:D45)</f>
        <v>1539389</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79" t="str">
        <f>'Single Audit Cover'!A7</f>
        <v>Pontiac CCSD 429</v>
      </c>
      <c r="C1" s="2622"/>
      <c r="D1" s="2622"/>
      <c r="E1" s="2622"/>
      <c r="F1" s="2622"/>
      <c r="G1" s="2622"/>
      <c r="H1" s="2622"/>
      <c r="I1" s="2622"/>
      <c r="J1" s="2622"/>
      <c r="K1" s="2622"/>
      <c r="L1" s="2622"/>
      <c r="M1" s="2622"/>
    </row>
    <row r="2" spans="2:14" ht="15" x14ac:dyDescent="0.2">
      <c r="B2" s="2623">
        <f>'Single Audit Cover'!E7</f>
        <v>17053429004</v>
      </c>
      <c r="C2" s="2623"/>
      <c r="D2" s="2623"/>
      <c r="E2" s="2623"/>
      <c r="F2" s="2623"/>
      <c r="G2" s="2623"/>
      <c r="H2" s="2623"/>
      <c r="I2" s="2623"/>
      <c r="J2" s="2623"/>
      <c r="K2" s="2623"/>
      <c r="L2" s="2623"/>
      <c r="M2" s="2623"/>
      <c r="N2" s="1296"/>
    </row>
    <row r="3" spans="2:14" ht="15" x14ac:dyDescent="0.2">
      <c r="B3" s="2624" t="s">
        <v>1219</v>
      </c>
      <c r="C3" s="2624"/>
      <c r="D3" s="2624"/>
      <c r="E3" s="2624"/>
      <c r="F3" s="2624"/>
      <c r="G3" s="2624"/>
      <c r="H3" s="2624"/>
      <c r="I3" s="2624"/>
      <c r="J3" s="2624"/>
      <c r="K3" s="2624"/>
      <c r="L3" s="2624"/>
      <c r="M3" s="2624"/>
      <c r="N3" s="1296"/>
    </row>
    <row r="4" spans="2:14" ht="15" x14ac:dyDescent="0.2">
      <c r="B4" s="2625" t="str">
        <f>'Single Audit Cover'!A4</f>
        <v>Year Ending June 30, 2019</v>
      </c>
      <c r="C4" s="2625"/>
      <c r="D4" s="2625"/>
      <c r="E4" s="2625"/>
      <c r="F4" s="2625"/>
      <c r="G4" s="2625"/>
      <c r="H4" s="2625"/>
      <c r="I4" s="2625"/>
      <c r="J4" s="2625"/>
      <c r="K4" s="2625"/>
      <c r="L4" s="2625"/>
      <c r="M4" s="2625"/>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S104"/>
  <sheetViews>
    <sheetView showGridLines="0" zoomScaleNormal="100" zoomScaleSheetLayoutView="70" workbookViewId="0">
      <pane xSplit="2" ySplit="14" topLeftCell="C15" activePane="bottomRight" state="frozen"/>
      <selection activeCell="G46" sqref="G46"/>
      <selection pane="topRight" activeCell="G46" sqref="G46"/>
      <selection pane="bottomLeft" activeCell="G46" sqref="G46"/>
      <selection pane="bottomRight" activeCell="C15" sqref="C15"/>
    </sheetView>
  </sheetViews>
  <sheetFormatPr defaultColWidth="16.7109375" defaultRowHeight="12.75" x14ac:dyDescent="0.2"/>
  <cols>
    <col min="1" max="1" width="8.85546875" style="2048" customWidth="1"/>
    <col min="2" max="2" width="48" style="1935" customWidth="1"/>
    <col min="3" max="3" width="9.85546875" style="1935" customWidth="1"/>
    <col min="4" max="4" width="1.85546875" style="1935" customWidth="1"/>
    <col min="5" max="5" width="11" style="1935" customWidth="1"/>
    <col min="6" max="6" width="5.28515625" style="2049" customWidth="1"/>
    <col min="7" max="7" width="13.140625" style="1935" bestFit="1" customWidth="1"/>
    <col min="8" max="8" width="1.85546875" style="1935" customWidth="1"/>
    <col min="9" max="9" width="12.28515625" style="1935" customWidth="1"/>
    <col min="10" max="10" width="3.85546875" style="2049" customWidth="1"/>
    <col min="11" max="11" width="13.140625" style="1935" bestFit="1" customWidth="1"/>
    <col min="12" max="12" width="1.85546875" style="1935" customWidth="1"/>
    <col min="13" max="13" width="12.28515625" style="1935" customWidth="1"/>
    <col min="14" max="14" width="1.85546875" style="1935" customWidth="1"/>
    <col min="15" max="15" width="11" style="1935" customWidth="1"/>
    <col min="16" max="16" width="3.85546875" style="2049" customWidth="1"/>
    <col min="17" max="17" width="13.28515625" style="1935" bestFit="1" customWidth="1"/>
    <col min="18" max="18" width="1.85546875" style="1935" customWidth="1"/>
    <col min="19" max="19" width="12.42578125" style="1935" bestFit="1" customWidth="1"/>
    <col min="20" max="247" width="16.7109375" style="1935"/>
    <col min="248" max="248" width="8.85546875" style="1935" customWidth="1"/>
    <col min="249" max="249" width="48" style="1935" customWidth="1"/>
    <col min="250" max="250" width="9.85546875" style="1935" customWidth="1"/>
    <col min="251" max="251" width="1.85546875" style="1935" customWidth="1"/>
    <col min="252" max="252" width="11" style="1935" customWidth="1"/>
    <col min="253" max="253" width="5.28515625" style="1935" customWidth="1"/>
    <col min="254" max="254" width="13.140625" style="1935" bestFit="1" customWidth="1"/>
    <col min="255" max="255" width="1.85546875" style="1935" customWidth="1"/>
    <col min="256" max="256" width="12.28515625" style="1935" customWidth="1"/>
    <col min="257" max="257" width="3.85546875" style="1935" customWidth="1"/>
    <col min="258" max="258" width="13.140625" style="1935" bestFit="1" customWidth="1"/>
    <col min="259" max="259" width="1.85546875" style="1935" customWidth="1"/>
    <col min="260" max="260" width="12.28515625" style="1935" customWidth="1"/>
    <col min="261" max="261" width="1.85546875" style="1935" customWidth="1"/>
    <col min="262" max="262" width="11" style="1935" customWidth="1"/>
    <col min="263" max="263" width="3.85546875" style="1935" customWidth="1"/>
    <col min="264" max="264" width="13.28515625" style="1935" bestFit="1" customWidth="1"/>
    <col min="265" max="265" width="1.85546875" style="1935" customWidth="1"/>
    <col min="266" max="266" width="12.42578125" style="1935" bestFit="1" customWidth="1"/>
    <col min="267" max="503" width="16.7109375" style="1935"/>
    <col min="504" max="504" width="8.85546875" style="1935" customWidth="1"/>
    <col min="505" max="505" width="48" style="1935" customWidth="1"/>
    <col min="506" max="506" width="9.85546875" style="1935" customWidth="1"/>
    <col min="507" max="507" width="1.85546875" style="1935" customWidth="1"/>
    <col min="508" max="508" width="11" style="1935" customWidth="1"/>
    <col min="509" max="509" width="5.28515625" style="1935" customWidth="1"/>
    <col min="510" max="510" width="13.140625" style="1935" bestFit="1" customWidth="1"/>
    <col min="511" max="511" width="1.85546875" style="1935" customWidth="1"/>
    <col min="512" max="512" width="12.28515625" style="1935" customWidth="1"/>
    <col min="513" max="513" width="3.85546875" style="1935" customWidth="1"/>
    <col min="514" max="514" width="13.140625" style="1935" bestFit="1" customWidth="1"/>
    <col min="515" max="515" width="1.85546875" style="1935" customWidth="1"/>
    <col min="516" max="516" width="12.28515625" style="1935" customWidth="1"/>
    <col min="517" max="517" width="1.85546875" style="1935" customWidth="1"/>
    <col min="518" max="518" width="11" style="1935" customWidth="1"/>
    <col min="519" max="519" width="3.85546875" style="1935" customWidth="1"/>
    <col min="520" max="520" width="13.28515625" style="1935" bestFit="1" customWidth="1"/>
    <col min="521" max="521" width="1.85546875" style="1935" customWidth="1"/>
    <col min="522" max="522" width="12.42578125" style="1935" bestFit="1" customWidth="1"/>
    <col min="523" max="759" width="16.7109375" style="1935"/>
    <col min="760" max="760" width="8.85546875" style="1935" customWidth="1"/>
    <col min="761" max="761" width="48" style="1935" customWidth="1"/>
    <col min="762" max="762" width="9.85546875" style="1935" customWidth="1"/>
    <col min="763" max="763" width="1.85546875" style="1935" customWidth="1"/>
    <col min="764" max="764" width="11" style="1935" customWidth="1"/>
    <col min="765" max="765" width="5.28515625" style="1935" customWidth="1"/>
    <col min="766" max="766" width="13.140625" style="1935" bestFit="1" customWidth="1"/>
    <col min="767" max="767" width="1.85546875" style="1935" customWidth="1"/>
    <col min="768" max="768" width="12.28515625" style="1935" customWidth="1"/>
    <col min="769" max="769" width="3.85546875" style="1935" customWidth="1"/>
    <col min="770" max="770" width="13.140625" style="1935" bestFit="1" customWidth="1"/>
    <col min="771" max="771" width="1.85546875" style="1935" customWidth="1"/>
    <col min="772" max="772" width="12.28515625" style="1935" customWidth="1"/>
    <col min="773" max="773" width="1.85546875" style="1935" customWidth="1"/>
    <col min="774" max="774" width="11" style="1935" customWidth="1"/>
    <col min="775" max="775" width="3.85546875" style="1935" customWidth="1"/>
    <col min="776" max="776" width="13.28515625" style="1935" bestFit="1" customWidth="1"/>
    <col min="777" max="777" width="1.85546875" style="1935" customWidth="1"/>
    <col min="778" max="778" width="12.42578125" style="1935" bestFit="1" customWidth="1"/>
    <col min="779" max="1015" width="16.7109375" style="1935"/>
    <col min="1016" max="1016" width="8.85546875" style="1935" customWidth="1"/>
    <col min="1017" max="1017" width="48" style="1935" customWidth="1"/>
    <col min="1018" max="1018" width="9.85546875" style="1935" customWidth="1"/>
    <col min="1019" max="1019" width="1.85546875" style="1935" customWidth="1"/>
    <col min="1020" max="1020" width="11" style="1935" customWidth="1"/>
    <col min="1021" max="1021" width="5.28515625" style="1935" customWidth="1"/>
    <col min="1022" max="1022" width="13.140625" style="1935" bestFit="1" customWidth="1"/>
    <col min="1023" max="1023" width="1.85546875" style="1935" customWidth="1"/>
    <col min="1024" max="1024" width="12.28515625" style="1935" customWidth="1"/>
    <col min="1025" max="1025" width="3.85546875" style="1935" customWidth="1"/>
    <col min="1026" max="1026" width="13.140625" style="1935" bestFit="1" customWidth="1"/>
    <col min="1027" max="1027" width="1.85546875" style="1935" customWidth="1"/>
    <col min="1028" max="1028" width="12.28515625" style="1935" customWidth="1"/>
    <col min="1029" max="1029" width="1.85546875" style="1935" customWidth="1"/>
    <col min="1030" max="1030" width="11" style="1935" customWidth="1"/>
    <col min="1031" max="1031" width="3.85546875" style="1935" customWidth="1"/>
    <col min="1032" max="1032" width="13.28515625" style="1935" bestFit="1" customWidth="1"/>
    <col min="1033" max="1033" width="1.85546875" style="1935" customWidth="1"/>
    <col min="1034" max="1034" width="12.42578125" style="1935" bestFit="1" customWidth="1"/>
    <col min="1035" max="1271" width="16.7109375" style="1935"/>
    <col min="1272" max="1272" width="8.85546875" style="1935" customWidth="1"/>
    <col min="1273" max="1273" width="48" style="1935" customWidth="1"/>
    <col min="1274" max="1274" width="9.85546875" style="1935" customWidth="1"/>
    <col min="1275" max="1275" width="1.85546875" style="1935" customWidth="1"/>
    <col min="1276" max="1276" width="11" style="1935" customWidth="1"/>
    <col min="1277" max="1277" width="5.28515625" style="1935" customWidth="1"/>
    <col min="1278" max="1278" width="13.140625" style="1935" bestFit="1" customWidth="1"/>
    <col min="1279" max="1279" width="1.85546875" style="1935" customWidth="1"/>
    <col min="1280" max="1280" width="12.28515625" style="1935" customWidth="1"/>
    <col min="1281" max="1281" width="3.85546875" style="1935" customWidth="1"/>
    <col min="1282" max="1282" width="13.140625" style="1935" bestFit="1" customWidth="1"/>
    <col min="1283" max="1283" width="1.85546875" style="1935" customWidth="1"/>
    <col min="1284" max="1284" width="12.28515625" style="1935" customWidth="1"/>
    <col min="1285" max="1285" width="1.85546875" style="1935" customWidth="1"/>
    <col min="1286" max="1286" width="11" style="1935" customWidth="1"/>
    <col min="1287" max="1287" width="3.85546875" style="1935" customWidth="1"/>
    <col min="1288" max="1288" width="13.28515625" style="1935" bestFit="1" customWidth="1"/>
    <col min="1289" max="1289" width="1.85546875" style="1935" customWidth="1"/>
    <col min="1290" max="1290" width="12.42578125" style="1935" bestFit="1" customWidth="1"/>
    <col min="1291" max="1527" width="16.7109375" style="1935"/>
    <col min="1528" max="1528" width="8.85546875" style="1935" customWidth="1"/>
    <col min="1529" max="1529" width="48" style="1935" customWidth="1"/>
    <col min="1530" max="1530" width="9.85546875" style="1935" customWidth="1"/>
    <col min="1531" max="1531" width="1.85546875" style="1935" customWidth="1"/>
    <col min="1532" max="1532" width="11" style="1935" customWidth="1"/>
    <col min="1533" max="1533" width="5.28515625" style="1935" customWidth="1"/>
    <col min="1534" max="1534" width="13.140625" style="1935" bestFit="1" customWidth="1"/>
    <col min="1535" max="1535" width="1.85546875" style="1935" customWidth="1"/>
    <col min="1536" max="1536" width="12.28515625" style="1935" customWidth="1"/>
    <col min="1537" max="1537" width="3.85546875" style="1935" customWidth="1"/>
    <col min="1538" max="1538" width="13.140625" style="1935" bestFit="1" customWidth="1"/>
    <col min="1539" max="1539" width="1.85546875" style="1935" customWidth="1"/>
    <col min="1540" max="1540" width="12.28515625" style="1935" customWidth="1"/>
    <col min="1541" max="1541" width="1.85546875" style="1935" customWidth="1"/>
    <col min="1542" max="1542" width="11" style="1935" customWidth="1"/>
    <col min="1543" max="1543" width="3.85546875" style="1935" customWidth="1"/>
    <col min="1544" max="1544" width="13.28515625" style="1935" bestFit="1" customWidth="1"/>
    <col min="1545" max="1545" width="1.85546875" style="1935" customWidth="1"/>
    <col min="1546" max="1546" width="12.42578125" style="1935" bestFit="1" customWidth="1"/>
    <col min="1547" max="1783" width="16.7109375" style="1935"/>
    <col min="1784" max="1784" width="8.85546875" style="1935" customWidth="1"/>
    <col min="1785" max="1785" width="48" style="1935" customWidth="1"/>
    <col min="1786" max="1786" width="9.85546875" style="1935" customWidth="1"/>
    <col min="1787" max="1787" width="1.85546875" style="1935" customWidth="1"/>
    <col min="1788" max="1788" width="11" style="1935" customWidth="1"/>
    <col min="1789" max="1789" width="5.28515625" style="1935" customWidth="1"/>
    <col min="1790" max="1790" width="13.140625" style="1935" bestFit="1" customWidth="1"/>
    <col min="1791" max="1791" width="1.85546875" style="1935" customWidth="1"/>
    <col min="1792" max="1792" width="12.28515625" style="1935" customWidth="1"/>
    <col min="1793" max="1793" width="3.85546875" style="1935" customWidth="1"/>
    <col min="1794" max="1794" width="13.140625" style="1935" bestFit="1" customWidth="1"/>
    <col min="1795" max="1795" width="1.85546875" style="1935" customWidth="1"/>
    <col min="1796" max="1796" width="12.28515625" style="1935" customWidth="1"/>
    <col min="1797" max="1797" width="1.85546875" style="1935" customWidth="1"/>
    <col min="1798" max="1798" width="11" style="1935" customWidth="1"/>
    <col min="1799" max="1799" width="3.85546875" style="1935" customWidth="1"/>
    <col min="1800" max="1800" width="13.28515625" style="1935" bestFit="1" customWidth="1"/>
    <col min="1801" max="1801" width="1.85546875" style="1935" customWidth="1"/>
    <col min="1802" max="1802" width="12.42578125" style="1935" bestFit="1" customWidth="1"/>
    <col min="1803" max="2039" width="16.7109375" style="1935"/>
    <col min="2040" max="2040" width="8.85546875" style="1935" customWidth="1"/>
    <col min="2041" max="2041" width="48" style="1935" customWidth="1"/>
    <col min="2042" max="2042" width="9.85546875" style="1935" customWidth="1"/>
    <col min="2043" max="2043" width="1.85546875" style="1935" customWidth="1"/>
    <col min="2044" max="2044" width="11" style="1935" customWidth="1"/>
    <col min="2045" max="2045" width="5.28515625" style="1935" customWidth="1"/>
    <col min="2046" max="2046" width="13.140625" style="1935" bestFit="1" customWidth="1"/>
    <col min="2047" max="2047" width="1.85546875" style="1935" customWidth="1"/>
    <col min="2048" max="2048" width="12.28515625" style="1935" customWidth="1"/>
    <col min="2049" max="2049" width="3.85546875" style="1935" customWidth="1"/>
    <col min="2050" max="2050" width="13.140625" style="1935" bestFit="1" customWidth="1"/>
    <col min="2051" max="2051" width="1.85546875" style="1935" customWidth="1"/>
    <col min="2052" max="2052" width="12.28515625" style="1935" customWidth="1"/>
    <col min="2053" max="2053" width="1.85546875" style="1935" customWidth="1"/>
    <col min="2054" max="2054" width="11" style="1935" customWidth="1"/>
    <col min="2055" max="2055" width="3.85546875" style="1935" customWidth="1"/>
    <col min="2056" max="2056" width="13.28515625" style="1935" bestFit="1" customWidth="1"/>
    <col min="2057" max="2057" width="1.85546875" style="1935" customWidth="1"/>
    <col min="2058" max="2058" width="12.42578125" style="1935" bestFit="1" customWidth="1"/>
    <col min="2059" max="2295" width="16.7109375" style="1935"/>
    <col min="2296" max="2296" width="8.85546875" style="1935" customWidth="1"/>
    <col min="2297" max="2297" width="48" style="1935" customWidth="1"/>
    <col min="2298" max="2298" width="9.85546875" style="1935" customWidth="1"/>
    <col min="2299" max="2299" width="1.85546875" style="1935" customWidth="1"/>
    <col min="2300" max="2300" width="11" style="1935" customWidth="1"/>
    <col min="2301" max="2301" width="5.28515625" style="1935" customWidth="1"/>
    <col min="2302" max="2302" width="13.140625" style="1935" bestFit="1" customWidth="1"/>
    <col min="2303" max="2303" width="1.85546875" style="1935" customWidth="1"/>
    <col min="2304" max="2304" width="12.28515625" style="1935" customWidth="1"/>
    <col min="2305" max="2305" width="3.85546875" style="1935" customWidth="1"/>
    <col min="2306" max="2306" width="13.140625" style="1935" bestFit="1" customWidth="1"/>
    <col min="2307" max="2307" width="1.85546875" style="1935" customWidth="1"/>
    <col min="2308" max="2308" width="12.28515625" style="1935" customWidth="1"/>
    <col min="2309" max="2309" width="1.85546875" style="1935" customWidth="1"/>
    <col min="2310" max="2310" width="11" style="1935" customWidth="1"/>
    <col min="2311" max="2311" width="3.85546875" style="1935" customWidth="1"/>
    <col min="2312" max="2312" width="13.28515625" style="1935" bestFit="1" customWidth="1"/>
    <col min="2313" max="2313" width="1.85546875" style="1935" customWidth="1"/>
    <col min="2314" max="2314" width="12.42578125" style="1935" bestFit="1" customWidth="1"/>
    <col min="2315" max="2551" width="16.7109375" style="1935"/>
    <col min="2552" max="2552" width="8.85546875" style="1935" customWidth="1"/>
    <col min="2553" max="2553" width="48" style="1935" customWidth="1"/>
    <col min="2554" max="2554" width="9.85546875" style="1935" customWidth="1"/>
    <col min="2555" max="2555" width="1.85546875" style="1935" customWidth="1"/>
    <col min="2556" max="2556" width="11" style="1935" customWidth="1"/>
    <col min="2557" max="2557" width="5.28515625" style="1935" customWidth="1"/>
    <col min="2558" max="2558" width="13.140625" style="1935" bestFit="1" customWidth="1"/>
    <col min="2559" max="2559" width="1.85546875" style="1935" customWidth="1"/>
    <col min="2560" max="2560" width="12.28515625" style="1935" customWidth="1"/>
    <col min="2561" max="2561" width="3.85546875" style="1935" customWidth="1"/>
    <col min="2562" max="2562" width="13.140625" style="1935" bestFit="1" customWidth="1"/>
    <col min="2563" max="2563" width="1.85546875" style="1935" customWidth="1"/>
    <col min="2564" max="2564" width="12.28515625" style="1935" customWidth="1"/>
    <col min="2565" max="2565" width="1.85546875" style="1935" customWidth="1"/>
    <col min="2566" max="2566" width="11" style="1935" customWidth="1"/>
    <col min="2567" max="2567" width="3.85546875" style="1935" customWidth="1"/>
    <col min="2568" max="2568" width="13.28515625" style="1935" bestFit="1" customWidth="1"/>
    <col min="2569" max="2569" width="1.85546875" style="1935" customWidth="1"/>
    <col min="2570" max="2570" width="12.42578125" style="1935" bestFit="1" customWidth="1"/>
    <col min="2571" max="2807" width="16.7109375" style="1935"/>
    <col min="2808" max="2808" width="8.85546875" style="1935" customWidth="1"/>
    <col min="2809" max="2809" width="48" style="1935" customWidth="1"/>
    <col min="2810" max="2810" width="9.85546875" style="1935" customWidth="1"/>
    <col min="2811" max="2811" width="1.85546875" style="1935" customWidth="1"/>
    <col min="2812" max="2812" width="11" style="1935" customWidth="1"/>
    <col min="2813" max="2813" width="5.28515625" style="1935" customWidth="1"/>
    <col min="2814" max="2814" width="13.140625" style="1935" bestFit="1" customWidth="1"/>
    <col min="2815" max="2815" width="1.85546875" style="1935" customWidth="1"/>
    <col min="2816" max="2816" width="12.28515625" style="1935" customWidth="1"/>
    <col min="2817" max="2817" width="3.85546875" style="1935" customWidth="1"/>
    <col min="2818" max="2818" width="13.140625" style="1935" bestFit="1" customWidth="1"/>
    <col min="2819" max="2819" width="1.85546875" style="1935" customWidth="1"/>
    <col min="2820" max="2820" width="12.28515625" style="1935" customWidth="1"/>
    <col min="2821" max="2821" width="1.85546875" style="1935" customWidth="1"/>
    <col min="2822" max="2822" width="11" style="1935" customWidth="1"/>
    <col min="2823" max="2823" width="3.85546875" style="1935" customWidth="1"/>
    <col min="2824" max="2824" width="13.28515625" style="1935" bestFit="1" customWidth="1"/>
    <col min="2825" max="2825" width="1.85546875" style="1935" customWidth="1"/>
    <col min="2826" max="2826" width="12.42578125" style="1935" bestFit="1" customWidth="1"/>
    <col min="2827" max="3063" width="16.7109375" style="1935"/>
    <col min="3064" max="3064" width="8.85546875" style="1935" customWidth="1"/>
    <col min="3065" max="3065" width="48" style="1935" customWidth="1"/>
    <col min="3066" max="3066" width="9.85546875" style="1935" customWidth="1"/>
    <col min="3067" max="3067" width="1.85546875" style="1935" customWidth="1"/>
    <col min="3068" max="3068" width="11" style="1935" customWidth="1"/>
    <col min="3069" max="3069" width="5.28515625" style="1935" customWidth="1"/>
    <col min="3070" max="3070" width="13.140625" style="1935" bestFit="1" customWidth="1"/>
    <col min="3071" max="3071" width="1.85546875" style="1935" customWidth="1"/>
    <col min="3072" max="3072" width="12.28515625" style="1935" customWidth="1"/>
    <col min="3073" max="3073" width="3.85546875" style="1935" customWidth="1"/>
    <col min="3074" max="3074" width="13.140625" style="1935" bestFit="1" customWidth="1"/>
    <col min="3075" max="3075" width="1.85546875" style="1935" customWidth="1"/>
    <col min="3076" max="3076" width="12.28515625" style="1935" customWidth="1"/>
    <col min="3077" max="3077" width="1.85546875" style="1935" customWidth="1"/>
    <col min="3078" max="3078" width="11" style="1935" customWidth="1"/>
    <col min="3079" max="3079" width="3.85546875" style="1935" customWidth="1"/>
    <col min="3080" max="3080" width="13.28515625" style="1935" bestFit="1" customWidth="1"/>
    <col min="3081" max="3081" width="1.85546875" style="1935" customWidth="1"/>
    <col min="3082" max="3082" width="12.42578125" style="1935" bestFit="1" customWidth="1"/>
    <col min="3083" max="3319" width="16.7109375" style="1935"/>
    <col min="3320" max="3320" width="8.85546875" style="1935" customWidth="1"/>
    <col min="3321" max="3321" width="48" style="1935" customWidth="1"/>
    <col min="3322" max="3322" width="9.85546875" style="1935" customWidth="1"/>
    <col min="3323" max="3323" width="1.85546875" style="1935" customWidth="1"/>
    <col min="3324" max="3324" width="11" style="1935" customWidth="1"/>
    <col min="3325" max="3325" width="5.28515625" style="1935" customWidth="1"/>
    <col min="3326" max="3326" width="13.140625" style="1935" bestFit="1" customWidth="1"/>
    <col min="3327" max="3327" width="1.85546875" style="1935" customWidth="1"/>
    <col min="3328" max="3328" width="12.28515625" style="1935" customWidth="1"/>
    <col min="3329" max="3329" width="3.85546875" style="1935" customWidth="1"/>
    <col min="3330" max="3330" width="13.140625" style="1935" bestFit="1" customWidth="1"/>
    <col min="3331" max="3331" width="1.85546875" style="1935" customWidth="1"/>
    <col min="3332" max="3332" width="12.28515625" style="1935" customWidth="1"/>
    <col min="3333" max="3333" width="1.85546875" style="1935" customWidth="1"/>
    <col min="3334" max="3334" width="11" style="1935" customWidth="1"/>
    <col min="3335" max="3335" width="3.85546875" style="1935" customWidth="1"/>
    <col min="3336" max="3336" width="13.28515625" style="1935" bestFit="1" customWidth="1"/>
    <col min="3337" max="3337" width="1.85546875" style="1935" customWidth="1"/>
    <col min="3338" max="3338" width="12.42578125" style="1935" bestFit="1" customWidth="1"/>
    <col min="3339" max="3575" width="16.7109375" style="1935"/>
    <col min="3576" max="3576" width="8.85546875" style="1935" customWidth="1"/>
    <col min="3577" max="3577" width="48" style="1935" customWidth="1"/>
    <col min="3578" max="3578" width="9.85546875" style="1935" customWidth="1"/>
    <col min="3579" max="3579" width="1.85546875" style="1935" customWidth="1"/>
    <col min="3580" max="3580" width="11" style="1935" customWidth="1"/>
    <col min="3581" max="3581" width="5.28515625" style="1935" customWidth="1"/>
    <col min="3582" max="3582" width="13.140625" style="1935" bestFit="1" customWidth="1"/>
    <col min="3583" max="3583" width="1.85546875" style="1935" customWidth="1"/>
    <col min="3584" max="3584" width="12.28515625" style="1935" customWidth="1"/>
    <col min="3585" max="3585" width="3.85546875" style="1935" customWidth="1"/>
    <col min="3586" max="3586" width="13.140625" style="1935" bestFit="1" customWidth="1"/>
    <col min="3587" max="3587" width="1.85546875" style="1935" customWidth="1"/>
    <col min="3588" max="3588" width="12.28515625" style="1935" customWidth="1"/>
    <col min="3589" max="3589" width="1.85546875" style="1935" customWidth="1"/>
    <col min="3590" max="3590" width="11" style="1935" customWidth="1"/>
    <col min="3591" max="3591" width="3.85546875" style="1935" customWidth="1"/>
    <col min="3592" max="3592" width="13.28515625" style="1935" bestFit="1" customWidth="1"/>
    <col min="3593" max="3593" width="1.85546875" style="1935" customWidth="1"/>
    <col min="3594" max="3594" width="12.42578125" style="1935" bestFit="1" customWidth="1"/>
    <col min="3595" max="3831" width="16.7109375" style="1935"/>
    <col min="3832" max="3832" width="8.85546875" style="1935" customWidth="1"/>
    <col min="3833" max="3833" width="48" style="1935" customWidth="1"/>
    <col min="3834" max="3834" width="9.85546875" style="1935" customWidth="1"/>
    <col min="3835" max="3835" width="1.85546875" style="1935" customWidth="1"/>
    <col min="3836" max="3836" width="11" style="1935" customWidth="1"/>
    <col min="3837" max="3837" width="5.28515625" style="1935" customWidth="1"/>
    <col min="3838" max="3838" width="13.140625" style="1935" bestFit="1" customWidth="1"/>
    <col min="3839" max="3839" width="1.85546875" style="1935" customWidth="1"/>
    <col min="3840" max="3840" width="12.28515625" style="1935" customWidth="1"/>
    <col min="3841" max="3841" width="3.85546875" style="1935" customWidth="1"/>
    <col min="3842" max="3842" width="13.140625" style="1935" bestFit="1" customWidth="1"/>
    <col min="3843" max="3843" width="1.85546875" style="1935" customWidth="1"/>
    <col min="3844" max="3844" width="12.28515625" style="1935" customWidth="1"/>
    <col min="3845" max="3845" width="1.85546875" style="1935" customWidth="1"/>
    <col min="3846" max="3846" width="11" style="1935" customWidth="1"/>
    <col min="3847" max="3847" width="3.85546875" style="1935" customWidth="1"/>
    <col min="3848" max="3848" width="13.28515625" style="1935" bestFit="1" customWidth="1"/>
    <col min="3849" max="3849" width="1.85546875" style="1935" customWidth="1"/>
    <col min="3850" max="3850" width="12.42578125" style="1935" bestFit="1" customWidth="1"/>
    <col min="3851" max="4087" width="16.7109375" style="1935"/>
    <col min="4088" max="4088" width="8.85546875" style="1935" customWidth="1"/>
    <col min="4089" max="4089" width="48" style="1935" customWidth="1"/>
    <col min="4090" max="4090" width="9.85546875" style="1935" customWidth="1"/>
    <col min="4091" max="4091" width="1.85546875" style="1935" customWidth="1"/>
    <col min="4092" max="4092" width="11" style="1935" customWidth="1"/>
    <col min="4093" max="4093" width="5.28515625" style="1935" customWidth="1"/>
    <col min="4094" max="4094" width="13.140625" style="1935" bestFit="1" customWidth="1"/>
    <col min="4095" max="4095" width="1.85546875" style="1935" customWidth="1"/>
    <col min="4096" max="4096" width="12.28515625" style="1935" customWidth="1"/>
    <col min="4097" max="4097" width="3.85546875" style="1935" customWidth="1"/>
    <col min="4098" max="4098" width="13.140625" style="1935" bestFit="1" customWidth="1"/>
    <col min="4099" max="4099" width="1.85546875" style="1935" customWidth="1"/>
    <col min="4100" max="4100" width="12.28515625" style="1935" customWidth="1"/>
    <col min="4101" max="4101" width="1.85546875" style="1935" customWidth="1"/>
    <col min="4102" max="4102" width="11" style="1935" customWidth="1"/>
    <col min="4103" max="4103" width="3.85546875" style="1935" customWidth="1"/>
    <col min="4104" max="4104" width="13.28515625" style="1935" bestFit="1" customWidth="1"/>
    <col min="4105" max="4105" width="1.85546875" style="1935" customWidth="1"/>
    <col min="4106" max="4106" width="12.42578125" style="1935" bestFit="1" customWidth="1"/>
    <col min="4107" max="4343" width="16.7109375" style="1935"/>
    <col min="4344" max="4344" width="8.85546875" style="1935" customWidth="1"/>
    <col min="4345" max="4345" width="48" style="1935" customWidth="1"/>
    <col min="4346" max="4346" width="9.85546875" style="1935" customWidth="1"/>
    <col min="4347" max="4347" width="1.85546875" style="1935" customWidth="1"/>
    <col min="4348" max="4348" width="11" style="1935" customWidth="1"/>
    <col min="4349" max="4349" width="5.28515625" style="1935" customWidth="1"/>
    <col min="4350" max="4350" width="13.140625" style="1935" bestFit="1" customWidth="1"/>
    <col min="4351" max="4351" width="1.85546875" style="1935" customWidth="1"/>
    <col min="4352" max="4352" width="12.28515625" style="1935" customWidth="1"/>
    <col min="4353" max="4353" width="3.85546875" style="1935" customWidth="1"/>
    <col min="4354" max="4354" width="13.140625" style="1935" bestFit="1" customWidth="1"/>
    <col min="4355" max="4355" width="1.85546875" style="1935" customWidth="1"/>
    <col min="4356" max="4356" width="12.28515625" style="1935" customWidth="1"/>
    <col min="4357" max="4357" width="1.85546875" style="1935" customWidth="1"/>
    <col min="4358" max="4358" width="11" style="1935" customWidth="1"/>
    <col min="4359" max="4359" width="3.85546875" style="1935" customWidth="1"/>
    <col min="4360" max="4360" width="13.28515625" style="1935" bestFit="1" customWidth="1"/>
    <col min="4361" max="4361" width="1.85546875" style="1935" customWidth="1"/>
    <col min="4362" max="4362" width="12.42578125" style="1935" bestFit="1" customWidth="1"/>
    <col min="4363" max="4599" width="16.7109375" style="1935"/>
    <col min="4600" max="4600" width="8.85546875" style="1935" customWidth="1"/>
    <col min="4601" max="4601" width="48" style="1935" customWidth="1"/>
    <col min="4602" max="4602" width="9.85546875" style="1935" customWidth="1"/>
    <col min="4603" max="4603" width="1.85546875" style="1935" customWidth="1"/>
    <col min="4604" max="4604" width="11" style="1935" customWidth="1"/>
    <col min="4605" max="4605" width="5.28515625" style="1935" customWidth="1"/>
    <col min="4606" max="4606" width="13.140625" style="1935" bestFit="1" customWidth="1"/>
    <col min="4607" max="4607" width="1.85546875" style="1935" customWidth="1"/>
    <col min="4608" max="4608" width="12.28515625" style="1935" customWidth="1"/>
    <col min="4609" max="4609" width="3.85546875" style="1935" customWidth="1"/>
    <col min="4610" max="4610" width="13.140625" style="1935" bestFit="1" customWidth="1"/>
    <col min="4611" max="4611" width="1.85546875" style="1935" customWidth="1"/>
    <col min="4612" max="4612" width="12.28515625" style="1935" customWidth="1"/>
    <col min="4613" max="4613" width="1.85546875" style="1935" customWidth="1"/>
    <col min="4614" max="4614" width="11" style="1935" customWidth="1"/>
    <col min="4615" max="4615" width="3.85546875" style="1935" customWidth="1"/>
    <col min="4616" max="4616" width="13.28515625" style="1935" bestFit="1" customWidth="1"/>
    <col min="4617" max="4617" width="1.85546875" style="1935" customWidth="1"/>
    <col min="4618" max="4618" width="12.42578125" style="1935" bestFit="1" customWidth="1"/>
    <col min="4619" max="4855" width="16.7109375" style="1935"/>
    <col min="4856" max="4856" width="8.85546875" style="1935" customWidth="1"/>
    <col min="4857" max="4857" width="48" style="1935" customWidth="1"/>
    <col min="4858" max="4858" width="9.85546875" style="1935" customWidth="1"/>
    <col min="4859" max="4859" width="1.85546875" style="1935" customWidth="1"/>
    <col min="4860" max="4860" width="11" style="1935" customWidth="1"/>
    <col min="4861" max="4861" width="5.28515625" style="1935" customWidth="1"/>
    <col min="4862" max="4862" width="13.140625" style="1935" bestFit="1" customWidth="1"/>
    <col min="4863" max="4863" width="1.85546875" style="1935" customWidth="1"/>
    <col min="4864" max="4864" width="12.28515625" style="1935" customWidth="1"/>
    <col min="4865" max="4865" width="3.85546875" style="1935" customWidth="1"/>
    <col min="4866" max="4866" width="13.140625" style="1935" bestFit="1" customWidth="1"/>
    <col min="4867" max="4867" width="1.85546875" style="1935" customWidth="1"/>
    <col min="4868" max="4868" width="12.28515625" style="1935" customWidth="1"/>
    <col min="4869" max="4869" width="1.85546875" style="1935" customWidth="1"/>
    <col min="4870" max="4870" width="11" style="1935" customWidth="1"/>
    <col min="4871" max="4871" width="3.85546875" style="1935" customWidth="1"/>
    <col min="4872" max="4872" width="13.28515625" style="1935" bestFit="1" customWidth="1"/>
    <col min="4873" max="4873" width="1.85546875" style="1935" customWidth="1"/>
    <col min="4874" max="4874" width="12.42578125" style="1935" bestFit="1" customWidth="1"/>
    <col min="4875" max="5111" width="16.7109375" style="1935"/>
    <col min="5112" max="5112" width="8.85546875" style="1935" customWidth="1"/>
    <col min="5113" max="5113" width="48" style="1935" customWidth="1"/>
    <col min="5114" max="5114" width="9.85546875" style="1935" customWidth="1"/>
    <col min="5115" max="5115" width="1.85546875" style="1935" customWidth="1"/>
    <col min="5116" max="5116" width="11" style="1935" customWidth="1"/>
    <col min="5117" max="5117" width="5.28515625" style="1935" customWidth="1"/>
    <col min="5118" max="5118" width="13.140625" style="1935" bestFit="1" customWidth="1"/>
    <col min="5119" max="5119" width="1.85546875" style="1935" customWidth="1"/>
    <col min="5120" max="5120" width="12.28515625" style="1935" customWidth="1"/>
    <col min="5121" max="5121" width="3.85546875" style="1935" customWidth="1"/>
    <col min="5122" max="5122" width="13.140625" style="1935" bestFit="1" customWidth="1"/>
    <col min="5123" max="5123" width="1.85546875" style="1935" customWidth="1"/>
    <col min="5124" max="5124" width="12.28515625" style="1935" customWidth="1"/>
    <col min="5125" max="5125" width="1.85546875" style="1935" customWidth="1"/>
    <col min="5126" max="5126" width="11" style="1935" customWidth="1"/>
    <col min="5127" max="5127" width="3.85546875" style="1935" customWidth="1"/>
    <col min="5128" max="5128" width="13.28515625" style="1935" bestFit="1" customWidth="1"/>
    <col min="5129" max="5129" width="1.85546875" style="1935" customWidth="1"/>
    <col min="5130" max="5130" width="12.42578125" style="1935" bestFit="1" customWidth="1"/>
    <col min="5131" max="5367" width="16.7109375" style="1935"/>
    <col min="5368" max="5368" width="8.85546875" style="1935" customWidth="1"/>
    <col min="5369" max="5369" width="48" style="1935" customWidth="1"/>
    <col min="5370" max="5370" width="9.85546875" style="1935" customWidth="1"/>
    <col min="5371" max="5371" width="1.85546875" style="1935" customWidth="1"/>
    <col min="5372" max="5372" width="11" style="1935" customWidth="1"/>
    <col min="5373" max="5373" width="5.28515625" style="1935" customWidth="1"/>
    <col min="5374" max="5374" width="13.140625" style="1935" bestFit="1" customWidth="1"/>
    <col min="5375" max="5375" width="1.85546875" style="1935" customWidth="1"/>
    <col min="5376" max="5376" width="12.28515625" style="1935" customWidth="1"/>
    <col min="5377" max="5377" width="3.85546875" style="1935" customWidth="1"/>
    <col min="5378" max="5378" width="13.140625" style="1935" bestFit="1" customWidth="1"/>
    <col min="5379" max="5379" width="1.85546875" style="1935" customWidth="1"/>
    <col min="5380" max="5380" width="12.28515625" style="1935" customWidth="1"/>
    <col min="5381" max="5381" width="1.85546875" style="1935" customWidth="1"/>
    <col min="5382" max="5382" width="11" style="1935" customWidth="1"/>
    <col min="5383" max="5383" width="3.85546875" style="1935" customWidth="1"/>
    <col min="5384" max="5384" width="13.28515625" style="1935" bestFit="1" customWidth="1"/>
    <col min="5385" max="5385" width="1.85546875" style="1935" customWidth="1"/>
    <col min="5386" max="5386" width="12.42578125" style="1935" bestFit="1" customWidth="1"/>
    <col min="5387" max="5623" width="16.7109375" style="1935"/>
    <col min="5624" max="5624" width="8.85546875" style="1935" customWidth="1"/>
    <col min="5625" max="5625" width="48" style="1935" customWidth="1"/>
    <col min="5626" max="5626" width="9.85546875" style="1935" customWidth="1"/>
    <col min="5627" max="5627" width="1.85546875" style="1935" customWidth="1"/>
    <col min="5628" max="5628" width="11" style="1935" customWidth="1"/>
    <col min="5629" max="5629" width="5.28515625" style="1935" customWidth="1"/>
    <col min="5630" max="5630" width="13.140625" style="1935" bestFit="1" customWidth="1"/>
    <col min="5631" max="5631" width="1.85546875" style="1935" customWidth="1"/>
    <col min="5632" max="5632" width="12.28515625" style="1935" customWidth="1"/>
    <col min="5633" max="5633" width="3.85546875" style="1935" customWidth="1"/>
    <col min="5634" max="5634" width="13.140625" style="1935" bestFit="1" customWidth="1"/>
    <col min="5635" max="5635" width="1.85546875" style="1935" customWidth="1"/>
    <col min="5636" max="5636" width="12.28515625" style="1935" customWidth="1"/>
    <col min="5637" max="5637" width="1.85546875" style="1935" customWidth="1"/>
    <col min="5638" max="5638" width="11" style="1935" customWidth="1"/>
    <col min="5639" max="5639" width="3.85546875" style="1935" customWidth="1"/>
    <col min="5640" max="5640" width="13.28515625" style="1935" bestFit="1" customWidth="1"/>
    <col min="5641" max="5641" width="1.85546875" style="1935" customWidth="1"/>
    <col min="5642" max="5642" width="12.42578125" style="1935" bestFit="1" customWidth="1"/>
    <col min="5643" max="5879" width="16.7109375" style="1935"/>
    <col min="5880" max="5880" width="8.85546875" style="1935" customWidth="1"/>
    <col min="5881" max="5881" width="48" style="1935" customWidth="1"/>
    <col min="5882" max="5882" width="9.85546875" style="1935" customWidth="1"/>
    <col min="5883" max="5883" width="1.85546875" style="1935" customWidth="1"/>
    <col min="5884" max="5884" width="11" style="1935" customWidth="1"/>
    <col min="5885" max="5885" width="5.28515625" style="1935" customWidth="1"/>
    <col min="5886" max="5886" width="13.140625" style="1935" bestFit="1" customWidth="1"/>
    <col min="5887" max="5887" width="1.85546875" style="1935" customWidth="1"/>
    <col min="5888" max="5888" width="12.28515625" style="1935" customWidth="1"/>
    <col min="5889" max="5889" width="3.85546875" style="1935" customWidth="1"/>
    <col min="5890" max="5890" width="13.140625" style="1935" bestFit="1" customWidth="1"/>
    <col min="5891" max="5891" width="1.85546875" style="1935" customWidth="1"/>
    <col min="5892" max="5892" width="12.28515625" style="1935" customWidth="1"/>
    <col min="5893" max="5893" width="1.85546875" style="1935" customWidth="1"/>
    <col min="5894" max="5894" width="11" style="1935" customWidth="1"/>
    <col min="5895" max="5895" width="3.85546875" style="1935" customWidth="1"/>
    <col min="5896" max="5896" width="13.28515625" style="1935" bestFit="1" customWidth="1"/>
    <col min="5897" max="5897" width="1.85546875" style="1935" customWidth="1"/>
    <col min="5898" max="5898" width="12.42578125" style="1935" bestFit="1" customWidth="1"/>
    <col min="5899" max="6135" width="16.7109375" style="1935"/>
    <col min="6136" max="6136" width="8.85546875" style="1935" customWidth="1"/>
    <col min="6137" max="6137" width="48" style="1935" customWidth="1"/>
    <col min="6138" max="6138" width="9.85546875" style="1935" customWidth="1"/>
    <col min="6139" max="6139" width="1.85546875" style="1935" customWidth="1"/>
    <col min="6140" max="6140" width="11" style="1935" customWidth="1"/>
    <col min="6141" max="6141" width="5.28515625" style="1935" customWidth="1"/>
    <col min="6142" max="6142" width="13.140625" style="1935" bestFit="1" customWidth="1"/>
    <col min="6143" max="6143" width="1.85546875" style="1935" customWidth="1"/>
    <col min="6144" max="6144" width="12.28515625" style="1935" customWidth="1"/>
    <col min="6145" max="6145" width="3.85546875" style="1935" customWidth="1"/>
    <col min="6146" max="6146" width="13.140625" style="1935" bestFit="1" customWidth="1"/>
    <col min="6147" max="6147" width="1.85546875" style="1935" customWidth="1"/>
    <col min="6148" max="6148" width="12.28515625" style="1935" customWidth="1"/>
    <col min="6149" max="6149" width="1.85546875" style="1935" customWidth="1"/>
    <col min="6150" max="6150" width="11" style="1935" customWidth="1"/>
    <col min="6151" max="6151" width="3.85546875" style="1935" customWidth="1"/>
    <col min="6152" max="6152" width="13.28515625" style="1935" bestFit="1" customWidth="1"/>
    <col min="6153" max="6153" width="1.85546875" style="1935" customWidth="1"/>
    <col min="6154" max="6154" width="12.42578125" style="1935" bestFit="1" customWidth="1"/>
    <col min="6155" max="6391" width="16.7109375" style="1935"/>
    <col min="6392" max="6392" width="8.85546875" style="1935" customWidth="1"/>
    <col min="6393" max="6393" width="48" style="1935" customWidth="1"/>
    <col min="6394" max="6394" width="9.85546875" style="1935" customWidth="1"/>
    <col min="6395" max="6395" width="1.85546875" style="1935" customWidth="1"/>
    <col min="6396" max="6396" width="11" style="1935" customWidth="1"/>
    <col min="6397" max="6397" width="5.28515625" style="1935" customWidth="1"/>
    <col min="6398" max="6398" width="13.140625" style="1935" bestFit="1" customWidth="1"/>
    <col min="6399" max="6399" width="1.85546875" style="1935" customWidth="1"/>
    <col min="6400" max="6400" width="12.28515625" style="1935" customWidth="1"/>
    <col min="6401" max="6401" width="3.85546875" style="1935" customWidth="1"/>
    <col min="6402" max="6402" width="13.140625" style="1935" bestFit="1" customWidth="1"/>
    <col min="6403" max="6403" width="1.85546875" style="1935" customWidth="1"/>
    <col min="6404" max="6404" width="12.28515625" style="1935" customWidth="1"/>
    <col min="6405" max="6405" width="1.85546875" style="1935" customWidth="1"/>
    <col min="6406" max="6406" width="11" style="1935" customWidth="1"/>
    <col min="6407" max="6407" width="3.85546875" style="1935" customWidth="1"/>
    <col min="6408" max="6408" width="13.28515625" style="1935" bestFit="1" customWidth="1"/>
    <col min="6409" max="6409" width="1.85546875" style="1935" customWidth="1"/>
    <col min="6410" max="6410" width="12.42578125" style="1935" bestFit="1" customWidth="1"/>
    <col min="6411" max="6647" width="16.7109375" style="1935"/>
    <col min="6648" max="6648" width="8.85546875" style="1935" customWidth="1"/>
    <col min="6649" max="6649" width="48" style="1935" customWidth="1"/>
    <col min="6650" max="6650" width="9.85546875" style="1935" customWidth="1"/>
    <col min="6651" max="6651" width="1.85546875" style="1935" customWidth="1"/>
    <col min="6652" max="6652" width="11" style="1935" customWidth="1"/>
    <col min="6653" max="6653" width="5.28515625" style="1935" customWidth="1"/>
    <col min="6654" max="6654" width="13.140625" style="1935" bestFit="1" customWidth="1"/>
    <col min="6655" max="6655" width="1.85546875" style="1935" customWidth="1"/>
    <col min="6656" max="6656" width="12.28515625" style="1935" customWidth="1"/>
    <col min="6657" max="6657" width="3.85546875" style="1935" customWidth="1"/>
    <col min="6658" max="6658" width="13.140625" style="1935" bestFit="1" customWidth="1"/>
    <col min="6659" max="6659" width="1.85546875" style="1935" customWidth="1"/>
    <col min="6660" max="6660" width="12.28515625" style="1935" customWidth="1"/>
    <col min="6661" max="6661" width="1.85546875" style="1935" customWidth="1"/>
    <col min="6662" max="6662" width="11" style="1935" customWidth="1"/>
    <col min="6663" max="6663" width="3.85546875" style="1935" customWidth="1"/>
    <col min="6664" max="6664" width="13.28515625" style="1935" bestFit="1" customWidth="1"/>
    <col min="6665" max="6665" width="1.85546875" style="1935" customWidth="1"/>
    <col min="6666" max="6666" width="12.42578125" style="1935" bestFit="1" customWidth="1"/>
    <col min="6667" max="6903" width="16.7109375" style="1935"/>
    <col min="6904" max="6904" width="8.85546875" style="1935" customWidth="1"/>
    <col min="6905" max="6905" width="48" style="1935" customWidth="1"/>
    <col min="6906" max="6906" width="9.85546875" style="1935" customWidth="1"/>
    <col min="6907" max="6907" width="1.85546875" style="1935" customWidth="1"/>
    <col min="6908" max="6908" width="11" style="1935" customWidth="1"/>
    <col min="6909" max="6909" width="5.28515625" style="1935" customWidth="1"/>
    <col min="6910" max="6910" width="13.140625" style="1935" bestFit="1" customWidth="1"/>
    <col min="6911" max="6911" width="1.85546875" style="1935" customWidth="1"/>
    <col min="6912" max="6912" width="12.28515625" style="1935" customWidth="1"/>
    <col min="6913" max="6913" width="3.85546875" style="1935" customWidth="1"/>
    <col min="6914" max="6914" width="13.140625" style="1935" bestFit="1" customWidth="1"/>
    <col min="6915" max="6915" width="1.85546875" style="1935" customWidth="1"/>
    <col min="6916" max="6916" width="12.28515625" style="1935" customWidth="1"/>
    <col min="6917" max="6917" width="1.85546875" style="1935" customWidth="1"/>
    <col min="6918" max="6918" width="11" style="1935" customWidth="1"/>
    <col min="6919" max="6919" width="3.85546875" style="1935" customWidth="1"/>
    <col min="6920" max="6920" width="13.28515625" style="1935" bestFit="1" customWidth="1"/>
    <col min="6921" max="6921" width="1.85546875" style="1935" customWidth="1"/>
    <col min="6922" max="6922" width="12.42578125" style="1935" bestFit="1" customWidth="1"/>
    <col min="6923" max="7159" width="16.7109375" style="1935"/>
    <col min="7160" max="7160" width="8.85546875" style="1935" customWidth="1"/>
    <col min="7161" max="7161" width="48" style="1935" customWidth="1"/>
    <col min="7162" max="7162" width="9.85546875" style="1935" customWidth="1"/>
    <col min="7163" max="7163" width="1.85546875" style="1935" customWidth="1"/>
    <col min="7164" max="7164" width="11" style="1935" customWidth="1"/>
    <col min="7165" max="7165" width="5.28515625" style="1935" customWidth="1"/>
    <col min="7166" max="7166" width="13.140625" style="1935" bestFit="1" customWidth="1"/>
    <col min="7167" max="7167" width="1.85546875" style="1935" customWidth="1"/>
    <col min="7168" max="7168" width="12.28515625" style="1935" customWidth="1"/>
    <col min="7169" max="7169" width="3.85546875" style="1935" customWidth="1"/>
    <col min="7170" max="7170" width="13.140625" style="1935" bestFit="1" customWidth="1"/>
    <col min="7171" max="7171" width="1.85546875" style="1935" customWidth="1"/>
    <col min="7172" max="7172" width="12.28515625" style="1935" customWidth="1"/>
    <col min="7173" max="7173" width="1.85546875" style="1935" customWidth="1"/>
    <col min="7174" max="7174" width="11" style="1935" customWidth="1"/>
    <col min="7175" max="7175" width="3.85546875" style="1935" customWidth="1"/>
    <col min="7176" max="7176" width="13.28515625" style="1935" bestFit="1" customWidth="1"/>
    <col min="7177" max="7177" width="1.85546875" style="1935" customWidth="1"/>
    <col min="7178" max="7178" width="12.42578125" style="1935" bestFit="1" customWidth="1"/>
    <col min="7179" max="7415" width="16.7109375" style="1935"/>
    <col min="7416" max="7416" width="8.85546875" style="1935" customWidth="1"/>
    <col min="7417" max="7417" width="48" style="1935" customWidth="1"/>
    <col min="7418" max="7418" width="9.85546875" style="1935" customWidth="1"/>
    <col min="7419" max="7419" width="1.85546875" style="1935" customWidth="1"/>
    <col min="7420" max="7420" width="11" style="1935" customWidth="1"/>
    <col min="7421" max="7421" width="5.28515625" style="1935" customWidth="1"/>
    <col min="7422" max="7422" width="13.140625" style="1935" bestFit="1" customWidth="1"/>
    <col min="7423" max="7423" width="1.85546875" style="1935" customWidth="1"/>
    <col min="7424" max="7424" width="12.28515625" style="1935" customWidth="1"/>
    <col min="7425" max="7425" width="3.85546875" style="1935" customWidth="1"/>
    <col min="7426" max="7426" width="13.140625" style="1935" bestFit="1" customWidth="1"/>
    <col min="7427" max="7427" width="1.85546875" style="1935" customWidth="1"/>
    <col min="7428" max="7428" width="12.28515625" style="1935" customWidth="1"/>
    <col min="7429" max="7429" width="1.85546875" style="1935" customWidth="1"/>
    <col min="7430" max="7430" width="11" style="1935" customWidth="1"/>
    <col min="7431" max="7431" width="3.85546875" style="1935" customWidth="1"/>
    <col min="7432" max="7432" width="13.28515625" style="1935" bestFit="1" customWidth="1"/>
    <col min="7433" max="7433" width="1.85546875" style="1935" customWidth="1"/>
    <col min="7434" max="7434" width="12.42578125" style="1935" bestFit="1" customWidth="1"/>
    <col min="7435" max="7671" width="16.7109375" style="1935"/>
    <col min="7672" max="7672" width="8.85546875" style="1935" customWidth="1"/>
    <col min="7673" max="7673" width="48" style="1935" customWidth="1"/>
    <col min="7674" max="7674" width="9.85546875" style="1935" customWidth="1"/>
    <col min="7675" max="7675" width="1.85546875" style="1935" customWidth="1"/>
    <col min="7676" max="7676" width="11" style="1935" customWidth="1"/>
    <col min="7677" max="7677" width="5.28515625" style="1935" customWidth="1"/>
    <col min="7678" max="7678" width="13.140625" style="1935" bestFit="1" customWidth="1"/>
    <col min="7679" max="7679" width="1.85546875" style="1935" customWidth="1"/>
    <col min="7680" max="7680" width="12.28515625" style="1935" customWidth="1"/>
    <col min="7681" max="7681" width="3.85546875" style="1935" customWidth="1"/>
    <col min="7682" max="7682" width="13.140625" style="1935" bestFit="1" customWidth="1"/>
    <col min="7683" max="7683" width="1.85546875" style="1935" customWidth="1"/>
    <col min="7684" max="7684" width="12.28515625" style="1935" customWidth="1"/>
    <col min="7685" max="7685" width="1.85546875" style="1935" customWidth="1"/>
    <col min="7686" max="7686" width="11" style="1935" customWidth="1"/>
    <col min="7687" max="7687" width="3.85546875" style="1935" customWidth="1"/>
    <col min="7688" max="7688" width="13.28515625" style="1935" bestFit="1" customWidth="1"/>
    <col min="7689" max="7689" width="1.85546875" style="1935" customWidth="1"/>
    <col min="7690" max="7690" width="12.42578125" style="1935" bestFit="1" customWidth="1"/>
    <col min="7691" max="7927" width="16.7109375" style="1935"/>
    <col min="7928" max="7928" width="8.85546875" style="1935" customWidth="1"/>
    <col min="7929" max="7929" width="48" style="1935" customWidth="1"/>
    <col min="7930" max="7930" width="9.85546875" style="1935" customWidth="1"/>
    <col min="7931" max="7931" width="1.85546875" style="1935" customWidth="1"/>
    <col min="7932" max="7932" width="11" style="1935" customWidth="1"/>
    <col min="7933" max="7933" width="5.28515625" style="1935" customWidth="1"/>
    <col min="7934" max="7934" width="13.140625" style="1935" bestFit="1" customWidth="1"/>
    <col min="7935" max="7935" width="1.85546875" style="1935" customWidth="1"/>
    <col min="7936" max="7936" width="12.28515625" style="1935" customWidth="1"/>
    <col min="7937" max="7937" width="3.85546875" style="1935" customWidth="1"/>
    <col min="7938" max="7938" width="13.140625" style="1935" bestFit="1" customWidth="1"/>
    <col min="7939" max="7939" width="1.85546875" style="1935" customWidth="1"/>
    <col min="7940" max="7940" width="12.28515625" style="1935" customWidth="1"/>
    <col min="7941" max="7941" width="1.85546875" style="1935" customWidth="1"/>
    <col min="7942" max="7942" width="11" style="1935" customWidth="1"/>
    <col min="7943" max="7943" width="3.85546875" style="1935" customWidth="1"/>
    <col min="7944" max="7944" width="13.28515625" style="1935" bestFit="1" customWidth="1"/>
    <col min="7945" max="7945" width="1.85546875" style="1935" customWidth="1"/>
    <col min="7946" max="7946" width="12.42578125" style="1935" bestFit="1" customWidth="1"/>
    <col min="7947" max="8183" width="16.7109375" style="1935"/>
    <col min="8184" max="8184" width="8.85546875" style="1935" customWidth="1"/>
    <col min="8185" max="8185" width="48" style="1935" customWidth="1"/>
    <col min="8186" max="8186" width="9.85546875" style="1935" customWidth="1"/>
    <col min="8187" max="8187" width="1.85546875" style="1935" customWidth="1"/>
    <col min="8188" max="8188" width="11" style="1935" customWidth="1"/>
    <col min="8189" max="8189" width="5.28515625" style="1935" customWidth="1"/>
    <col min="8190" max="8190" width="13.140625" style="1935" bestFit="1" customWidth="1"/>
    <col min="8191" max="8191" width="1.85546875" style="1935" customWidth="1"/>
    <col min="8192" max="8192" width="12.28515625" style="1935" customWidth="1"/>
    <col min="8193" max="8193" width="3.85546875" style="1935" customWidth="1"/>
    <col min="8194" max="8194" width="13.140625" style="1935" bestFit="1" customWidth="1"/>
    <col min="8195" max="8195" width="1.85546875" style="1935" customWidth="1"/>
    <col min="8196" max="8196" width="12.28515625" style="1935" customWidth="1"/>
    <col min="8197" max="8197" width="1.85546875" style="1935" customWidth="1"/>
    <col min="8198" max="8198" width="11" style="1935" customWidth="1"/>
    <col min="8199" max="8199" width="3.85546875" style="1935" customWidth="1"/>
    <col min="8200" max="8200" width="13.28515625" style="1935" bestFit="1" customWidth="1"/>
    <col min="8201" max="8201" width="1.85546875" style="1935" customWidth="1"/>
    <col min="8202" max="8202" width="12.42578125" style="1935" bestFit="1" customWidth="1"/>
    <col min="8203" max="8439" width="16.7109375" style="1935"/>
    <col min="8440" max="8440" width="8.85546875" style="1935" customWidth="1"/>
    <col min="8441" max="8441" width="48" style="1935" customWidth="1"/>
    <col min="8442" max="8442" width="9.85546875" style="1935" customWidth="1"/>
    <col min="8443" max="8443" width="1.85546875" style="1935" customWidth="1"/>
    <col min="8444" max="8444" width="11" style="1935" customWidth="1"/>
    <col min="8445" max="8445" width="5.28515625" style="1935" customWidth="1"/>
    <col min="8446" max="8446" width="13.140625" style="1935" bestFit="1" customWidth="1"/>
    <col min="8447" max="8447" width="1.85546875" style="1935" customWidth="1"/>
    <col min="8448" max="8448" width="12.28515625" style="1935" customWidth="1"/>
    <col min="8449" max="8449" width="3.85546875" style="1935" customWidth="1"/>
    <col min="8450" max="8450" width="13.140625" style="1935" bestFit="1" customWidth="1"/>
    <col min="8451" max="8451" width="1.85546875" style="1935" customWidth="1"/>
    <col min="8452" max="8452" width="12.28515625" style="1935" customWidth="1"/>
    <col min="8453" max="8453" width="1.85546875" style="1935" customWidth="1"/>
    <col min="8454" max="8454" width="11" style="1935" customWidth="1"/>
    <col min="8455" max="8455" width="3.85546875" style="1935" customWidth="1"/>
    <col min="8456" max="8456" width="13.28515625" style="1935" bestFit="1" customWidth="1"/>
    <col min="8457" max="8457" width="1.85546875" style="1935" customWidth="1"/>
    <col min="8458" max="8458" width="12.42578125" style="1935" bestFit="1" customWidth="1"/>
    <col min="8459" max="8695" width="16.7109375" style="1935"/>
    <col min="8696" max="8696" width="8.85546875" style="1935" customWidth="1"/>
    <col min="8697" max="8697" width="48" style="1935" customWidth="1"/>
    <col min="8698" max="8698" width="9.85546875" style="1935" customWidth="1"/>
    <col min="8699" max="8699" width="1.85546875" style="1935" customWidth="1"/>
    <col min="8700" max="8700" width="11" style="1935" customWidth="1"/>
    <col min="8701" max="8701" width="5.28515625" style="1935" customWidth="1"/>
    <col min="8702" max="8702" width="13.140625" style="1935" bestFit="1" customWidth="1"/>
    <col min="8703" max="8703" width="1.85546875" style="1935" customWidth="1"/>
    <col min="8704" max="8704" width="12.28515625" style="1935" customWidth="1"/>
    <col min="8705" max="8705" width="3.85546875" style="1935" customWidth="1"/>
    <col min="8706" max="8706" width="13.140625" style="1935" bestFit="1" customWidth="1"/>
    <col min="8707" max="8707" width="1.85546875" style="1935" customWidth="1"/>
    <col min="8708" max="8708" width="12.28515625" style="1935" customWidth="1"/>
    <col min="8709" max="8709" width="1.85546875" style="1935" customWidth="1"/>
    <col min="8710" max="8710" width="11" style="1935" customWidth="1"/>
    <col min="8711" max="8711" width="3.85546875" style="1935" customWidth="1"/>
    <col min="8712" max="8712" width="13.28515625" style="1935" bestFit="1" customWidth="1"/>
    <col min="8713" max="8713" width="1.85546875" style="1935" customWidth="1"/>
    <col min="8714" max="8714" width="12.42578125" style="1935" bestFit="1" customWidth="1"/>
    <col min="8715" max="8951" width="16.7109375" style="1935"/>
    <col min="8952" max="8952" width="8.85546875" style="1935" customWidth="1"/>
    <col min="8953" max="8953" width="48" style="1935" customWidth="1"/>
    <col min="8954" max="8954" width="9.85546875" style="1935" customWidth="1"/>
    <col min="8955" max="8955" width="1.85546875" style="1935" customWidth="1"/>
    <col min="8956" max="8956" width="11" style="1935" customWidth="1"/>
    <col min="8957" max="8957" width="5.28515625" style="1935" customWidth="1"/>
    <col min="8958" max="8958" width="13.140625" style="1935" bestFit="1" customWidth="1"/>
    <col min="8959" max="8959" width="1.85546875" style="1935" customWidth="1"/>
    <col min="8960" max="8960" width="12.28515625" style="1935" customWidth="1"/>
    <col min="8961" max="8961" width="3.85546875" style="1935" customWidth="1"/>
    <col min="8962" max="8962" width="13.140625" style="1935" bestFit="1" customWidth="1"/>
    <col min="8963" max="8963" width="1.85546875" style="1935" customWidth="1"/>
    <col min="8964" max="8964" width="12.28515625" style="1935" customWidth="1"/>
    <col min="8965" max="8965" width="1.85546875" style="1935" customWidth="1"/>
    <col min="8966" max="8966" width="11" style="1935" customWidth="1"/>
    <col min="8967" max="8967" width="3.85546875" style="1935" customWidth="1"/>
    <col min="8968" max="8968" width="13.28515625" style="1935" bestFit="1" customWidth="1"/>
    <col min="8969" max="8969" width="1.85546875" style="1935" customWidth="1"/>
    <col min="8970" max="8970" width="12.42578125" style="1935" bestFit="1" customWidth="1"/>
    <col min="8971" max="9207" width="16.7109375" style="1935"/>
    <col min="9208" max="9208" width="8.85546875" style="1935" customWidth="1"/>
    <col min="9209" max="9209" width="48" style="1935" customWidth="1"/>
    <col min="9210" max="9210" width="9.85546875" style="1935" customWidth="1"/>
    <col min="9211" max="9211" width="1.85546875" style="1935" customWidth="1"/>
    <col min="9212" max="9212" width="11" style="1935" customWidth="1"/>
    <col min="9213" max="9213" width="5.28515625" style="1935" customWidth="1"/>
    <col min="9214" max="9214" width="13.140625" style="1935" bestFit="1" customWidth="1"/>
    <col min="9215" max="9215" width="1.85546875" style="1935" customWidth="1"/>
    <col min="9216" max="9216" width="12.28515625" style="1935" customWidth="1"/>
    <col min="9217" max="9217" width="3.85546875" style="1935" customWidth="1"/>
    <col min="9218" max="9218" width="13.140625" style="1935" bestFit="1" customWidth="1"/>
    <col min="9219" max="9219" width="1.85546875" style="1935" customWidth="1"/>
    <col min="9220" max="9220" width="12.28515625" style="1935" customWidth="1"/>
    <col min="9221" max="9221" width="1.85546875" style="1935" customWidth="1"/>
    <col min="9222" max="9222" width="11" style="1935" customWidth="1"/>
    <col min="9223" max="9223" width="3.85546875" style="1935" customWidth="1"/>
    <col min="9224" max="9224" width="13.28515625" style="1935" bestFit="1" customWidth="1"/>
    <col min="9225" max="9225" width="1.85546875" style="1935" customWidth="1"/>
    <col min="9226" max="9226" width="12.42578125" style="1935" bestFit="1" customWidth="1"/>
    <col min="9227" max="9463" width="16.7109375" style="1935"/>
    <col min="9464" max="9464" width="8.85546875" style="1935" customWidth="1"/>
    <col min="9465" max="9465" width="48" style="1935" customWidth="1"/>
    <col min="9466" max="9466" width="9.85546875" style="1935" customWidth="1"/>
    <col min="9467" max="9467" width="1.85546875" style="1935" customWidth="1"/>
    <col min="9468" max="9468" width="11" style="1935" customWidth="1"/>
    <col min="9469" max="9469" width="5.28515625" style="1935" customWidth="1"/>
    <col min="9470" max="9470" width="13.140625" style="1935" bestFit="1" customWidth="1"/>
    <col min="9471" max="9471" width="1.85546875" style="1935" customWidth="1"/>
    <col min="9472" max="9472" width="12.28515625" style="1935" customWidth="1"/>
    <col min="9473" max="9473" width="3.85546875" style="1935" customWidth="1"/>
    <col min="9474" max="9474" width="13.140625" style="1935" bestFit="1" customWidth="1"/>
    <col min="9475" max="9475" width="1.85546875" style="1935" customWidth="1"/>
    <col min="9476" max="9476" width="12.28515625" style="1935" customWidth="1"/>
    <col min="9477" max="9477" width="1.85546875" style="1935" customWidth="1"/>
    <col min="9478" max="9478" width="11" style="1935" customWidth="1"/>
    <col min="9479" max="9479" width="3.85546875" style="1935" customWidth="1"/>
    <col min="9480" max="9480" width="13.28515625" style="1935" bestFit="1" customWidth="1"/>
    <col min="9481" max="9481" width="1.85546875" style="1935" customWidth="1"/>
    <col min="9482" max="9482" width="12.42578125" style="1935" bestFit="1" customWidth="1"/>
    <col min="9483" max="9719" width="16.7109375" style="1935"/>
    <col min="9720" max="9720" width="8.85546875" style="1935" customWidth="1"/>
    <col min="9721" max="9721" width="48" style="1935" customWidth="1"/>
    <col min="9722" max="9722" width="9.85546875" style="1935" customWidth="1"/>
    <col min="9723" max="9723" width="1.85546875" style="1935" customWidth="1"/>
    <col min="9724" max="9724" width="11" style="1935" customWidth="1"/>
    <col min="9725" max="9725" width="5.28515625" style="1935" customWidth="1"/>
    <col min="9726" max="9726" width="13.140625" style="1935" bestFit="1" customWidth="1"/>
    <col min="9727" max="9727" width="1.85546875" style="1935" customWidth="1"/>
    <col min="9728" max="9728" width="12.28515625" style="1935" customWidth="1"/>
    <col min="9729" max="9729" width="3.85546875" style="1935" customWidth="1"/>
    <col min="9730" max="9730" width="13.140625" style="1935" bestFit="1" customWidth="1"/>
    <col min="9731" max="9731" width="1.85546875" style="1935" customWidth="1"/>
    <col min="9732" max="9732" width="12.28515625" style="1935" customWidth="1"/>
    <col min="9733" max="9733" width="1.85546875" style="1935" customWidth="1"/>
    <col min="9734" max="9734" width="11" style="1935" customWidth="1"/>
    <col min="9735" max="9735" width="3.85546875" style="1935" customWidth="1"/>
    <col min="9736" max="9736" width="13.28515625" style="1935" bestFit="1" customWidth="1"/>
    <col min="9737" max="9737" width="1.85546875" style="1935" customWidth="1"/>
    <col min="9738" max="9738" width="12.42578125" style="1935" bestFit="1" customWidth="1"/>
    <col min="9739" max="9975" width="16.7109375" style="1935"/>
    <col min="9976" max="9976" width="8.85546875" style="1935" customWidth="1"/>
    <col min="9977" max="9977" width="48" style="1935" customWidth="1"/>
    <col min="9978" max="9978" width="9.85546875" style="1935" customWidth="1"/>
    <col min="9979" max="9979" width="1.85546875" style="1935" customWidth="1"/>
    <col min="9980" max="9980" width="11" style="1935" customWidth="1"/>
    <col min="9981" max="9981" width="5.28515625" style="1935" customWidth="1"/>
    <col min="9982" max="9982" width="13.140625" style="1935" bestFit="1" customWidth="1"/>
    <col min="9983" max="9983" width="1.85546875" style="1935" customWidth="1"/>
    <col min="9984" max="9984" width="12.28515625" style="1935" customWidth="1"/>
    <col min="9985" max="9985" width="3.85546875" style="1935" customWidth="1"/>
    <col min="9986" max="9986" width="13.140625" style="1935" bestFit="1" customWidth="1"/>
    <col min="9987" max="9987" width="1.85546875" style="1935" customWidth="1"/>
    <col min="9988" max="9988" width="12.28515625" style="1935" customWidth="1"/>
    <col min="9989" max="9989" width="1.85546875" style="1935" customWidth="1"/>
    <col min="9990" max="9990" width="11" style="1935" customWidth="1"/>
    <col min="9991" max="9991" width="3.85546875" style="1935" customWidth="1"/>
    <col min="9992" max="9992" width="13.28515625" style="1935" bestFit="1" customWidth="1"/>
    <col min="9993" max="9993" width="1.85546875" style="1935" customWidth="1"/>
    <col min="9994" max="9994" width="12.42578125" style="1935" bestFit="1" customWidth="1"/>
    <col min="9995" max="10231" width="16.7109375" style="1935"/>
    <col min="10232" max="10232" width="8.85546875" style="1935" customWidth="1"/>
    <col min="10233" max="10233" width="48" style="1935" customWidth="1"/>
    <col min="10234" max="10234" width="9.85546875" style="1935" customWidth="1"/>
    <col min="10235" max="10235" width="1.85546875" style="1935" customWidth="1"/>
    <col min="10236" max="10236" width="11" style="1935" customWidth="1"/>
    <col min="10237" max="10237" width="5.28515625" style="1935" customWidth="1"/>
    <col min="10238" max="10238" width="13.140625" style="1935" bestFit="1" customWidth="1"/>
    <col min="10239" max="10239" width="1.85546875" style="1935" customWidth="1"/>
    <col min="10240" max="10240" width="12.28515625" style="1935" customWidth="1"/>
    <col min="10241" max="10241" width="3.85546875" style="1935" customWidth="1"/>
    <col min="10242" max="10242" width="13.140625" style="1935" bestFit="1" customWidth="1"/>
    <col min="10243" max="10243" width="1.85546875" style="1935" customWidth="1"/>
    <col min="10244" max="10244" width="12.28515625" style="1935" customWidth="1"/>
    <col min="10245" max="10245" width="1.85546875" style="1935" customWidth="1"/>
    <col min="10246" max="10246" width="11" style="1935" customWidth="1"/>
    <col min="10247" max="10247" width="3.85546875" style="1935" customWidth="1"/>
    <col min="10248" max="10248" width="13.28515625" style="1935" bestFit="1" customWidth="1"/>
    <col min="10249" max="10249" width="1.85546875" style="1935" customWidth="1"/>
    <col min="10250" max="10250" width="12.42578125" style="1935" bestFit="1" customWidth="1"/>
    <col min="10251" max="10487" width="16.7109375" style="1935"/>
    <col min="10488" max="10488" width="8.85546875" style="1935" customWidth="1"/>
    <col min="10489" max="10489" width="48" style="1935" customWidth="1"/>
    <col min="10490" max="10490" width="9.85546875" style="1935" customWidth="1"/>
    <col min="10491" max="10491" width="1.85546875" style="1935" customWidth="1"/>
    <col min="10492" max="10492" width="11" style="1935" customWidth="1"/>
    <col min="10493" max="10493" width="5.28515625" style="1935" customWidth="1"/>
    <col min="10494" max="10494" width="13.140625" style="1935" bestFit="1" customWidth="1"/>
    <col min="10495" max="10495" width="1.85546875" style="1935" customWidth="1"/>
    <col min="10496" max="10496" width="12.28515625" style="1935" customWidth="1"/>
    <col min="10497" max="10497" width="3.85546875" style="1935" customWidth="1"/>
    <col min="10498" max="10498" width="13.140625" style="1935" bestFit="1" customWidth="1"/>
    <col min="10499" max="10499" width="1.85546875" style="1935" customWidth="1"/>
    <col min="10500" max="10500" width="12.28515625" style="1935" customWidth="1"/>
    <col min="10501" max="10501" width="1.85546875" style="1935" customWidth="1"/>
    <col min="10502" max="10502" width="11" style="1935" customWidth="1"/>
    <col min="10503" max="10503" width="3.85546875" style="1935" customWidth="1"/>
    <col min="10504" max="10504" width="13.28515625" style="1935" bestFit="1" customWidth="1"/>
    <col min="10505" max="10505" width="1.85546875" style="1935" customWidth="1"/>
    <col min="10506" max="10506" width="12.42578125" style="1935" bestFit="1" customWidth="1"/>
    <col min="10507" max="10743" width="16.7109375" style="1935"/>
    <col min="10744" max="10744" width="8.85546875" style="1935" customWidth="1"/>
    <col min="10745" max="10745" width="48" style="1935" customWidth="1"/>
    <col min="10746" max="10746" width="9.85546875" style="1935" customWidth="1"/>
    <col min="10747" max="10747" width="1.85546875" style="1935" customWidth="1"/>
    <col min="10748" max="10748" width="11" style="1935" customWidth="1"/>
    <col min="10749" max="10749" width="5.28515625" style="1935" customWidth="1"/>
    <col min="10750" max="10750" width="13.140625" style="1935" bestFit="1" customWidth="1"/>
    <col min="10751" max="10751" width="1.85546875" style="1935" customWidth="1"/>
    <col min="10752" max="10752" width="12.28515625" style="1935" customWidth="1"/>
    <col min="10753" max="10753" width="3.85546875" style="1935" customWidth="1"/>
    <col min="10754" max="10754" width="13.140625" style="1935" bestFit="1" customWidth="1"/>
    <col min="10755" max="10755" width="1.85546875" style="1935" customWidth="1"/>
    <col min="10756" max="10756" width="12.28515625" style="1935" customWidth="1"/>
    <col min="10757" max="10757" width="1.85546875" style="1935" customWidth="1"/>
    <col min="10758" max="10758" width="11" style="1935" customWidth="1"/>
    <col min="10759" max="10759" width="3.85546875" style="1935" customWidth="1"/>
    <col min="10760" max="10760" width="13.28515625" style="1935" bestFit="1" customWidth="1"/>
    <col min="10761" max="10761" width="1.85546875" style="1935" customWidth="1"/>
    <col min="10762" max="10762" width="12.42578125" style="1935" bestFit="1" customWidth="1"/>
    <col min="10763" max="10999" width="16.7109375" style="1935"/>
    <col min="11000" max="11000" width="8.85546875" style="1935" customWidth="1"/>
    <col min="11001" max="11001" width="48" style="1935" customWidth="1"/>
    <col min="11002" max="11002" width="9.85546875" style="1935" customWidth="1"/>
    <col min="11003" max="11003" width="1.85546875" style="1935" customWidth="1"/>
    <col min="11004" max="11004" width="11" style="1935" customWidth="1"/>
    <col min="11005" max="11005" width="5.28515625" style="1935" customWidth="1"/>
    <col min="11006" max="11006" width="13.140625" style="1935" bestFit="1" customWidth="1"/>
    <col min="11007" max="11007" width="1.85546875" style="1935" customWidth="1"/>
    <col min="11008" max="11008" width="12.28515625" style="1935" customWidth="1"/>
    <col min="11009" max="11009" width="3.85546875" style="1935" customWidth="1"/>
    <col min="11010" max="11010" width="13.140625" style="1935" bestFit="1" customWidth="1"/>
    <col min="11011" max="11011" width="1.85546875" style="1935" customWidth="1"/>
    <col min="11012" max="11012" width="12.28515625" style="1935" customWidth="1"/>
    <col min="11013" max="11013" width="1.85546875" style="1935" customWidth="1"/>
    <col min="11014" max="11014" width="11" style="1935" customWidth="1"/>
    <col min="11015" max="11015" width="3.85546875" style="1935" customWidth="1"/>
    <col min="11016" max="11016" width="13.28515625" style="1935" bestFit="1" customWidth="1"/>
    <col min="11017" max="11017" width="1.85546875" style="1935" customWidth="1"/>
    <col min="11018" max="11018" width="12.42578125" style="1935" bestFit="1" customWidth="1"/>
    <col min="11019" max="11255" width="16.7109375" style="1935"/>
    <col min="11256" max="11256" width="8.85546875" style="1935" customWidth="1"/>
    <col min="11257" max="11257" width="48" style="1935" customWidth="1"/>
    <col min="11258" max="11258" width="9.85546875" style="1935" customWidth="1"/>
    <col min="11259" max="11259" width="1.85546875" style="1935" customWidth="1"/>
    <col min="11260" max="11260" width="11" style="1935" customWidth="1"/>
    <col min="11261" max="11261" width="5.28515625" style="1935" customWidth="1"/>
    <col min="11262" max="11262" width="13.140625" style="1935" bestFit="1" customWidth="1"/>
    <col min="11263" max="11263" width="1.85546875" style="1935" customWidth="1"/>
    <col min="11264" max="11264" width="12.28515625" style="1935" customWidth="1"/>
    <col min="11265" max="11265" width="3.85546875" style="1935" customWidth="1"/>
    <col min="11266" max="11266" width="13.140625" style="1935" bestFit="1" customWidth="1"/>
    <col min="11267" max="11267" width="1.85546875" style="1935" customWidth="1"/>
    <col min="11268" max="11268" width="12.28515625" style="1935" customWidth="1"/>
    <col min="11269" max="11269" width="1.85546875" style="1935" customWidth="1"/>
    <col min="11270" max="11270" width="11" style="1935" customWidth="1"/>
    <col min="11271" max="11271" width="3.85546875" style="1935" customWidth="1"/>
    <col min="11272" max="11272" width="13.28515625" style="1935" bestFit="1" customWidth="1"/>
    <col min="11273" max="11273" width="1.85546875" style="1935" customWidth="1"/>
    <col min="11274" max="11274" width="12.42578125" style="1935" bestFit="1" customWidth="1"/>
    <col min="11275" max="11511" width="16.7109375" style="1935"/>
    <col min="11512" max="11512" width="8.85546875" style="1935" customWidth="1"/>
    <col min="11513" max="11513" width="48" style="1935" customWidth="1"/>
    <col min="11514" max="11514" width="9.85546875" style="1935" customWidth="1"/>
    <col min="11515" max="11515" width="1.85546875" style="1935" customWidth="1"/>
    <col min="11516" max="11516" width="11" style="1935" customWidth="1"/>
    <col min="11517" max="11517" width="5.28515625" style="1935" customWidth="1"/>
    <col min="11518" max="11518" width="13.140625" style="1935" bestFit="1" customWidth="1"/>
    <col min="11519" max="11519" width="1.85546875" style="1935" customWidth="1"/>
    <col min="11520" max="11520" width="12.28515625" style="1935" customWidth="1"/>
    <col min="11521" max="11521" width="3.85546875" style="1935" customWidth="1"/>
    <col min="11522" max="11522" width="13.140625" style="1935" bestFit="1" customWidth="1"/>
    <col min="11523" max="11523" width="1.85546875" style="1935" customWidth="1"/>
    <col min="11524" max="11524" width="12.28515625" style="1935" customWidth="1"/>
    <col min="11525" max="11525" width="1.85546875" style="1935" customWidth="1"/>
    <col min="11526" max="11526" width="11" style="1935" customWidth="1"/>
    <col min="11527" max="11527" width="3.85546875" style="1935" customWidth="1"/>
    <col min="11528" max="11528" width="13.28515625" style="1935" bestFit="1" customWidth="1"/>
    <col min="11529" max="11529" width="1.85546875" style="1935" customWidth="1"/>
    <col min="11530" max="11530" width="12.42578125" style="1935" bestFit="1" customWidth="1"/>
    <col min="11531" max="11767" width="16.7109375" style="1935"/>
    <col min="11768" max="11768" width="8.85546875" style="1935" customWidth="1"/>
    <col min="11769" max="11769" width="48" style="1935" customWidth="1"/>
    <col min="11770" max="11770" width="9.85546875" style="1935" customWidth="1"/>
    <col min="11771" max="11771" width="1.85546875" style="1935" customWidth="1"/>
    <col min="11772" max="11772" width="11" style="1935" customWidth="1"/>
    <col min="11773" max="11773" width="5.28515625" style="1935" customWidth="1"/>
    <col min="11774" max="11774" width="13.140625" style="1935" bestFit="1" customWidth="1"/>
    <col min="11775" max="11775" width="1.85546875" style="1935" customWidth="1"/>
    <col min="11776" max="11776" width="12.28515625" style="1935" customWidth="1"/>
    <col min="11777" max="11777" width="3.85546875" style="1935" customWidth="1"/>
    <col min="11778" max="11778" width="13.140625" style="1935" bestFit="1" customWidth="1"/>
    <col min="11779" max="11779" width="1.85546875" style="1935" customWidth="1"/>
    <col min="11780" max="11780" width="12.28515625" style="1935" customWidth="1"/>
    <col min="11781" max="11781" width="1.85546875" style="1935" customWidth="1"/>
    <col min="11782" max="11782" width="11" style="1935" customWidth="1"/>
    <col min="11783" max="11783" width="3.85546875" style="1935" customWidth="1"/>
    <col min="11784" max="11784" width="13.28515625" style="1935" bestFit="1" customWidth="1"/>
    <col min="11785" max="11785" width="1.85546875" style="1935" customWidth="1"/>
    <col min="11786" max="11786" width="12.42578125" style="1935" bestFit="1" customWidth="1"/>
    <col min="11787" max="12023" width="16.7109375" style="1935"/>
    <col min="12024" max="12024" width="8.85546875" style="1935" customWidth="1"/>
    <col min="12025" max="12025" width="48" style="1935" customWidth="1"/>
    <col min="12026" max="12026" width="9.85546875" style="1935" customWidth="1"/>
    <col min="12027" max="12027" width="1.85546875" style="1935" customWidth="1"/>
    <col min="12028" max="12028" width="11" style="1935" customWidth="1"/>
    <col min="12029" max="12029" width="5.28515625" style="1935" customWidth="1"/>
    <col min="12030" max="12030" width="13.140625" style="1935" bestFit="1" customWidth="1"/>
    <col min="12031" max="12031" width="1.85546875" style="1935" customWidth="1"/>
    <col min="12032" max="12032" width="12.28515625" style="1935" customWidth="1"/>
    <col min="12033" max="12033" width="3.85546875" style="1935" customWidth="1"/>
    <col min="12034" max="12034" width="13.140625" style="1935" bestFit="1" customWidth="1"/>
    <col min="12035" max="12035" width="1.85546875" style="1935" customWidth="1"/>
    <col min="12036" max="12036" width="12.28515625" style="1935" customWidth="1"/>
    <col min="12037" max="12037" width="1.85546875" style="1935" customWidth="1"/>
    <col min="12038" max="12038" width="11" style="1935" customWidth="1"/>
    <col min="12039" max="12039" width="3.85546875" style="1935" customWidth="1"/>
    <col min="12040" max="12040" width="13.28515625" style="1935" bestFit="1" customWidth="1"/>
    <col min="12041" max="12041" width="1.85546875" style="1935" customWidth="1"/>
    <col min="12042" max="12042" width="12.42578125" style="1935" bestFit="1" customWidth="1"/>
    <col min="12043" max="12279" width="16.7109375" style="1935"/>
    <col min="12280" max="12280" width="8.85546875" style="1935" customWidth="1"/>
    <col min="12281" max="12281" width="48" style="1935" customWidth="1"/>
    <col min="12282" max="12282" width="9.85546875" style="1935" customWidth="1"/>
    <col min="12283" max="12283" width="1.85546875" style="1935" customWidth="1"/>
    <col min="12284" max="12284" width="11" style="1935" customWidth="1"/>
    <col min="12285" max="12285" width="5.28515625" style="1935" customWidth="1"/>
    <col min="12286" max="12286" width="13.140625" style="1935" bestFit="1" customWidth="1"/>
    <col min="12287" max="12287" width="1.85546875" style="1935" customWidth="1"/>
    <col min="12288" max="12288" width="12.28515625" style="1935" customWidth="1"/>
    <col min="12289" max="12289" width="3.85546875" style="1935" customWidth="1"/>
    <col min="12290" max="12290" width="13.140625" style="1935" bestFit="1" customWidth="1"/>
    <col min="12291" max="12291" width="1.85546875" style="1935" customWidth="1"/>
    <col min="12292" max="12292" width="12.28515625" style="1935" customWidth="1"/>
    <col min="12293" max="12293" width="1.85546875" style="1935" customWidth="1"/>
    <col min="12294" max="12294" width="11" style="1935" customWidth="1"/>
    <col min="12295" max="12295" width="3.85546875" style="1935" customWidth="1"/>
    <col min="12296" max="12296" width="13.28515625" style="1935" bestFit="1" customWidth="1"/>
    <col min="12297" max="12297" width="1.85546875" style="1935" customWidth="1"/>
    <col min="12298" max="12298" width="12.42578125" style="1935" bestFit="1" customWidth="1"/>
    <col min="12299" max="12535" width="16.7109375" style="1935"/>
    <col min="12536" max="12536" width="8.85546875" style="1935" customWidth="1"/>
    <col min="12537" max="12537" width="48" style="1935" customWidth="1"/>
    <col min="12538" max="12538" width="9.85546875" style="1935" customWidth="1"/>
    <col min="12539" max="12539" width="1.85546875" style="1935" customWidth="1"/>
    <col min="12540" max="12540" width="11" style="1935" customWidth="1"/>
    <col min="12541" max="12541" width="5.28515625" style="1935" customWidth="1"/>
    <col min="12542" max="12542" width="13.140625" style="1935" bestFit="1" customWidth="1"/>
    <col min="12543" max="12543" width="1.85546875" style="1935" customWidth="1"/>
    <col min="12544" max="12544" width="12.28515625" style="1935" customWidth="1"/>
    <col min="12545" max="12545" width="3.85546875" style="1935" customWidth="1"/>
    <col min="12546" max="12546" width="13.140625" style="1935" bestFit="1" customWidth="1"/>
    <col min="12547" max="12547" width="1.85546875" style="1935" customWidth="1"/>
    <col min="12548" max="12548" width="12.28515625" style="1935" customWidth="1"/>
    <col min="12549" max="12549" width="1.85546875" style="1935" customWidth="1"/>
    <col min="12550" max="12550" width="11" style="1935" customWidth="1"/>
    <col min="12551" max="12551" width="3.85546875" style="1935" customWidth="1"/>
    <col min="12552" max="12552" width="13.28515625" style="1935" bestFit="1" customWidth="1"/>
    <col min="12553" max="12553" width="1.85546875" style="1935" customWidth="1"/>
    <col min="12554" max="12554" width="12.42578125" style="1935" bestFit="1" customWidth="1"/>
    <col min="12555" max="12791" width="16.7109375" style="1935"/>
    <col min="12792" max="12792" width="8.85546875" style="1935" customWidth="1"/>
    <col min="12793" max="12793" width="48" style="1935" customWidth="1"/>
    <col min="12794" max="12794" width="9.85546875" style="1935" customWidth="1"/>
    <col min="12795" max="12795" width="1.85546875" style="1935" customWidth="1"/>
    <col min="12796" max="12796" width="11" style="1935" customWidth="1"/>
    <col min="12797" max="12797" width="5.28515625" style="1935" customWidth="1"/>
    <col min="12798" max="12798" width="13.140625" style="1935" bestFit="1" customWidth="1"/>
    <col min="12799" max="12799" width="1.85546875" style="1935" customWidth="1"/>
    <col min="12800" max="12800" width="12.28515625" style="1935" customWidth="1"/>
    <col min="12801" max="12801" width="3.85546875" style="1935" customWidth="1"/>
    <col min="12802" max="12802" width="13.140625" style="1935" bestFit="1" customWidth="1"/>
    <col min="12803" max="12803" width="1.85546875" style="1935" customWidth="1"/>
    <col min="12804" max="12804" width="12.28515625" style="1935" customWidth="1"/>
    <col min="12805" max="12805" width="1.85546875" style="1935" customWidth="1"/>
    <col min="12806" max="12806" width="11" style="1935" customWidth="1"/>
    <col min="12807" max="12807" width="3.85546875" style="1935" customWidth="1"/>
    <col min="12808" max="12808" width="13.28515625" style="1935" bestFit="1" customWidth="1"/>
    <col min="12809" max="12809" width="1.85546875" style="1935" customWidth="1"/>
    <col min="12810" max="12810" width="12.42578125" style="1935" bestFit="1" customWidth="1"/>
    <col min="12811" max="13047" width="16.7109375" style="1935"/>
    <col min="13048" max="13048" width="8.85546875" style="1935" customWidth="1"/>
    <col min="13049" max="13049" width="48" style="1935" customWidth="1"/>
    <col min="13050" max="13050" width="9.85546875" style="1935" customWidth="1"/>
    <col min="13051" max="13051" width="1.85546875" style="1935" customWidth="1"/>
    <col min="13052" max="13052" width="11" style="1935" customWidth="1"/>
    <col min="13053" max="13053" width="5.28515625" style="1935" customWidth="1"/>
    <col min="13054" max="13054" width="13.140625" style="1935" bestFit="1" customWidth="1"/>
    <col min="13055" max="13055" width="1.85546875" style="1935" customWidth="1"/>
    <col min="13056" max="13056" width="12.28515625" style="1935" customWidth="1"/>
    <col min="13057" max="13057" width="3.85546875" style="1935" customWidth="1"/>
    <col min="13058" max="13058" width="13.140625" style="1935" bestFit="1" customWidth="1"/>
    <col min="13059" max="13059" width="1.85546875" style="1935" customWidth="1"/>
    <col min="13060" max="13060" width="12.28515625" style="1935" customWidth="1"/>
    <col min="13061" max="13061" width="1.85546875" style="1935" customWidth="1"/>
    <col min="13062" max="13062" width="11" style="1935" customWidth="1"/>
    <col min="13063" max="13063" width="3.85546875" style="1935" customWidth="1"/>
    <col min="13064" max="13064" width="13.28515625" style="1935" bestFit="1" customWidth="1"/>
    <col min="13065" max="13065" width="1.85546875" style="1935" customWidth="1"/>
    <col min="13066" max="13066" width="12.42578125" style="1935" bestFit="1" customWidth="1"/>
    <col min="13067" max="13303" width="16.7109375" style="1935"/>
    <col min="13304" max="13304" width="8.85546875" style="1935" customWidth="1"/>
    <col min="13305" max="13305" width="48" style="1935" customWidth="1"/>
    <col min="13306" max="13306" width="9.85546875" style="1935" customWidth="1"/>
    <col min="13307" max="13307" width="1.85546875" style="1935" customWidth="1"/>
    <col min="13308" max="13308" width="11" style="1935" customWidth="1"/>
    <col min="13309" max="13309" width="5.28515625" style="1935" customWidth="1"/>
    <col min="13310" max="13310" width="13.140625" style="1935" bestFit="1" customWidth="1"/>
    <col min="13311" max="13311" width="1.85546875" style="1935" customWidth="1"/>
    <col min="13312" max="13312" width="12.28515625" style="1935" customWidth="1"/>
    <col min="13313" max="13313" width="3.85546875" style="1935" customWidth="1"/>
    <col min="13314" max="13314" width="13.140625" style="1935" bestFit="1" customWidth="1"/>
    <col min="13315" max="13315" width="1.85546875" style="1935" customWidth="1"/>
    <col min="13316" max="13316" width="12.28515625" style="1935" customWidth="1"/>
    <col min="13317" max="13317" width="1.85546875" style="1935" customWidth="1"/>
    <col min="13318" max="13318" width="11" style="1935" customWidth="1"/>
    <col min="13319" max="13319" width="3.85546875" style="1935" customWidth="1"/>
    <col min="13320" max="13320" width="13.28515625" style="1935" bestFit="1" customWidth="1"/>
    <col min="13321" max="13321" width="1.85546875" style="1935" customWidth="1"/>
    <col min="13322" max="13322" width="12.42578125" style="1935" bestFit="1" customWidth="1"/>
    <col min="13323" max="13559" width="16.7109375" style="1935"/>
    <col min="13560" max="13560" width="8.85546875" style="1935" customWidth="1"/>
    <col min="13561" max="13561" width="48" style="1935" customWidth="1"/>
    <col min="13562" max="13562" width="9.85546875" style="1935" customWidth="1"/>
    <col min="13563" max="13563" width="1.85546875" style="1935" customWidth="1"/>
    <col min="13564" max="13564" width="11" style="1935" customWidth="1"/>
    <col min="13565" max="13565" width="5.28515625" style="1935" customWidth="1"/>
    <col min="13566" max="13566" width="13.140625" style="1935" bestFit="1" customWidth="1"/>
    <col min="13567" max="13567" width="1.85546875" style="1935" customWidth="1"/>
    <col min="13568" max="13568" width="12.28515625" style="1935" customWidth="1"/>
    <col min="13569" max="13569" width="3.85546875" style="1935" customWidth="1"/>
    <col min="13570" max="13570" width="13.140625" style="1935" bestFit="1" customWidth="1"/>
    <col min="13571" max="13571" width="1.85546875" style="1935" customWidth="1"/>
    <col min="13572" max="13572" width="12.28515625" style="1935" customWidth="1"/>
    <col min="13573" max="13573" width="1.85546875" style="1935" customWidth="1"/>
    <col min="13574" max="13574" width="11" style="1935" customWidth="1"/>
    <col min="13575" max="13575" width="3.85546875" style="1935" customWidth="1"/>
    <col min="13576" max="13576" width="13.28515625" style="1935" bestFit="1" customWidth="1"/>
    <col min="13577" max="13577" width="1.85546875" style="1935" customWidth="1"/>
    <col min="13578" max="13578" width="12.42578125" style="1935" bestFit="1" customWidth="1"/>
    <col min="13579" max="13815" width="16.7109375" style="1935"/>
    <col min="13816" max="13816" width="8.85546875" style="1935" customWidth="1"/>
    <col min="13817" max="13817" width="48" style="1935" customWidth="1"/>
    <col min="13818" max="13818" width="9.85546875" style="1935" customWidth="1"/>
    <col min="13819" max="13819" width="1.85546875" style="1935" customWidth="1"/>
    <col min="13820" max="13820" width="11" style="1935" customWidth="1"/>
    <col min="13821" max="13821" width="5.28515625" style="1935" customWidth="1"/>
    <col min="13822" max="13822" width="13.140625" style="1935" bestFit="1" customWidth="1"/>
    <col min="13823" max="13823" width="1.85546875" style="1935" customWidth="1"/>
    <col min="13824" max="13824" width="12.28515625" style="1935" customWidth="1"/>
    <col min="13825" max="13825" width="3.85546875" style="1935" customWidth="1"/>
    <col min="13826" max="13826" width="13.140625" style="1935" bestFit="1" customWidth="1"/>
    <col min="13827" max="13827" width="1.85546875" style="1935" customWidth="1"/>
    <col min="13828" max="13828" width="12.28515625" style="1935" customWidth="1"/>
    <col min="13829" max="13829" width="1.85546875" style="1935" customWidth="1"/>
    <col min="13830" max="13830" width="11" style="1935" customWidth="1"/>
    <col min="13831" max="13831" width="3.85546875" style="1935" customWidth="1"/>
    <col min="13832" max="13832" width="13.28515625" style="1935" bestFit="1" customWidth="1"/>
    <col min="13833" max="13833" width="1.85546875" style="1935" customWidth="1"/>
    <col min="13834" max="13834" width="12.42578125" style="1935" bestFit="1" customWidth="1"/>
    <col min="13835" max="14071" width="16.7109375" style="1935"/>
    <col min="14072" max="14072" width="8.85546875" style="1935" customWidth="1"/>
    <col min="14073" max="14073" width="48" style="1935" customWidth="1"/>
    <col min="14074" max="14074" width="9.85546875" style="1935" customWidth="1"/>
    <col min="14075" max="14075" width="1.85546875" style="1935" customWidth="1"/>
    <col min="14076" max="14076" width="11" style="1935" customWidth="1"/>
    <col min="14077" max="14077" width="5.28515625" style="1935" customWidth="1"/>
    <col min="14078" max="14078" width="13.140625" style="1935" bestFit="1" customWidth="1"/>
    <col min="14079" max="14079" width="1.85546875" style="1935" customWidth="1"/>
    <col min="14080" max="14080" width="12.28515625" style="1935" customWidth="1"/>
    <col min="14081" max="14081" width="3.85546875" style="1935" customWidth="1"/>
    <col min="14082" max="14082" width="13.140625" style="1935" bestFit="1" customWidth="1"/>
    <col min="14083" max="14083" width="1.85546875" style="1935" customWidth="1"/>
    <col min="14084" max="14084" width="12.28515625" style="1935" customWidth="1"/>
    <col min="14085" max="14085" width="1.85546875" style="1935" customWidth="1"/>
    <col min="14086" max="14086" width="11" style="1935" customWidth="1"/>
    <col min="14087" max="14087" width="3.85546875" style="1935" customWidth="1"/>
    <col min="14088" max="14088" width="13.28515625" style="1935" bestFit="1" customWidth="1"/>
    <col min="14089" max="14089" width="1.85546875" style="1935" customWidth="1"/>
    <col min="14090" max="14090" width="12.42578125" style="1935" bestFit="1" customWidth="1"/>
    <col min="14091" max="14327" width="16.7109375" style="1935"/>
    <col min="14328" max="14328" width="8.85546875" style="1935" customWidth="1"/>
    <col min="14329" max="14329" width="48" style="1935" customWidth="1"/>
    <col min="14330" max="14330" width="9.85546875" style="1935" customWidth="1"/>
    <col min="14331" max="14331" width="1.85546875" style="1935" customWidth="1"/>
    <col min="14332" max="14332" width="11" style="1935" customWidth="1"/>
    <col min="14333" max="14333" width="5.28515625" style="1935" customWidth="1"/>
    <col min="14334" max="14334" width="13.140625" style="1935" bestFit="1" customWidth="1"/>
    <col min="14335" max="14335" width="1.85546875" style="1935" customWidth="1"/>
    <col min="14336" max="14336" width="12.28515625" style="1935" customWidth="1"/>
    <col min="14337" max="14337" width="3.85546875" style="1935" customWidth="1"/>
    <col min="14338" max="14338" width="13.140625" style="1935" bestFit="1" customWidth="1"/>
    <col min="14339" max="14339" width="1.85546875" style="1935" customWidth="1"/>
    <col min="14340" max="14340" width="12.28515625" style="1935" customWidth="1"/>
    <col min="14341" max="14341" width="1.85546875" style="1935" customWidth="1"/>
    <col min="14342" max="14342" width="11" style="1935" customWidth="1"/>
    <col min="14343" max="14343" width="3.85546875" style="1935" customWidth="1"/>
    <col min="14344" max="14344" width="13.28515625" style="1935" bestFit="1" customWidth="1"/>
    <col min="14345" max="14345" width="1.85546875" style="1935" customWidth="1"/>
    <col min="14346" max="14346" width="12.42578125" style="1935" bestFit="1" customWidth="1"/>
    <col min="14347" max="14583" width="16.7109375" style="1935"/>
    <col min="14584" max="14584" width="8.85546875" style="1935" customWidth="1"/>
    <col min="14585" max="14585" width="48" style="1935" customWidth="1"/>
    <col min="14586" max="14586" width="9.85546875" style="1935" customWidth="1"/>
    <col min="14587" max="14587" width="1.85546875" style="1935" customWidth="1"/>
    <col min="14588" max="14588" width="11" style="1935" customWidth="1"/>
    <col min="14589" max="14589" width="5.28515625" style="1935" customWidth="1"/>
    <col min="14590" max="14590" width="13.140625" style="1935" bestFit="1" customWidth="1"/>
    <col min="14591" max="14591" width="1.85546875" style="1935" customWidth="1"/>
    <col min="14592" max="14592" width="12.28515625" style="1935" customWidth="1"/>
    <col min="14593" max="14593" width="3.85546875" style="1935" customWidth="1"/>
    <col min="14594" max="14594" width="13.140625" style="1935" bestFit="1" customWidth="1"/>
    <col min="14595" max="14595" width="1.85546875" style="1935" customWidth="1"/>
    <col min="14596" max="14596" width="12.28515625" style="1935" customWidth="1"/>
    <col min="14597" max="14597" width="1.85546875" style="1935" customWidth="1"/>
    <col min="14598" max="14598" width="11" style="1935" customWidth="1"/>
    <col min="14599" max="14599" width="3.85546875" style="1935" customWidth="1"/>
    <col min="14600" max="14600" width="13.28515625" style="1935" bestFit="1" customWidth="1"/>
    <col min="14601" max="14601" width="1.85546875" style="1935" customWidth="1"/>
    <col min="14602" max="14602" width="12.42578125" style="1935" bestFit="1" customWidth="1"/>
    <col min="14603" max="14839" width="16.7109375" style="1935"/>
    <col min="14840" max="14840" width="8.85546875" style="1935" customWidth="1"/>
    <col min="14841" max="14841" width="48" style="1935" customWidth="1"/>
    <col min="14842" max="14842" width="9.85546875" style="1935" customWidth="1"/>
    <col min="14843" max="14843" width="1.85546875" style="1935" customWidth="1"/>
    <col min="14844" max="14844" width="11" style="1935" customWidth="1"/>
    <col min="14845" max="14845" width="5.28515625" style="1935" customWidth="1"/>
    <col min="14846" max="14846" width="13.140625" style="1935" bestFit="1" customWidth="1"/>
    <col min="14847" max="14847" width="1.85546875" style="1935" customWidth="1"/>
    <col min="14848" max="14848" width="12.28515625" style="1935" customWidth="1"/>
    <col min="14849" max="14849" width="3.85546875" style="1935" customWidth="1"/>
    <col min="14850" max="14850" width="13.140625" style="1935" bestFit="1" customWidth="1"/>
    <col min="14851" max="14851" width="1.85546875" style="1935" customWidth="1"/>
    <col min="14852" max="14852" width="12.28515625" style="1935" customWidth="1"/>
    <col min="14853" max="14853" width="1.85546875" style="1935" customWidth="1"/>
    <col min="14854" max="14854" width="11" style="1935" customWidth="1"/>
    <col min="14855" max="14855" width="3.85546875" style="1935" customWidth="1"/>
    <col min="14856" max="14856" width="13.28515625" style="1935" bestFit="1" customWidth="1"/>
    <col min="14857" max="14857" width="1.85546875" style="1935" customWidth="1"/>
    <col min="14858" max="14858" width="12.42578125" style="1935" bestFit="1" customWidth="1"/>
    <col min="14859" max="15095" width="16.7109375" style="1935"/>
    <col min="15096" max="15096" width="8.85546875" style="1935" customWidth="1"/>
    <col min="15097" max="15097" width="48" style="1935" customWidth="1"/>
    <col min="15098" max="15098" width="9.85546875" style="1935" customWidth="1"/>
    <col min="15099" max="15099" width="1.85546875" style="1935" customWidth="1"/>
    <col min="15100" max="15100" width="11" style="1935" customWidth="1"/>
    <col min="15101" max="15101" width="5.28515625" style="1935" customWidth="1"/>
    <col min="15102" max="15102" width="13.140625" style="1935" bestFit="1" customWidth="1"/>
    <col min="15103" max="15103" width="1.85546875" style="1935" customWidth="1"/>
    <col min="15104" max="15104" width="12.28515625" style="1935" customWidth="1"/>
    <col min="15105" max="15105" width="3.85546875" style="1935" customWidth="1"/>
    <col min="15106" max="15106" width="13.140625" style="1935" bestFit="1" customWidth="1"/>
    <col min="15107" max="15107" width="1.85546875" style="1935" customWidth="1"/>
    <col min="15108" max="15108" width="12.28515625" style="1935" customWidth="1"/>
    <col min="15109" max="15109" width="1.85546875" style="1935" customWidth="1"/>
    <col min="15110" max="15110" width="11" style="1935" customWidth="1"/>
    <col min="15111" max="15111" width="3.85546875" style="1935" customWidth="1"/>
    <col min="15112" max="15112" width="13.28515625" style="1935" bestFit="1" customWidth="1"/>
    <col min="15113" max="15113" width="1.85546875" style="1935" customWidth="1"/>
    <col min="15114" max="15114" width="12.42578125" style="1935" bestFit="1" customWidth="1"/>
    <col min="15115" max="15351" width="16.7109375" style="1935"/>
    <col min="15352" max="15352" width="8.85546875" style="1935" customWidth="1"/>
    <col min="15353" max="15353" width="48" style="1935" customWidth="1"/>
    <col min="15354" max="15354" width="9.85546875" style="1935" customWidth="1"/>
    <col min="15355" max="15355" width="1.85546875" style="1935" customWidth="1"/>
    <col min="15356" max="15356" width="11" style="1935" customWidth="1"/>
    <col min="15357" max="15357" width="5.28515625" style="1935" customWidth="1"/>
    <col min="15358" max="15358" width="13.140625" style="1935" bestFit="1" customWidth="1"/>
    <col min="15359" max="15359" width="1.85546875" style="1935" customWidth="1"/>
    <col min="15360" max="15360" width="12.28515625" style="1935" customWidth="1"/>
    <col min="15361" max="15361" width="3.85546875" style="1935" customWidth="1"/>
    <col min="15362" max="15362" width="13.140625" style="1935" bestFit="1" customWidth="1"/>
    <col min="15363" max="15363" width="1.85546875" style="1935" customWidth="1"/>
    <col min="15364" max="15364" width="12.28515625" style="1935" customWidth="1"/>
    <col min="15365" max="15365" width="1.85546875" style="1935" customWidth="1"/>
    <col min="15366" max="15366" width="11" style="1935" customWidth="1"/>
    <col min="15367" max="15367" width="3.85546875" style="1935" customWidth="1"/>
    <col min="15368" max="15368" width="13.28515625" style="1935" bestFit="1" customWidth="1"/>
    <col min="15369" max="15369" width="1.85546875" style="1935" customWidth="1"/>
    <col min="15370" max="15370" width="12.42578125" style="1935" bestFit="1" customWidth="1"/>
    <col min="15371" max="15607" width="16.7109375" style="1935"/>
    <col min="15608" max="15608" width="8.85546875" style="1935" customWidth="1"/>
    <col min="15609" max="15609" width="48" style="1935" customWidth="1"/>
    <col min="15610" max="15610" width="9.85546875" style="1935" customWidth="1"/>
    <col min="15611" max="15611" width="1.85546875" style="1935" customWidth="1"/>
    <col min="15612" max="15612" width="11" style="1935" customWidth="1"/>
    <col min="15613" max="15613" width="5.28515625" style="1935" customWidth="1"/>
    <col min="15614" max="15614" width="13.140625" style="1935" bestFit="1" customWidth="1"/>
    <col min="15615" max="15615" width="1.85546875" style="1935" customWidth="1"/>
    <col min="15616" max="15616" width="12.28515625" style="1935" customWidth="1"/>
    <col min="15617" max="15617" width="3.85546875" style="1935" customWidth="1"/>
    <col min="15618" max="15618" width="13.140625" style="1935" bestFit="1" customWidth="1"/>
    <col min="15619" max="15619" width="1.85546875" style="1935" customWidth="1"/>
    <col min="15620" max="15620" width="12.28515625" style="1935" customWidth="1"/>
    <col min="15621" max="15621" width="1.85546875" style="1935" customWidth="1"/>
    <col min="15622" max="15622" width="11" style="1935" customWidth="1"/>
    <col min="15623" max="15623" width="3.85546875" style="1935" customWidth="1"/>
    <col min="15624" max="15624" width="13.28515625" style="1935" bestFit="1" customWidth="1"/>
    <col min="15625" max="15625" width="1.85546875" style="1935" customWidth="1"/>
    <col min="15626" max="15626" width="12.42578125" style="1935" bestFit="1" customWidth="1"/>
    <col min="15627" max="15863" width="16.7109375" style="1935"/>
    <col min="15864" max="15864" width="8.85546875" style="1935" customWidth="1"/>
    <col min="15865" max="15865" width="48" style="1935" customWidth="1"/>
    <col min="15866" max="15866" width="9.85546875" style="1935" customWidth="1"/>
    <col min="15867" max="15867" width="1.85546875" style="1935" customWidth="1"/>
    <col min="15868" max="15868" width="11" style="1935" customWidth="1"/>
    <col min="15869" max="15869" width="5.28515625" style="1935" customWidth="1"/>
    <col min="15870" max="15870" width="13.140625" style="1935" bestFit="1" customWidth="1"/>
    <col min="15871" max="15871" width="1.85546875" style="1935" customWidth="1"/>
    <col min="15872" max="15872" width="12.28515625" style="1935" customWidth="1"/>
    <col min="15873" max="15873" width="3.85546875" style="1935" customWidth="1"/>
    <col min="15874" max="15874" width="13.140625" style="1935" bestFit="1" customWidth="1"/>
    <col min="15875" max="15875" width="1.85546875" style="1935" customWidth="1"/>
    <col min="15876" max="15876" width="12.28515625" style="1935" customWidth="1"/>
    <col min="15877" max="15877" width="1.85546875" style="1935" customWidth="1"/>
    <col min="15878" max="15878" width="11" style="1935" customWidth="1"/>
    <col min="15879" max="15879" width="3.85546875" style="1935" customWidth="1"/>
    <col min="15880" max="15880" width="13.28515625" style="1935" bestFit="1" customWidth="1"/>
    <col min="15881" max="15881" width="1.85546875" style="1935" customWidth="1"/>
    <col min="15882" max="15882" width="12.42578125" style="1935" bestFit="1" customWidth="1"/>
    <col min="15883" max="16119" width="16.7109375" style="1935"/>
    <col min="16120" max="16120" width="8.85546875" style="1935" customWidth="1"/>
    <col min="16121" max="16121" width="48" style="1935" customWidth="1"/>
    <col min="16122" max="16122" width="9.85546875" style="1935" customWidth="1"/>
    <col min="16123" max="16123" width="1.85546875" style="1935" customWidth="1"/>
    <col min="16124" max="16124" width="11" style="1935" customWidth="1"/>
    <col min="16125" max="16125" width="5.28515625" style="1935" customWidth="1"/>
    <col min="16126" max="16126" width="13.140625" style="1935" bestFit="1" customWidth="1"/>
    <col min="16127" max="16127" width="1.85546875" style="1935" customWidth="1"/>
    <col min="16128" max="16128" width="12.28515625" style="1935" customWidth="1"/>
    <col min="16129" max="16129" width="3.85546875" style="1935" customWidth="1"/>
    <col min="16130" max="16130" width="13.140625" style="1935" bestFit="1" customWidth="1"/>
    <col min="16131" max="16131" width="1.85546875" style="1935" customWidth="1"/>
    <col min="16132" max="16132" width="12.28515625" style="1935" customWidth="1"/>
    <col min="16133" max="16133" width="1.85546875" style="1935" customWidth="1"/>
    <col min="16134" max="16134" width="11" style="1935" customWidth="1"/>
    <col min="16135" max="16135" width="3.85546875" style="1935" customWidth="1"/>
    <col min="16136" max="16136" width="13.28515625" style="1935" bestFit="1" customWidth="1"/>
    <col min="16137" max="16137" width="1.85546875" style="1935" customWidth="1"/>
    <col min="16138" max="16138" width="12.42578125" style="1935" bestFit="1" customWidth="1"/>
    <col min="16139" max="16384" width="16.7109375" style="1935"/>
  </cols>
  <sheetData>
    <row r="1" spans="1:19" ht="16.5" customHeight="1" x14ac:dyDescent="0.25">
      <c r="A1" s="2629" t="s">
        <v>2086</v>
      </c>
      <c r="B1" s="2629"/>
      <c r="C1" s="2629"/>
      <c r="D1" s="2629"/>
      <c r="E1" s="2629"/>
      <c r="F1" s="2629"/>
      <c r="G1" s="2629"/>
      <c r="H1" s="2629"/>
      <c r="I1" s="2629"/>
      <c r="J1" s="2629"/>
      <c r="K1" s="2629"/>
      <c r="L1" s="2629"/>
      <c r="M1" s="2629"/>
      <c r="N1" s="2629"/>
      <c r="O1" s="2629"/>
      <c r="P1" s="2629"/>
      <c r="Q1" s="2629"/>
      <c r="R1" s="2629"/>
      <c r="S1" s="2629"/>
    </row>
    <row r="2" spans="1:19" ht="16.5" customHeight="1" x14ac:dyDescent="0.25">
      <c r="A2" s="2629" t="s">
        <v>2070</v>
      </c>
      <c r="B2" s="2629"/>
      <c r="C2" s="2629"/>
      <c r="D2" s="2629"/>
      <c r="E2" s="2629"/>
      <c r="F2" s="2629"/>
      <c r="G2" s="2629"/>
      <c r="H2" s="2629"/>
      <c r="I2" s="2629"/>
      <c r="J2" s="2629"/>
      <c r="K2" s="2629"/>
      <c r="L2" s="2629"/>
      <c r="M2" s="2629"/>
      <c r="N2" s="2629"/>
      <c r="O2" s="2629"/>
      <c r="P2" s="2629"/>
      <c r="Q2" s="2629"/>
      <c r="R2" s="2629"/>
      <c r="S2" s="2629"/>
    </row>
    <row r="3" spans="1:19" ht="15.75" x14ac:dyDescent="0.25">
      <c r="A3" s="2629" t="s">
        <v>1219</v>
      </c>
      <c r="B3" s="2629"/>
      <c r="C3" s="2629"/>
      <c r="D3" s="2629"/>
      <c r="E3" s="2629"/>
      <c r="F3" s="2629"/>
      <c r="G3" s="2629"/>
      <c r="H3" s="2629"/>
      <c r="I3" s="2629"/>
      <c r="J3" s="2629"/>
      <c r="K3" s="2629"/>
      <c r="L3" s="2629"/>
      <c r="M3" s="2629"/>
      <c r="N3" s="2629"/>
      <c r="O3" s="2629"/>
      <c r="P3" s="2629"/>
      <c r="Q3" s="2629"/>
      <c r="R3" s="2629"/>
      <c r="S3" s="2629"/>
    </row>
    <row r="4" spans="1:19" ht="15.75" x14ac:dyDescent="0.2">
      <c r="A4" s="2630" t="s">
        <v>2087</v>
      </c>
      <c r="B4" s="2630"/>
      <c r="C4" s="2630"/>
      <c r="D4" s="2630"/>
      <c r="E4" s="2630"/>
      <c r="F4" s="2630"/>
      <c r="G4" s="2630"/>
      <c r="H4" s="2630"/>
      <c r="I4" s="2630"/>
      <c r="J4" s="2630"/>
      <c r="K4" s="2630"/>
      <c r="L4" s="2630"/>
      <c r="M4" s="2630"/>
      <c r="N4" s="2630"/>
      <c r="O4" s="2630"/>
      <c r="P4" s="2630"/>
      <c r="Q4" s="2630"/>
      <c r="R4" s="2630"/>
      <c r="S4" s="2630"/>
    </row>
    <row r="5" spans="1:19" x14ac:dyDescent="0.2">
      <c r="A5" s="1936"/>
      <c r="B5" s="1936"/>
      <c r="C5" s="1936"/>
      <c r="D5" s="1936"/>
      <c r="E5" s="1936"/>
      <c r="F5" s="1936"/>
      <c r="G5" s="1937"/>
      <c r="H5" s="1938"/>
      <c r="I5" s="1937"/>
      <c r="J5" s="1939"/>
      <c r="K5" s="1937"/>
      <c r="L5" s="1938"/>
      <c r="M5" s="1938"/>
      <c r="N5" s="1938"/>
      <c r="O5" s="1938"/>
      <c r="P5" s="1939"/>
      <c r="Q5" s="1938"/>
      <c r="R5" s="1938"/>
      <c r="S5" s="1938"/>
    </row>
    <row r="6" spans="1:19" s="1945" customFormat="1" ht="3" customHeight="1" x14ac:dyDescent="0.25">
      <c r="A6" s="1940"/>
      <c r="B6" s="1940"/>
      <c r="C6" s="1940"/>
      <c r="D6" s="1940"/>
      <c r="E6" s="1940"/>
      <c r="F6" s="1940"/>
      <c r="G6" s="1941"/>
      <c r="H6" s="1942"/>
      <c r="I6" s="1941"/>
      <c r="J6" s="1943"/>
      <c r="K6" s="1941"/>
      <c r="L6" s="1942"/>
      <c r="M6" s="1942"/>
      <c r="N6" s="1942"/>
      <c r="O6" s="1942"/>
      <c r="P6" s="1943"/>
      <c r="Q6" s="1942"/>
      <c r="R6" s="1942"/>
      <c r="S6" s="1942"/>
    </row>
    <row r="7" spans="1:19" s="1945" customFormat="1" ht="15" x14ac:dyDescent="0.25">
      <c r="A7" s="1943"/>
      <c r="B7" s="1941"/>
      <c r="C7" s="1942"/>
      <c r="D7" s="1942"/>
      <c r="E7" s="1943" t="s">
        <v>2088</v>
      </c>
      <c r="F7" s="1943"/>
      <c r="G7" s="1946" t="s">
        <v>2089</v>
      </c>
      <c r="H7" s="1946"/>
      <c r="I7" s="1946"/>
      <c r="J7" s="1943"/>
      <c r="K7" s="1946" t="s">
        <v>2090</v>
      </c>
      <c r="L7" s="1946"/>
      <c r="M7" s="1946"/>
      <c r="N7" s="1942"/>
      <c r="O7" s="1942"/>
      <c r="P7" s="1943"/>
      <c r="Q7" s="1942"/>
      <c r="R7" s="1942"/>
      <c r="S7" s="1942"/>
    </row>
    <row r="8" spans="1:19" s="1951" customFormat="1" ht="15" x14ac:dyDescent="0.2">
      <c r="A8" s="1947"/>
      <c r="B8" s="1948"/>
      <c r="C8" s="1947" t="s">
        <v>1264</v>
      </c>
      <c r="D8" s="1949"/>
      <c r="E8" s="1947" t="s">
        <v>2091</v>
      </c>
      <c r="F8" s="1947"/>
      <c r="G8" s="1947" t="s">
        <v>2092</v>
      </c>
      <c r="H8" s="1949"/>
      <c r="I8" s="1950" t="s">
        <v>2093</v>
      </c>
      <c r="J8" s="1947"/>
      <c r="K8" s="1947" t="s">
        <v>2094</v>
      </c>
      <c r="L8" s="1949"/>
      <c r="M8" s="1950" t="str">
        <f>+I8</f>
        <v>7/01/2018</v>
      </c>
      <c r="N8" s="1949"/>
      <c r="O8" s="1947" t="s">
        <v>1261</v>
      </c>
      <c r="P8" s="1947"/>
      <c r="Q8" s="1947" t="s">
        <v>2095</v>
      </c>
      <c r="R8" s="1949"/>
      <c r="S8" s="1948" t="s">
        <v>1169</v>
      </c>
    </row>
    <row r="9" spans="1:19" s="1951" customFormat="1" ht="15" x14ac:dyDescent="0.2">
      <c r="A9" s="1948" t="s">
        <v>2096</v>
      </c>
      <c r="B9" s="1948"/>
      <c r="C9" s="1947" t="s">
        <v>2097</v>
      </c>
      <c r="D9" s="1949"/>
      <c r="E9" s="1947" t="s">
        <v>2097</v>
      </c>
      <c r="F9" s="1947"/>
      <c r="G9" s="1952">
        <v>43281</v>
      </c>
      <c r="H9" s="1949"/>
      <c r="I9" s="1952">
        <v>43646</v>
      </c>
      <c r="J9" s="1947"/>
      <c r="K9" s="1952">
        <f>+G9</f>
        <v>43281</v>
      </c>
      <c r="L9" s="1949"/>
      <c r="M9" s="1952">
        <f>+I9</f>
        <v>43646</v>
      </c>
      <c r="N9" s="1949"/>
      <c r="O9" s="1947" t="s">
        <v>2098</v>
      </c>
      <c r="P9" s="1947"/>
      <c r="Q9" s="1947" t="s">
        <v>1257</v>
      </c>
      <c r="R9" s="1949"/>
      <c r="S9" s="1947" t="s">
        <v>30</v>
      </c>
    </row>
    <row r="10" spans="1:19" s="1951" customFormat="1" ht="15" x14ac:dyDescent="0.2">
      <c r="A10" s="1953" t="s">
        <v>2099</v>
      </c>
      <c r="B10" s="1949"/>
      <c r="C10" s="1954" t="s">
        <v>2100</v>
      </c>
      <c r="D10" s="1949"/>
      <c r="E10" s="1954" t="s">
        <v>2101</v>
      </c>
      <c r="F10" s="1947"/>
      <c r="G10" s="1955" t="s">
        <v>2102</v>
      </c>
      <c r="H10" s="1956"/>
      <c r="I10" s="1955" t="s">
        <v>2103</v>
      </c>
      <c r="J10" s="1957"/>
      <c r="K10" s="1955" t="s">
        <v>2104</v>
      </c>
      <c r="L10" s="1956"/>
      <c r="M10" s="1955" t="s">
        <v>2105</v>
      </c>
      <c r="N10" s="1956"/>
      <c r="O10" s="1955" t="s">
        <v>2106</v>
      </c>
      <c r="P10" s="1957" t="s">
        <v>2107</v>
      </c>
      <c r="Q10" s="1955" t="s">
        <v>2108</v>
      </c>
      <c r="R10" s="1956"/>
      <c r="S10" s="1955" t="s">
        <v>2109</v>
      </c>
    </row>
    <row r="11" spans="1:19" s="1945" customFormat="1" ht="15" x14ac:dyDescent="0.25">
      <c r="A11" s="1958"/>
      <c r="B11" s="1944"/>
      <c r="C11" s="1959"/>
      <c r="D11" s="1944"/>
      <c r="E11" s="1959"/>
      <c r="F11" s="1960"/>
      <c r="G11" s="1961"/>
      <c r="H11" s="1962"/>
      <c r="I11" s="1961"/>
      <c r="J11" s="1963"/>
      <c r="K11" s="1961"/>
      <c r="L11" s="1962"/>
      <c r="M11" s="1961"/>
      <c r="N11" s="1962"/>
      <c r="O11" s="1961"/>
      <c r="P11" s="1963"/>
      <c r="Q11" s="1961"/>
      <c r="R11" s="1962"/>
      <c r="S11" s="1961"/>
    </row>
    <row r="12" spans="1:19" s="1945" customFormat="1" ht="15" x14ac:dyDescent="0.25">
      <c r="A12" s="1964" t="s">
        <v>2110</v>
      </c>
      <c r="B12" s="1944"/>
      <c r="C12" s="1959"/>
      <c r="D12" s="1944"/>
      <c r="E12" s="1959"/>
      <c r="F12" s="1960"/>
      <c r="G12" s="1961"/>
      <c r="H12" s="1962"/>
      <c r="I12" s="1961"/>
      <c r="J12" s="1963"/>
      <c r="K12" s="1961"/>
      <c r="L12" s="1962"/>
      <c r="M12" s="1961"/>
      <c r="N12" s="1962"/>
      <c r="O12" s="1961"/>
      <c r="P12" s="1963"/>
      <c r="Q12" s="1961"/>
      <c r="R12" s="1962"/>
      <c r="S12" s="1961"/>
    </row>
    <row r="13" spans="1:19" s="1945" customFormat="1" ht="15" x14ac:dyDescent="0.25">
      <c r="A13" s="1964" t="s">
        <v>2111</v>
      </c>
      <c r="B13" s="1944"/>
      <c r="C13" s="1959"/>
      <c r="D13" s="1944"/>
      <c r="E13" s="1959"/>
      <c r="F13" s="1960"/>
      <c r="G13" s="1961"/>
      <c r="H13" s="1962"/>
      <c r="I13" s="1961"/>
      <c r="J13" s="1963"/>
      <c r="K13" s="1961"/>
      <c r="L13" s="1962"/>
      <c r="M13" s="1961"/>
      <c r="N13" s="1962"/>
      <c r="O13" s="1961"/>
      <c r="P13" s="1963"/>
      <c r="Q13" s="1961"/>
      <c r="R13" s="1962"/>
      <c r="S13" s="1961"/>
    </row>
    <row r="14" spans="1:19" s="1945" customFormat="1" ht="15" x14ac:dyDescent="0.25">
      <c r="A14" s="1965" t="s">
        <v>2112</v>
      </c>
      <c r="B14" s="1944"/>
      <c r="C14" s="1959"/>
      <c r="D14" s="1944"/>
      <c r="E14" s="1959"/>
      <c r="F14" s="1960"/>
      <c r="G14" s="1961"/>
      <c r="H14" s="1962"/>
      <c r="I14" s="1961"/>
      <c r="J14" s="1963"/>
      <c r="K14" s="1961"/>
      <c r="L14" s="1962"/>
      <c r="M14" s="1961"/>
      <c r="N14" s="1962"/>
      <c r="O14" s="1961"/>
      <c r="P14" s="1963"/>
      <c r="Q14" s="1961"/>
      <c r="R14" s="1962"/>
      <c r="S14" s="1961"/>
    </row>
    <row r="15" spans="1:19" s="1945" customFormat="1" ht="15" x14ac:dyDescent="0.25">
      <c r="A15" s="1960"/>
      <c r="B15" s="1944"/>
      <c r="C15" s="1944"/>
      <c r="D15" s="1944"/>
      <c r="E15" s="1944"/>
      <c r="F15" s="1960"/>
      <c r="G15" s="1944"/>
      <c r="H15" s="1944"/>
      <c r="I15" s="1944"/>
      <c r="J15" s="1960"/>
      <c r="K15" s="1944"/>
      <c r="L15" s="1944"/>
      <c r="M15" s="1944"/>
      <c r="N15" s="1944"/>
      <c r="O15" s="1944"/>
      <c r="P15" s="1960"/>
      <c r="Q15" s="1944"/>
      <c r="R15" s="1944"/>
      <c r="S15" s="1966"/>
    </row>
    <row r="16" spans="1:19" s="1945" customFormat="1" ht="15" x14ac:dyDescent="0.25">
      <c r="A16" s="1960" t="s">
        <v>2113</v>
      </c>
      <c r="B16" s="1967" t="s">
        <v>1047</v>
      </c>
      <c r="C16" s="1968">
        <v>10.555999999999999</v>
      </c>
      <c r="D16" s="1944"/>
      <c r="E16" s="1960" t="s">
        <v>2114</v>
      </c>
      <c r="F16" s="1960"/>
      <c r="G16" s="1969">
        <v>1028</v>
      </c>
      <c r="H16" s="1970"/>
      <c r="I16" s="1969">
        <v>127</v>
      </c>
      <c r="J16" s="1969"/>
      <c r="K16" s="1971">
        <v>1028</v>
      </c>
      <c r="L16" s="1969"/>
      <c r="M16" s="1969">
        <v>127</v>
      </c>
      <c r="N16" s="1969"/>
      <c r="O16" s="1969"/>
      <c r="P16" s="1960"/>
      <c r="Q16" s="1972">
        <f>K16+M16+O16</f>
        <v>1155</v>
      </c>
      <c r="R16" s="1969"/>
      <c r="S16" s="1973" t="s">
        <v>2115</v>
      </c>
    </row>
    <row r="17" spans="1:19" s="1945" customFormat="1" ht="17.25" x14ac:dyDescent="0.4">
      <c r="A17" s="1960" t="s">
        <v>2113</v>
      </c>
      <c r="B17" s="1967" t="s">
        <v>1047</v>
      </c>
      <c r="C17" s="1968">
        <v>10.555999999999999</v>
      </c>
      <c r="D17" s="1944"/>
      <c r="E17" s="1960" t="s">
        <v>2116</v>
      </c>
      <c r="F17" s="1960"/>
      <c r="G17" s="1974" t="s">
        <v>1169</v>
      </c>
      <c r="H17" s="1969"/>
      <c r="I17" s="1975">
        <v>577</v>
      </c>
      <c r="J17" s="1970"/>
      <c r="K17" s="1974" t="s">
        <v>1169</v>
      </c>
      <c r="L17" s="1969"/>
      <c r="M17" s="1975">
        <v>577</v>
      </c>
      <c r="N17" s="1969"/>
      <c r="O17" s="1969"/>
      <c r="P17" s="1960">
        <v>-3</v>
      </c>
      <c r="Q17" s="1975">
        <f>K17+M17+O17</f>
        <v>577</v>
      </c>
      <c r="R17" s="1969"/>
      <c r="S17" s="1973" t="s">
        <v>2115</v>
      </c>
    </row>
    <row r="18" spans="1:19" s="1945" customFormat="1" ht="17.25" x14ac:dyDescent="0.25">
      <c r="A18" s="1960"/>
      <c r="B18" s="1967"/>
      <c r="C18" s="1968" t="s">
        <v>2117</v>
      </c>
      <c r="D18" s="1944"/>
      <c r="E18" s="1960"/>
      <c r="F18" s="1960"/>
      <c r="G18" s="1974">
        <f>SUM(G16:G17)</f>
        <v>1028</v>
      </c>
      <c r="H18" s="1969"/>
      <c r="I18" s="1974">
        <f>SUM(I16:I17)</f>
        <v>704</v>
      </c>
      <c r="J18" s="1970"/>
      <c r="K18" s="1974">
        <f>SUM(K16:K17)</f>
        <v>1028</v>
      </c>
      <c r="L18" s="1969"/>
      <c r="M18" s="1974">
        <f>SUM(M16:M17)</f>
        <v>704</v>
      </c>
      <c r="N18" s="1969"/>
      <c r="O18" s="1969"/>
      <c r="P18" s="1960"/>
      <c r="Q18" s="1974">
        <f>SUM(Q16:Q17)</f>
        <v>1732</v>
      </c>
      <c r="R18" s="1969"/>
      <c r="S18" s="1973"/>
    </row>
    <row r="19" spans="1:19" s="1945" customFormat="1" ht="15" x14ac:dyDescent="0.25">
      <c r="A19" s="1976"/>
      <c r="B19" s="1967"/>
      <c r="C19" s="1968"/>
      <c r="D19" s="1944"/>
      <c r="E19" s="1960"/>
      <c r="F19" s="1960"/>
      <c r="G19" s="1969"/>
      <c r="H19" s="1969"/>
      <c r="I19" s="1969"/>
      <c r="J19" s="1970"/>
      <c r="K19" s="1969"/>
      <c r="L19" s="1969"/>
      <c r="M19" s="1969"/>
      <c r="N19" s="1969"/>
      <c r="O19" s="1944"/>
      <c r="P19" s="1970"/>
      <c r="Q19" s="1972"/>
      <c r="R19" s="1969"/>
      <c r="S19" s="1973"/>
    </row>
    <row r="20" spans="1:19" s="1945" customFormat="1" ht="15" x14ac:dyDescent="0.25">
      <c r="A20" s="1960" t="s">
        <v>2113</v>
      </c>
      <c r="B20" s="1967" t="s">
        <v>1059</v>
      </c>
      <c r="C20" s="1968">
        <v>10.553000000000001</v>
      </c>
      <c r="D20" s="1944"/>
      <c r="E20" s="1960" t="s">
        <v>2118</v>
      </c>
      <c r="F20" s="1960"/>
      <c r="G20" s="1977">
        <v>66635</v>
      </c>
      <c r="H20" s="1970"/>
      <c r="I20" s="1969">
        <v>28679</v>
      </c>
      <c r="J20" s="1969"/>
      <c r="K20" s="1978">
        <v>66635</v>
      </c>
      <c r="L20" s="1969"/>
      <c r="M20" s="1969">
        <v>28679</v>
      </c>
      <c r="N20" s="1969"/>
      <c r="O20" s="1944"/>
      <c r="P20" s="1960"/>
      <c r="Q20" s="1972">
        <f>K20+M20+O20</f>
        <v>95314</v>
      </c>
      <c r="R20" s="1969"/>
      <c r="S20" s="1973" t="s">
        <v>2115</v>
      </c>
    </row>
    <row r="21" spans="1:19" s="1945" customFormat="1" ht="17.25" x14ac:dyDescent="0.4">
      <c r="A21" s="1960" t="s">
        <v>2113</v>
      </c>
      <c r="B21" s="1967" t="s">
        <v>1059</v>
      </c>
      <c r="C21" s="1968">
        <v>10.553000000000001</v>
      </c>
      <c r="D21" s="1944"/>
      <c r="E21" s="1960" t="s">
        <v>2119</v>
      </c>
      <c r="F21" s="1960"/>
      <c r="G21" s="1974" t="s">
        <v>1169</v>
      </c>
      <c r="H21" s="1969"/>
      <c r="I21" s="1979">
        <v>124255</v>
      </c>
      <c r="J21" s="1970"/>
      <c r="K21" s="1974" t="s">
        <v>1169</v>
      </c>
      <c r="L21" s="1969"/>
      <c r="M21" s="1979">
        <v>124255</v>
      </c>
      <c r="N21" s="1969"/>
      <c r="O21" s="1969"/>
      <c r="P21" s="1960">
        <v>-3</v>
      </c>
      <c r="Q21" s="1980">
        <f>K21+M21+O21</f>
        <v>124255</v>
      </c>
      <c r="R21" s="1969"/>
      <c r="S21" s="1973" t="s">
        <v>2115</v>
      </c>
    </row>
    <row r="22" spans="1:19" s="1945" customFormat="1" ht="17.25" x14ac:dyDescent="0.25">
      <c r="A22" s="1960"/>
      <c r="B22" s="1967"/>
      <c r="C22" s="1968" t="s">
        <v>2120</v>
      </c>
      <c r="D22" s="1944"/>
      <c r="E22" s="1960"/>
      <c r="F22" s="1960"/>
      <c r="G22" s="1974">
        <f>SUM(G20:G21)</f>
        <v>66635</v>
      </c>
      <c r="H22" s="1969"/>
      <c r="I22" s="1974">
        <f>SUM(I20:I21)</f>
        <v>152934</v>
      </c>
      <c r="J22" s="1970"/>
      <c r="K22" s="1974">
        <f>SUM(K20:K21)</f>
        <v>66635</v>
      </c>
      <c r="L22" s="1969"/>
      <c r="M22" s="1974">
        <f>SUM(M20:M21)</f>
        <v>152934</v>
      </c>
      <c r="N22" s="1969"/>
      <c r="O22" s="1969"/>
      <c r="P22" s="1960"/>
      <c r="Q22" s="1974">
        <f>SUM(Q20:Q21)</f>
        <v>219569</v>
      </c>
      <c r="R22" s="1969"/>
      <c r="S22" s="1973"/>
    </row>
    <row r="23" spans="1:19" s="1945" customFormat="1" ht="15" x14ac:dyDescent="0.25">
      <c r="A23" s="1976"/>
      <c r="B23" s="1967"/>
      <c r="C23" s="1968"/>
      <c r="D23" s="1944"/>
      <c r="E23" s="1960"/>
      <c r="F23" s="1960"/>
      <c r="G23" s="1969"/>
      <c r="H23" s="1969"/>
      <c r="I23" s="1969"/>
      <c r="J23" s="1970"/>
      <c r="K23" s="1969"/>
      <c r="L23" s="1969"/>
      <c r="M23" s="1969"/>
      <c r="N23" s="1969"/>
      <c r="O23" s="1969"/>
      <c r="P23" s="1970"/>
      <c r="Q23" s="1972"/>
      <c r="R23" s="1969"/>
      <c r="S23" s="1973"/>
    </row>
    <row r="24" spans="1:19" s="1945" customFormat="1" ht="15" x14ac:dyDescent="0.25">
      <c r="A24" s="1960" t="s">
        <v>2113</v>
      </c>
      <c r="B24" s="1967" t="s">
        <v>1451</v>
      </c>
      <c r="C24" s="1968">
        <v>10.558999999999999</v>
      </c>
      <c r="D24" s="1944"/>
      <c r="E24" s="1960" t="s">
        <v>2121</v>
      </c>
      <c r="F24" s="1960"/>
      <c r="G24" s="1969"/>
      <c r="H24" s="1970"/>
      <c r="I24" s="1969">
        <v>1243</v>
      </c>
      <c r="J24" s="1969"/>
      <c r="K24" s="1971">
        <v>1243</v>
      </c>
      <c r="L24" s="1969"/>
      <c r="M24" s="1969"/>
      <c r="N24" s="1969"/>
      <c r="O24" s="1969"/>
      <c r="P24" s="1960"/>
      <c r="Q24" s="1972">
        <f>K24+M24+O24</f>
        <v>1243</v>
      </c>
      <c r="R24" s="1969"/>
      <c r="S24" s="1973" t="s">
        <v>2115</v>
      </c>
    </row>
    <row r="25" spans="1:19" s="1945" customFormat="1" ht="15" x14ac:dyDescent="0.25">
      <c r="A25" s="1960" t="s">
        <v>2113</v>
      </c>
      <c r="B25" s="1967" t="s">
        <v>1451</v>
      </c>
      <c r="C25" s="1968">
        <v>10.558999999999999</v>
      </c>
      <c r="D25" s="1944"/>
      <c r="E25" s="1960" t="s">
        <v>2122</v>
      </c>
      <c r="F25" s="1960"/>
      <c r="G25" s="1969"/>
      <c r="H25" s="1969"/>
      <c r="I25" s="1969"/>
      <c r="J25" s="1970"/>
      <c r="K25" s="1969"/>
      <c r="L25" s="1969"/>
      <c r="M25" s="1969">
        <v>933</v>
      </c>
      <c r="N25" s="1969"/>
      <c r="O25" s="1969"/>
      <c r="P25" s="1960">
        <v>-3</v>
      </c>
      <c r="Q25" s="1972">
        <f>K25+M25+O25</f>
        <v>933</v>
      </c>
      <c r="R25" s="1969"/>
      <c r="S25" s="1973" t="s">
        <v>2115</v>
      </c>
    </row>
    <row r="26" spans="1:19" s="1945" customFormat="1" ht="15" x14ac:dyDescent="0.25">
      <c r="A26" s="1960"/>
      <c r="B26" s="1967"/>
      <c r="C26" s="1968"/>
      <c r="D26" s="1944"/>
      <c r="E26" s="1960"/>
      <c r="F26" s="1960"/>
      <c r="G26" s="1969"/>
      <c r="H26" s="1969"/>
      <c r="I26" s="1969"/>
      <c r="J26" s="1970"/>
      <c r="K26" s="1969"/>
      <c r="L26" s="1969"/>
      <c r="M26" s="1969"/>
      <c r="N26" s="1969"/>
      <c r="O26" s="1969"/>
      <c r="P26" s="1960"/>
      <c r="Q26" s="1972"/>
      <c r="R26" s="1969"/>
      <c r="S26" s="1973"/>
    </row>
    <row r="27" spans="1:19" s="1945" customFormat="1" ht="15" x14ac:dyDescent="0.25">
      <c r="A27" s="1960" t="s">
        <v>2113</v>
      </c>
      <c r="B27" s="1967" t="s">
        <v>2123</v>
      </c>
      <c r="C27" s="1968">
        <v>10.555</v>
      </c>
      <c r="D27" s="1944"/>
      <c r="E27" s="1960" t="s">
        <v>2124</v>
      </c>
      <c r="F27" s="1960"/>
      <c r="G27" s="1969">
        <v>224788</v>
      </c>
      <c r="H27" s="1970"/>
      <c r="I27" s="1969">
        <v>75687</v>
      </c>
      <c r="J27" s="1969"/>
      <c r="K27" s="1971">
        <v>224788</v>
      </c>
      <c r="L27" s="1969"/>
      <c r="M27" s="1969">
        <v>75687</v>
      </c>
      <c r="N27" s="1944"/>
      <c r="O27" s="1944"/>
      <c r="P27" s="1960"/>
      <c r="Q27" s="1972">
        <f>K27+M27+O27</f>
        <v>300475</v>
      </c>
      <c r="R27" s="1944"/>
      <c r="S27" s="1973" t="s">
        <v>2115</v>
      </c>
    </row>
    <row r="28" spans="1:19" s="1945" customFormat="1" ht="15" x14ac:dyDescent="0.25">
      <c r="A28" s="1960" t="s">
        <v>2113</v>
      </c>
      <c r="B28" s="1967" t="s">
        <v>2123</v>
      </c>
      <c r="C28" s="1968">
        <v>10.555</v>
      </c>
      <c r="D28" s="1944"/>
      <c r="E28" s="1960" t="s">
        <v>2125</v>
      </c>
      <c r="F28" s="1960"/>
      <c r="G28" s="1969"/>
      <c r="H28" s="1969"/>
      <c r="I28" s="1969">
        <v>333252</v>
      </c>
      <c r="J28" s="1970"/>
      <c r="K28" s="1969"/>
      <c r="L28" s="1969"/>
      <c r="M28" s="1969">
        <v>333252</v>
      </c>
      <c r="N28" s="1969"/>
      <c r="O28" s="1969"/>
      <c r="P28" s="1960">
        <v>-3</v>
      </c>
      <c r="Q28" s="1972">
        <f>K28+M28+O28</f>
        <v>333252</v>
      </c>
      <c r="R28" s="1969"/>
      <c r="S28" s="1973" t="s">
        <v>2115</v>
      </c>
    </row>
    <row r="29" spans="1:19" s="1945" customFormat="1" ht="10.5" customHeight="1" x14ac:dyDescent="0.25">
      <c r="A29" s="1976"/>
      <c r="B29" s="1967"/>
      <c r="C29" s="1968"/>
      <c r="D29" s="1944"/>
      <c r="E29" s="1960"/>
      <c r="F29" s="1960"/>
      <c r="G29" s="1969"/>
      <c r="H29" s="1969"/>
      <c r="I29" s="1969"/>
      <c r="J29" s="1970"/>
      <c r="K29" s="1969"/>
      <c r="L29" s="1969"/>
      <c r="M29" s="1969"/>
      <c r="N29" s="1969"/>
      <c r="O29" s="1969"/>
      <c r="P29" s="1970"/>
      <c r="Q29" s="1972"/>
      <c r="R29" s="1969"/>
      <c r="S29" s="1973"/>
    </row>
    <row r="30" spans="1:19" s="1945" customFormat="1" ht="15" x14ac:dyDescent="0.25">
      <c r="A30" s="1981" t="s">
        <v>2126</v>
      </c>
      <c r="B30" s="1967"/>
      <c r="C30" s="1968"/>
      <c r="D30" s="1944"/>
      <c r="E30" s="1960"/>
      <c r="F30" s="1960"/>
      <c r="G30" s="1969"/>
      <c r="H30" s="1969"/>
      <c r="I30" s="1969"/>
      <c r="J30" s="1970"/>
      <c r="K30" s="1969"/>
      <c r="L30" s="1969"/>
      <c r="M30" s="1969"/>
      <c r="N30" s="1969"/>
      <c r="O30" s="1969"/>
      <c r="P30" s="1970"/>
      <c r="Q30" s="1972"/>
      <c r="R30" s="1969"/>
      <c r="S30" s="1973"/>
    </row>
    <row r="31" spans="1:19" s="1945" customFormat="1" ht="15" x14ac:dyDescent="0.25">
      <c r="A31" s="1960"/>
      <c r="B31" s="1967" t="s">
        <v>2127</v>
      </c>
      <c r="C31" s="1968">
        <v>10.555</v>
      </c>
      <c r="D31" s="1944"/>
      <c r="E31" s="1960" t="s">
        <v>2128</v>
      </c>
      <c r="F31" s="1960"/>
      <c r="G31" s="1969" t="s">
        <v>1169</v>
      </c>
      <c r="H31" s="1969"/>
      <c r="I31" s="1969"/>
      <c r="J31" s="1970"/>
      <c r="K31" s="1969">
        <v>32283</v>
      </c>
      <c r="L31" s="1969"/>
      <c r="M31" s="1969"/>
      <c r="N31" s="1969"/>
      <c r="O31" s="1969"/>
      <c r="P31" s="1970"/>
      <c r="Q31" s="1972">
        <f>K31+M31+O31</f>
        <v>32283</v>
      </c>
      <c r="R31" s="1969"/>
      <c r="S31" s="1973" t="s">
        <v>2115</v>
      </c>
    </row>
    <row r="32" spans="1:19" s="1945" customFormat="1" ht="15" x14ac:dyDescent="0.25">
      <c r="A32" s="1960" t="s">
        <v>2113</v>
      </c>
      <c r="B32" s="1967" t="s">
        <v>2127</v>
      </c>
      <c r="C32" s="1968">
        <v>10.555</v>
      </c>
      <c r="D32" s="1944"/>
      <c r="E32" s="1960" t="s">
        <v>2129</v>
      </c>
      <c r="F32" s="1960"/>
      <c r="G32" s="1969" t="s">
        <v>1169</v>
      </c>
      <c r="H32" s="1969"/>
      <c r="I32" s="1969"/>
      <c r="J32" s="1970"/>
      <c r="K32" s="1969"/>
      <c r="L32" s="1969"/>
      <c r="M32" s="1969">
        <v>36956</v>
      </c>
      <c r="N32" s="1969"/>
      <c r="O32" s="1969"/>
      <c r="P32" s="1970"/>
      <c r="Q32" s="1972">
        <f>K32+M32+O32</f>
        <v>36956</v>
      </c>
      <c r="R32" s="1969"/>
      <c r="S32" s="1973" t="s">
        <v>2115</v>
      </c>
    </row>
    <row r="33" spans="1:19" s="1945" customFormat="1" ht="10.5" customHeight="1" x14ac:dyDescent="0.25">
      <c r="A33" s="1976"/>
      <c r="B33" s="1967"/>
      <c r="C33" s="1968"/>
      <c r="D33" s="1944"/>
      <c r="E33" s="1960"/>
      <c r="F33" s="1960"/>
      <c r="G33" s="1969"/>
      <c r="H33" s="1969"/>
      <c r="I33" s="1969"/>
      <c r="J33" s="1970"/>
      <c r="K33" s="1969"/>
      <c r="L33" s="1969"/>
      <c r="M33" s="1969"/>
      <c r="N33" s="1969"/>
      <c r="O33" s="1969"/>
      <c r="P33" s="1970"/>
      <c r="Q33" s="1972"/>
      <c r="R33" s="1969"/>
      <c r="S33" s="1973"/>
    </row>
    <row r="34" spans="1:19" s="1945" customFormat="1" ht="15" x14ac:dyDescent="0.25">
      <c r="A34" s="1960"/>
      <c r="B34" s="1967" t="s">
        <v>2130</v>
      </c>
      <c r="C34" s="1968">
        <v>10.555</v>
      </c>
      <c r="D34" s="1944"/>
      <c r="E34" s="1960" t="s">
        <v>2128</v>
      </c>
      <c r="F34" s="1960"/>
      <c r="G34" s="1969"/>
      <c r="H34" s="1969"/>
      <c r="I34" s="1969"/>
      <c r="J34" s="1970"/>
      <c r="K34" s="1969">
        <v>14409</v>
      </c>
      <c r="L34" s="1969"/>
      <c r="N34" s="1969"/>
      <c r="O34" s="1969"/>
      <c r="P34" s="1970"/>
      <c r="Q34" s="1972">
        <f>K34+O34</f>
        <v>14409</v>
      </c>
      <c r="R34" s="1969"/>
      <c r="S34" s="1973" t="s">
        <v>2115</v>
      </c>
    </row>
    <row r="35" spans="1:19" s="1951" customFormat="1" ht="17.25" x14ac:dyDescent="0.25">
      <c r="A35" s="1960" t="s">
        <v>2113</v>
      </c>
      <c r="B35" s="1948" t="s">
        <v>2130</v>
      </c>
      <c r="C35" s="1982">
        <v>10.555</v>
      </c>
      <c r="D35" s="1949"/>
      <c r="E35" s="1960" t="s">
        <v>2129</v>
      </c>
      <c r="F35" s="1947"/>
      <c r="G35" s="1974">
        <v>0</v>
      </c>
      <c r="H35" s="1983"/>
      <c r="I35" s="1974">
        <v>0</v>
      </c>
      <c r="J35" s="1974"/>
      <c r="K35" s="1974">
        <v>0</v>
      </c>
      <c r="L35" s="1974"/>
      <c r="M35" s="1974">
        <v>16111</v>
      </c>
      <c r="N35" s="1974"/>
      <c r="O35" s="1974">
        <v>0</v>
      </c>
      <c r="P35" s="1974"/>
      <c r="Q35" s="1974">
        <f>M35+O35</f>
        <v>16111</v>
      </c>
      <c r="R35" s="1983"/>
      <c r="S35" s="1984" t="s">
        <v>2115</v>
      </c>
    </row>
    <row r="36" spans="1:19" s="1951" customFormat="1" ht="17.25" x14ac:dyDescent="0.25">
      <c r="A36" s="1960"/>
      <c r="B36" s="1948"/>
      <c r="C36" s="1968" t="s">
        <v>2131</v>
      </c>
      <c r="D36" s="1949"/>
      <c r="E36" s="1960"/>
      <c r="F36" s="1947"/>
      <c r="G36" s="1974">
        <f>SUM(G27:G35)</f>
        <v>224788</v>
      </c>
      <c r="H36" s="1983"/>
      <c r="I36" s="1974">
        <f>SUM(I27:I35)</f>
        <v>408939</v>
      </c>
      <c r="J36" s="1974"/>
      <c r="K36" s="1974">
        <f>SUM(K27:K35)</f>
        <v>271480</v>
      </c>
      <c r="L36" s="1974"/>
      <c r="M36" s="1974">
        <f>SUM(M27:M35)</f>
        <v>462006</v>
      </c>
      <c r="N36" s="1974"/>
      <c r="O36" s="1974">
        <f>SUM(O27:O35)</f>
        <v>0</v>
      </c>
      <c r="P36" s="1974"/>
      <c r="Q36" s="1974">
        <f>SUM(Q27:Q35)</f>
        <v>733486</v>
      </c>
      <c r="R36" s="1983"/>
      <c r="S36" s="1984"/>
    </row>
    <row r="37" spans="1:19" s="1945" customFormat="1" ht="11.25" customHeight="1" x14ac:dyDescent="0.25">
      <c r="A37" s="1960"/>
      <c r="B37" s="1985"/>
      <c r="C37" s="1985"/>
      <c r="D37" s="1985"/>
      <c r="E37" s="1985"/>
      <c r="F37" s="1986"/>
      <c r="G37" s="1985"/>
      <c r="H37" s="1985"/>
      <c r="I37" s="1985"/>
      <c r="J37" s="1986"/>
      <c r="K37" s="1985"/>
      <c r="L37" s="1985"/>
      <c r="M37" s="1985"/>
      <c r="N37" s="1985"/>
      <c r="O37" s="1985"/>
      <c r="P37" s="1986"/>
      <c r="Q37" s="1985"/>
      <c r="R37" s="1985"/>
      <c r="S37" s="1985"/>
    </row>
    <row r="38" spans="1:19" s="1951" customFormat="1" ht="17.25" x14ac:dyDescent="0.2">
      <c r="A38" s="1987" t="s">
        <v>2132</v>
      </c>
      <c r="B38" s="1948"/>
      <c r="C38" s="1982"/>
      <c r="D38" s="1949"/>
      <c r="E38" s="1947"/>
      <c r="F38" s="1988" t="s">
        <v>2133</v>
      </c>
      <c r="G38" s="1974">
        <f>SUM(G18,G22:G35)</f>
        <v>292451</v>
      </c>
      <c r="H38" s="1974"/>
      <c r="I38" s="1974">
        <f>SUM(I18,I22:I35)</f>
        <v>563820</v>
      </c>
      <c r="J38" s="1974"/>
      <c r="K38" s="1974">
        <f>SUM(K18,K22:K35)</f>
        <v>340386</v>
      </c>
      <c r="L38" s="1974"/>
      <c r="M38" s="1974">
        <f>SUM(M18,M22:M35)</f>
        <v>616577</v>
      </c>
      <c r="N38" s="1974"/>
      <c r="O38" s="1974">
        <f>SUM(O28:O37)</f>
        <v>0</v>
      </c>
      <c r="P38" s="1974"/>
      <c r="Q38" s="1974">
        <f>SUM(Q18,Q22:Q35)</f>
        <v>956963</v>
      </c>
      <c r="R38" s="1983"/>
      <c r="S38" s="1984"/>
    </row>
    <row r="39" spans="1:19" s="1945" customFormat="1" ht="15" hidden="1" x14ac:dyDescent="0.25">
      <c r="A39" s="1976"/>
      <c r="B39" s="1967"/>
      <c r="C39" s="1968"/>
      <c r="D39" s="1944"/>
      <c r="E39" s="1960"/>
      <c r="F39" s="1960"/>
      <c r="G39" s="1969"/>
      <c r="H39" s="1969"/>
      <c r="I39" s="1969"/>
      <c r="J39" s="1970"/>
      <c r="K39" s="1969"/>
      <c r="L39" s="1969"/>
      <c r="M39" s="1969"/>
      <c r="N39" s="1969"/>
      <c r="O39" s="1969"/>
      <c r="P39" s="1970"/>
      <c r="Q39" s="1972"/>
      <c r="R39" s="1969"/>
      <c r="S39" s="1973"/>
    </row>
    <row r="40" spans="1:19" s="1945" customFormat="1" ht="15" x14ac:dyDescent="0.25">
      <c r="A40" s="1989"/>
      <c r="B40" s="1967"/>
      <c r="C40" s="1968"/>
      <c r="D40" s="1944"/>
      <c r="E40" s="1960"/>
      <c r="F40" s="1960"/>
      <c r="G40" s="1969"/>
      <c r="H40" s="1969"/>
      <c r="I40" s="1969"/>
      <c r="J40" s="1970"/>
      <c r="K40" s="1969"/>
      <c r="L40" s="1969"/>
      <c r="M40" s="1969"/>
      <c r="N40" s="1969"/>
      <c r="O40" s="1969"/>
      <c r="P40" s="1970"/>
      <c r="Q40" s="1990"/>
      <c r="R40" s="1969"/>
      <c r="S40" s="1973"/>
    </row>
    <row r="41" spans="1:19" s="1945" customFormat="1" ht="15" x14ac:dyDescent="0.25">
      <c r="A41" s="1964" t="s">
        <v>2134</v>
      </c>
      <c r="B41" s="1967"/>
      <c r="C41" s="1968"/>
      <c r="D41" s="1944"/>
      <c r="E41" s="1960"/>
      <c r="F41" s="1960"/>
      <c r="G41" s="1969"/>
      <c r="H41" s="1969"/>
      <c r="I41" s="1969"/>
      <c r="J41" s="1970"/>
      <c r="K41" s="1969"/>
      <c r="L41" s="1969"/>
      <c r="M41" s="1969"/>
      <c r="N41" s="1969"/>
      <c r="O41" s="1969"/>
      <c r="P41" s="1970"/>
      <c r="Q41" s="1972"/>
      <c r="R41" s="1969"/>
      <c r="S41" s="1973"/>
    </row>
    <row r="42" spans="1:19" s="1945" customFormat="1" ht="15" x14ac:dyDescent="0.25">
      <c r="A42" s="1964" t="s">
        <v>2111</v>
      </c>
      <c r="B42" s="1967"/>
      <c r="C42" s="1968"/>
      <c r="D42" s="1944"/>
      <c r="E42" s="1960"/>
      <c r="F42" s="1960"/>
      <c r="G42" s="1969"/>
      <c r="H42" s="1969"/>
      <c r="I42" s="1969"/>
      <c r="J42" s="1970"/>
      <c r="K42" s="1969"/>
      <c r="L42" s="1969"/>
      <c r="M42" s="1969"/>
      <c r="N42" s="1969"/>
      <c r="O42" s="1969"/>
      <c r="P42" s="1970"/>
      <c r="Q42" s="1972"/>
      <c r="R42" s="1969"/>
      <c r="S42" s="1973"/>
    </row>
    <row r="43" spans="1:19" s="1945" customFormat="1" ht="15" x14ac:dyDescent="0.25">
      <c r="A43" s="1964" t="s">
        <v>2112</v>
      </c>
      <c r="B43" s="1985"/>
      <c r="C43" s="1968"/>
      <c r="D43" s="1944"/>
      <c r="E43" s="1960"/>
      <c r="F43" s="1960"/>
      <c r="G43" s="1969"/>
      <c r="H43" s="1969"/>
      <c r="I43" s="1969"/>
      <c r="J43" s="1970"/>
      <c r="K43" s="1969"/>
      <c r="L43" s="1969"/>
      <c r="M43" s="1969"/>
      <c r="N43" s="1969"/>
      <c r="O43" s="1969"/>
      <c r="P43" s="1970"/>
      <c r="Q43" s="1972"/>
      <c r="R43" s="1969"/>
      <c r="S43" s="1973"/>
    </row>
    <row r="44" spans="1:19" s="1945" customFormat="1" ht="15" x14ac:dyDescent="0.25">
      <c r="A44" s="1964"/>
      <c r="B44" s="1985"/>
      <c r="C44" s="1968"/>
      <c r="D44" s="1944"/>
      <c r="E44" s="1960"/>
      <c r="F44" s="1960"/>
      <c r="G44" s="1969"/>
      <c r="H44" s="1969"/>
      <c r="I44" s="1969"/>
      <c r="J44" s="1970"/>
      <c r="K44" s="1969"/>
      <c r="L44" s="1969"/>
      <c r="M44" s="1969"/>
      <c r="N44" s="1969"/>
      <c r="O44" s="1969"/>
      <c r="P44" s="1970"/>
      <c r="Q44" s="1972"/>
      <c r="R44" s="1969"/>
      <c r="S44" s="1973"/>
    </row>
    <row r="45" spans="1:19" s="1945" customFormat="1" ht="15" x14ac:dyDescent="0.25">
      <c r="A45" s="1960"/>
      <c r="B45" s="1967" t="s">
        <v>2135</v>
      </c>
      <c r="C45" s="1968">
        <v>84.173000000000002</v>
      </c>
      <c r="D45" s="1944"/>
      <c r="E45" s="1960" t="s">
        <v>2136</v>
      </c>
      <c r="F45" s="1960"/>
      <c r="G45" s="1969">
        <v>11569</v>
      </c>
      <c r="H45" s="1970"/>
      <c r="I45" s="1969">
        <v>2972</v>
      </c>
      <c r="J45" s="1969"/>
      <c r="K45" s="1973">
        <v>12643</v>
      </c>
      <c r="L45" s="1969"/>
      <c r="M45" s="1969">
        <v>1898</v>
      </c>
      <c r="N45" s="1969"/>
      <c r="O45" s="1969"/>
      <c r="P45" s="1970"/>
      <c r="Q45" s="1990">
        <f>O45+M45+K45</f>
        <v>14541</v>
      </c>
      <c r="R45" s="1969"/>
      <c r="S45" s="1973">
        <v>15052</v>
      </c>
    </row>
    <row r="46" spans="1:19" s="1945" customFormat="1" ht="17.25" x14ac:dyDescent="0.4">
      <c r="A46" s="1960"/>
      <c r="B46" s="1967" t="s">
        <v>2135</v>
      </c>
      <c r="C46" s="1968">
        <v>84.173000000000002</v>
      </c>
      <c r="D46" s="1944"/>
      <c r="E46" s="1960" t="s">
        <v>2137</v>
      </c>
      <c r="F46" s="1966"/>
      <c r="G46" s="1974" t="s">
        <v>1169</v>
      </c>
      <c r="H46" s="1969"/>
      <c r="I46" s="1975">
        <v>10260</v>
      </c>
      <c r="J46" s="1970"/>
      <c r="K46" s="1974" t="s">
        <v>1169</v>
      </c>
      <c r="L46" s="1969"/>
      <c r="M46" s="1991">
        <v>12763</v>
      </c>
      <c r="N46" s="1969"/>
      <c r="O46" s="1975">
        <v>2568</v>
      </c>
      <c r="P46" s="1970"/>
      <c r="Q46" s="1992">
        <f>O46+M46+K46</f>
        <v>15331</v>
      </c>
      <c r="R46" s="1969"/>
      <c r="S46" s="1973">
        <v>15332</v>
      </c>
    </row>
    <row r="47" spans="1:19" s="1945" customFormat="1" ht="17.25" x14ac:dyDescent="0.25">
      <c r="A47" s="1960"/>
      <c r="B47" s="1967"/>
      <c r="C47" s="1968" t="s">
        <v>2138</v>
      </c>
      <c r="D47" s="1944"/>
      <c r="E47" s="1960"/>
      <c r="F47" s="1966"/>
      <c r="G47" s="1974">
        <f>SUM(G45:G46)</f>
        <v>11569</v>
      </c>
      <c r="H47" s="1969"/>
      <c r="I47" s="1974">
        <f>SUM(I45:I46)</f>
        <v>13232</v>
      </c>
      <c r="J47" s="1970"/>
      <c r="K47" s="1974">
        <f>SUM(K45:K46)</f>
        <v>12643</v>
      </c>
      <c r="L47" s="1969"/>
      <c r="M47" s="1974">
        <f>SUM(M45:M46)</f>
        <v>14661</v>
      </c>
      <c r="N47" s="1969"/>
      <c r="O47" s="1974">
        <f>SUM(O45:O46)</f>
        <v>2568</v>
      </c>
      <c r="P47" s="1970"/>
      <c r="Q47" s="1974">
        <f>SUM(Q45:Q46)</f>
        <v>29872</v>
      </c>
      <c r="R47" s="1969"/>
      <c r="S47" s="1973"/>
    </row>
    <row r="48" spans="1:19" s="1945" customFormat="1" ht="15" x14ac:dyDescent="0.25">
      <c r="A48" s="1989"/>
      <c r="B48" s="1967"/>
      <c r="C48" s="1968"/>
      <c r="D48" s="1944"/>
      <c r="E48" s="1960"/>
      <c r="F48" s="1960"/>
      <c r="G48" s="1969"/>
      <c r="H48" s="1969"/>
      <c r="I48" s="1969"/>
      <c r="J48" s="1970"/>
      <c r="K48" s="1969"/>
      <c r="L48" s="1969"/>
      <c r="M48" s="1969"/>
      <c r="N48" s="1969"/>
      <c r="O48" s="1969"/>
      <c r="P48" s="1970"/>
      <c r="Q48" s="1990"/>
      <c r="R48" s="1969"/>
      <c r="S48" s="1973"/>
    </row>
    <row r="49" spans="1:19" s="1945" customFormat="1" ht="15" x14ac:dyDescent="0.25">
      <c r="A49" s="1960"/>
      <c r="B49" s="1967" t="s">
        <v>2139</v>
      </c>
      <c r="C49" s="1968">
        <v>84.027000000000001</v>
      </c>
      <c r="D49" s="1944"/>
      <c r="E49" s="1960" t="s">
        <v>2140</v>
      </c>
      <c r="F49" s="1960"/>
      <c r="G49" s="1969">
        <v>257901</v>
      </c>
      <c r="H49" s="1970"/>
      <c r="I49" s="1969">
        <v>69973</v>
      </c>
      <c r="J49" s="1969"/>
      <c r="K49" s="1973">
        <v>283280</v>
      </c>
      <c r="L49" s="1969"/>
      <c r="M49" s="1969">
        <v>44594</v>
      </c>
      <c r="N49" s="1969"/>
      <c r="O49" s="1969"/>
      <c r="P49" s="1970"/>
      <c r="Q49" s="1990">
        <f>O49+M49+K49</f>
        <v>327874</v>
      </c>
      <c r="R49" s="1969"/>
      <c r="S49" s="1973">
        <v>339265</v>
      </c>
    </row>
    <row r="50" spans="1:19" s="1945" customFormat="1" ht="17.25" x14ac:dyDescent="0.4">
      <c r="A50" s="1960"/>
      <c r="B50" s="1967" t="s">
        <v>2139</v>
      </c>
      <c r="C50" s="1968">
        <v>84.027000000000001</v>
      </c>
      <c r="D50" s="1944"/>
      <c r="E50" s="1960" t="s">
        <v>2141</v>
      </c>
      <c r="F50" s="1966"/>
      <c r="G50" s="1975">
        <v>0</v>
      </c>
      <c r="H50" s="1969"/>
      <c r="I50" s="1975">
        <v>231504</v>
      </c>
      <c r="J50" s="1970"/>
      <c r="K50" s="1975">
        <v>0</v>
      </c>
      <c r="L50" s="1969"/>
      <c r="M50" s="1991">
        <v>287836</v>
      </c>
      <c r="N50" s="1969"/>
      <c r="O50" s="1975">
        <v>60310</v>
      </c>
      <c r="P50" s="1970"/>
      <c r="Q50" s="1992">
        <f>O50+M50+K50</f>
        <v>348146</v>
      </c>
      <c r="R50" s="1969"/>
      <c r="S50" s="1973">
        <v>348150</v>
      </c>
    </row>
    <row r="51" spans="1:19" s="1945" customFormat="1" ht="15" hidden="1" x14ac:dyDescent="0.25">
      <c r="A51" s="1989"/>
      <c r="B51" s="1967"/>
      <c r="C51" s="1968"/>
      <c r="D51" s="1944"/>
      <c r="E51" s="1960"/>
      <c r="F51" s="1960"/>
      <c r="G51" s="1969"/>
      <c r="H51" s="1969"/>
      <c r="I51" s="1969"/>
      <c r="J51" s="1970"/>
      <c r="K51" s="1969"/>
      <c r="L51" s="1969"/>
      <c r="M51" s="1969"/>
      <c r="N51" s="1969"/>
      <c r="O51" s="1969"/>
      <c r="P51" s="1970"/>
      <c r="Q51" s="1990"/>
      <c r="R51" s="1969"/>
      <c r="S51" s="1973"/>
    </row>
    <row r="52" spans="1:19" s="1945" customFormat="1" ht="16.5" hidden="1" customHeight="1" x14ac:dyDescent="0.25">
      <c r="A52" s="1989"/>
      <c r="B52" s="1967" t="s">
        <v>2142</v>
      </c>
      <c r="C52" s="1993">
        <v>84.027000000000001</v>
      </c>
      <c r="D52" s="1944"/>
      <c r="E52" s="1960" t="s">
        <v>2143</v>
      </c>
      <c r="F52" s="1960"/>
      <c r="G52" s="1969"/>
      <c r="H52" s="1970"/>
      <c r="I52" s="1969"/>
      <c r="J52" s="1969"/>
      <c r="K52" s="1972"/>
      <c r="L52" s="1969"/>
      <c r="M52" s="1969"/>
      <c r="N52" s="1969"/>
      <c r="O52" s="1969"/>
      <c r="P52" s="1970"/>
      <c r="Q52" s="1990">
        <f>O52+M52+K52</f>
        <v>0</v>
      </c>
      <c r="R52" s="1969"/>
      <c r="S52" s="1984" t="s">
        <v>2115</v>
      </c>
    </row>
    <row r="53" spans="1:19" s="1945" customFormat="1" ht="17.25" hidden="1" x14ac:dyDescent="0.25">
      <c r="A53" s="1989"/>
      <c r="B53" s="1967" t="s">
        <v>2142</v>
      </c>
      <c r="C53" s="1993">
        <v>84.027000000000001</v>
      </c>
      <c r="D53" s="1944"/>
      <c r="E53" s="1960" t="s">
        <v>2144</v>
      </c>
      <c r="F53" s="1960"/>
      <c r="G53" s="1974" t="s">
        <v>1169</v>
      </c>
      <c r="H53" s="1994"/>
      <c r="I53" s="1974" t="s">
        <v>1169</v>
      </c>
      <c r="J53" s="1970"/>
      <c r="K53" s="1974" t="s">
        <v>1169</v>
      </c>
      <c r="L53" s="1969"/>
      <c r="M53" s="1974" t="s">
        <v>1169</v>
      </c>
      <c r="N53" s="1969"/>
      <c r="O53" s="1974" t="s">
        <v>1169</v>
      </c>
      <c r="P53" s="1970"/>
      <c r="Q53" s="1992">
        <f>O53+M53+K53</f>
        <v>0</v>
      </c>
      <c r="R53" s="1969"/>
      <c r="S53" s="1984" t="s">
        <v>2115</v>
      </c>
    </row>
    <row r="54" spans="1:19" s="1945" customFormat="1" ht="17.25" x14ac:dyDescent="0.25">
      <c r="A54" s="1989"/>
      <c r="B54" s="1967"/>
      <c r="C54" s="1968" t="s">
        <v>2145</v>
      </c>
      <c r="D54" s="1944"/>
      <c r="E54" s="1960"/>
      <c r="F54" s="1960"/>
      <c r="G54" s="1974">
        <f>SUM(G49:G53)</f>
        <v>257901</v>
      </c>
      <c r="H54" s="1994"/>
      <c r="I54" s="1974">
        <f>SUM(I49:I53)</f>
        <v>301477</v>
      </c>
      <c r="J54" s="1970"/>
      <c r="K54" s="1974">
        <f>SUM(K49:K53)</f>
        <v>283280</v>
      </c>
      <c r="L54" s="1969"/>
      <c r="M54" s="1974">
        <f>SUM(M49:M53)</f>
        <v>332430</v>
      </c>
      <c r="N54" s="1969"/>
      <c r="O54" s="1974">
        <f>SUM(O49:O53)</f>
        <v>60310</v>
      </c>
      <c r="P54" s="1970"/>
      <c r="Q54" s="1974">
        <f>SUM(Q49:Q53)</f>
        <v>676020</v>
      </c>
      <c r="R54" s="1969"/>
      <c r="S54" s="1984"/>
    </row>
    <row r="55" spans="1:19" s="1945" customFormat="1" ht="17.25" x14ac:dyDescent="0.25">
      <c r="A55" s="1989"/>
      <c r="B55" s="1967"/>
      <c r="C55" s="1993"/>
      <c r="D55" s="1944"/>
      <c r="E55" s="1966" t="s">
        <v>2146</v>
      </c>
      <c r="F55" s="1960"/>
      <c r="G55" s="1974">
        <f>SUM(G47,G54)</f>
        <v>269470</v>
      </c>
      <c r="H55" s="1994"/>
      <c r="I55" s="1974">
        <f>SUM(I47,I54)</f>
        <v>314709</v>
      </c>
      <c r="J55" s="1970"/>
      <c r="K55" s="1974">
        <f>SUM(K47,K54)</f>
        <v>295923</v>
      </c>
      <c r="L55" s="1969"/>
      <c r="M55" s="1974">
        <f>SUM(M47,M54)</f>
        <v>347091</v>
      </c>
      <c r="N55" s="1969"/>
      <c r="O55" s="1974">
        <f>SUM(O47,O54)</f>
        <v>62878</v>
      </c>
      <c r="P55" s="1970"/>
      <c r="Q55" s="1974">
        <f>SUM(Q47,Q54)</f>
        <v>705892</v>
      </c>
      <c r="R55" s="1969"/>
      <c r="S55" s="1984"/>
    </row>
    <row r="56" spans="1:19" s="1945" customFormat="1" ht="15" x14ac:dyDescent="0.25">
      <c r="A56" s="1989"/>
      <c r="B56" s="1967"/>
      <c r="C56" s="1993"/>
      <c r="D56" s="1944"/>
      <c r="E56" s="1960"/>
      <c r="F56" s="1960"/>
      <c r="G56" s="1969"/>
      <c r="H56" s="1994"/>
      <c r="I56" s="1969"/>
      <c r="J56" s="1970"/>
      <c r="K56" s="1969"/>
      <c r="L56" s="1969"/>
      <c r="M56" s="1972"/>
      <c r="N56" s="1969"/>
      <c r="O56" s="1969"/>
      <c r="P56" s="1970"/>
      <c r="Q56" s="1990"/>
      <c r="R56" s="1969"/>
      <c r="S56" s="1984"/>
    </row>
    <row r="57" spans="1:19" s="1945" customFormat="1" ht="15" hidden="1" x14ac:dyDescent="0.25">
      <c r="A57" s="1989"/>
      <c r="B57" s="1967"/>
      <c r="C57" s="1993"/>
      <c r="D57" s="1944"/>
      <c r="E57" s="1960"/>
      <c r="F57" s="1960"/>
      <c r="G57" s="1969"/>
      <c r="H57" s="1994"/>
      <c r="I57" s="1969"/>
      <c r="J57" s="1970"/>
      <c r="K57" s="1969"/>
      <c r="L57" s="1969"/>
      <c r="M57" s="1972"/>
      <c r="N57" s="1969"/>
      <c r="O57" s="1969"/>
      <c r="P57" s="1970"/>
      <c r="Q57" s="1990">
        <f>O57+M57+K57</f>
        <v>0</v>
      </c>
      <c r="R57" s="1995"/>
      <c r="S57" s="1996" t="s">
        <v>2115</v>
      </c>
    </row>
    <row r="58" spans="1:19" s="1945" customFormat="1" ht="15" x14ac:dyDescent="0.25">
      <c r="A58" s="1989"/>
      <c r="B58" s="1967" t="s">
        <v>2147</v>
      </c>
      <c r="C58" s="1993">
        <v>84.358000000000004</v>
      </c>
      <c r="D58" s="1944"/>
      <c r="E58" s="1960" t="s">
        <v>2148</v>
      </c>
      <c r="F58" s="1960"/>
      <c r="G58" s="1969"/>
      <c r="H58" s="1994"/>
      <c r="I58" s="1969">
        <v>20461</v>
      </c>
      <c r="J58" s="1970"/>
      <c r="K58" s="1969"/>
      <c r="L58" s="1969"/>
      <c r="M58" s="1969">
        <v>20461</v>
      </c>
      <c r="N58" s="1969"/>
      <c r="O58" s="1969"/>
      <c r="P58" s="1970"/>
      <c r="Q58" s="1990">
        <f>O58+M58+K58</f>
        <v>20461</v>
      </c>
      <c r="R58" s="1995"/>
      <c r="S58" s="1996">
        <v>22339</v>
      </c>
    </row>
    <row r="59" spans="1:19" s="1945" customFormat="1" ht="15" x14ac:dyDescent="0.25">
      <c r="A59" s="1966"/>
      <c r="B59" s="1944"/>
      <c r="C59" s="1997"/>
      <c r="D59" s="1944"/>
      <c r="E59" s="1967"/>
      <c r="F59" s="1960"/>
      <c r="G59" s="1969"/>
      <c r="H59" s="1969"/>
      <c r="I59" s="1969"/>
      <c r="J59" s="1970"/>
      <c r="K59" s="1969"/>
      <c r="L59" s="1969"/>
      <c r="M59" s="1969"/>
      <c r="N59" s="1969"/>
      <c r="O59" s="1969"/>
      <c r="P59" s="1970"/>
      <c r="Q59" s="1972"/>
      <c r="R59" s="1969"/>
      <c r="S59" s="1969"/>
    </row>
    <row r="60" spans="1:19" s="1945" customFormat="1" ht="15" x14ac:dyDescent="0.25">
      <c r="A60" s="1966"/>
      <c r="B60" s="1998" t="s">
        <v>758</v>
      </c>
      <c r="C60" s="1968">
        <v>84.367000000000004</v>
      </c>
      <c r="D60" s="1944"/>
      <c r="E60" s="1960" t="s">
        <v>2149</v>
      </c>
      <c r="F60" s="1966"/>
      <c r="G60" s="1969">
        <v>288</v>
      </c>
      <c r="H60" s="1970"/>
      <c r="I60" s="1969"/>
      <c r="J60" s="1969"/>
      <c r="K60" s="1969">
        <v>288</v>
      </c>
      <c r="L60" s="1969">
        <v>8406</v>
      </c>
      <c r="M60" s="1969"/>
      <c r="N60" s="1969"/>
      <c r="O60" s="1969"/>
      <c r="P60" s="1970"/>
      <c r="Q60" s="1972">
        <f>O60+M60+K60</f>
        <v>288</v>
      </c>
      <c r="R60" s="1969"/>
      <c r="S60" s="1969">
        <v>342</v>
      </c>
    </row>
    <row r="61" spans="1:19" s="1945" customFormat="1" ht="15" hidden="1" x14ac:dyDescent="0.25">
      <c r="A61" s="1966"/>
      <c r="B61" s="1998" t="s">
        <v>758</v>
      </c>
      <c r="C61" s="1968">
        <v>84.367000000000004</v>
      </c>
      <c r="D61" s="1944"/>
      <c r="E61" s="1960" t="s">
        <v>2150</v>
      </c>
      <c r="F61" s="1966"/>
      <c r="G61" s="1969"/>
      <c r="H61" s="1994"/>
      <c r="I61" s="1969"/>
      <c r="J61" s="1969"/>
      <c r="K61" s="1969"/>
      <c r="L61" s="1969"/>
      <c r="M61" s="1969"/>
      <c r="N61" s="1969"/>
      <c r="O61" s="1969"/>
      <c r="P61" s="1970"/>
      <c r="Q61" s="1972">
        <f>O61+M61+K61</f>
        <v>0</v>
      </c>
      <c r="R61" s="1969"/>
      <c r="S61" s="1999">
        <v>0</v>
      </c>
    </row>
    <row r="62" spans="1:19" s="1945" customFormat="1" ht="15" x14ac:dyDescent="0.25">
      <c r="A62" s="1966"/>
      <c r="B62" s="1998"/>
      <c r="C62" s="1968"/>
      <c r="D62" s="1944"/>
      <c r="E62" s="1960"/>
      <c r="F62" s="1966"/>
      <c r="G62" s="1969"/>
      <c r="H62" s="1994"/>
      <c r="I62" s="1969"/>
      <c r="J62" s="1969"/>
      <c r="K62" s="1969"/>
      <c r="L62" s="1969"/>
      <c r="M62" s="1969"/>
      <c r="N62" s="1969"/>
      <c r="O62" s="1969"/>
      <c r="P62" s="1969"/>
      <c r="Q62" s="1969"/>
      <c r="R62" s="1969"/>
      <c r="S62" s="1969"/>
    </row>
    <row r="63" spans="1:19" s="1945" customFormat="1" ht="15" x14ac:dyDescent="0.25">
      <c r="A63" s="1966"/>
      <c r="B63" s="1967" t="s">
        <v>2151</v>
      </c>
      <c r="C63" s="1968">
        <v>84.01</v>
      </c>
      <c r="D63" s="1944"/>
      <c r="E63" s="1960" t="s">
        <v>2152</v>
      </c>
      <c r="F63" s="1966"/>
      <c r="G63" s="1969"/>
      <c r="H63" s="1994"/>
      <c r="I63" s="1969">
        <v>12157</v>
      </c>
      <c r="J63" s="1969"/>
      <c r="K63" s="1969"/>
      <c r="L63" s="1969"/>
      <c r="M63" s="1969">
        <v>14781</v>
      </c>
      <c r="N63" s="1969"/>
      <c r="O63" s="1969"/>
      <c r="P63" s="1969"/>
      <c r="Q63" s="1972">
        <f>O63+M63+K63</f>
        <v>14781</v>
      </c>
      <c r="R63" s="1969"/>
      <c r="S63" s="1969">
        <v>15000</v>
      </c>
    </row>
    <row r="64" spans="1:19" s="1945" customFormat="1" ht="15" x14ac:dyDescent="0.25">
      <c r="A64" s="1966"/>
      <c r="B64" s="1944"/>
      <c r="C64" s="1944"/>
      <c r="D64" s="1944"/>
      <c r="E64" s="1944"/>
      <c r="F64" s="1960"/>
      <c r="G64" s="1969"/>
      <c r="H64" s="1969"/>
      <c r="I64" s="1969"/>
      <c r="J64" s="1970"/>
      <c r="K64" s="1969"/>
      <c r="L64" s="1969"/>
      <c r="M64" s="1969"/>
      <c r="N64" s="1969"/>
      <c r="O64" s="1969"/>
      <c r="P64" s="1970"/>
      <c r="Q64" s="1969"/>
      <c r="R64" s="1969"/>
      <c r="S64" s="1969"/>
    </row>
    <row r="65" spans="1:19" s="1945" customFormat="1" ht="15" x14ac:dyDescent="0.25">
      <c r="A65" s="1960"/>
      <c r="B65" s="1967" t="s">
        <v>918</v>
      </c>
      <c r="C65" s="1968">
        <v>84.01</v>
      </c>
      <c r="D65" s="1944"/>
      <c r="E65" s="1960" t="s">
        <v>2153</v>
      </c>
      <c r="F65" s="1960"/>
      <c r="G65" s="1972">
        <v>275059</v>
      </c>
      <c r="H65" s="2000"/>
      <c r="I65" s="1972">
        <v>155479</v>
      </c>
      <c r="J65" s="1972"/>
      <c r="K65" s="1972">
        <v>400368</v>
      </c>
      <c r="L65" s="1972"/>
      <c r="M65" s="1972">
        <v>30170</v>
      </c>
      <c r="N65" s="1972"/>
      <c r="O65" s="1972"/>
      <c r="P65" s="2000"/>
      <c r="Q65" s="2001">
        <f>M65+K65+O65</f>
        <v>430538</v>
      </c>
      <c r="R65" s="1972"/>
      <c r="S65" s="1972">
        <v>484421</v>
      </c>
    </row>
    <row r="66" spans="1:19" s="1945" customFormat="1" ht="15" x14ac:dyDescent="0.25">
      <c r="A66" s="1960"/>
      <c r="B66" s="1967" t="s">
        <v>918</v>
      </c>
      <c r="C66" s="1968">
        <v>84.01</v>
      </c>
      <c r="D66" s="1944"/>
      <c r="E66" s="1960" t="s">
        <v>2154</v>
      </c>
      <c r="F66" s="1966"/>
      <c r="G66" s="2002"/>
      <c r="H66" s="1994"/>
      <c r="I66" s="2002">
        <v>389147</v>
      </c>
      <c r="J66" s="2000"/>
      <c r="K66" s="2002"/>
      <c r="L66" s="1972"/>
      <c r="M66" s="2002">
        <v>434613</v>
      </c>
      <c r="N66" s="1972"/>
      <c r="O66" s="2002">
        <v>78223</v>
      </c>
      <c r="P66" s="2000"/>
      <c r="Q66" s="2002">
        <f>O66+M66+K66</f>
        <v>512836</v>
      </c>
      <c r="R66" s="1995"/>
      <c r="S66" s="1972">
        <v>530495</v>
      </c>
    </row>
    <row r="67" spans="1:19" s="1945" customFormat="1" ht="17.25" x14ac:dyDescent="0.25">
      <c r="A67" s="1960"/>
      <c r="B67" s="1967"/>
      <c r="C67" s="1968" t="s">
        <v>2155</v>
      </c>
      <c r="D67" s="1944"/>
      <c r="E67" s="1960"/>
      <c r="F67" s="1966"/>
      <c r="G67" s="1974">
        <f>SUM(G63:G66)</f>
        <v>275059</v>
      </c>
      <c r="H67" s="1994"/>
      <c r="I67" s="1974">
        <f>SUM(I63:I66)</f>
        <v>556783</v>
      </c>
      <c r="J67" s="2000"/>
      <c r="K67" s="1974">
        <f>SUM(K63:K66)</f>
        <v>400368</v>
      </c>
      <c r="L67" s="1972"/>
      <c r="M67" s="1974">
        <f>SUM(M63:M66)</f>
        <v>479564</v>
      </c>
      <c r="N67" s="1972"/>
      <c r="O67" s="1974">
        <f>SUM(O63:O66)</f>
        <v>78223</v>
      </c>
      <c r="P67" s="2000"/>
      <c r="Q67" s="1974">
        <f>SUM(Q63:Q66)</f>
        <v>958155</v>
      </c>
      <c r="R67" s="1995"/>
      <c r="S67" s="1972"/>
    </row>
    <row r="68" spans="1:19" s="1945" customFormat="1" ht="15" x14ac:dyDescent="0.25">
      <c r="A68" s="1960"/>
      <c r="B68" s="1985"/>
      <c r="C68" s="1985"/>
      <c r="D68" s="1985"/>
      <c r="E68" s="1985"/>
      <c r="F68" s="1986"/>
      <c r="G68" s="1985"/>
      <c r="H68" s="1985"/>
      <c r="I68" s="1985"/>
      <c r="J68" s="1986"/>
      <c r="K68" s="1985"/>
      <c r="L68" s="1985"/>
      <c r="M68" s="1985"/>
      <c r="N68" s="1985"/>
      <c r="O68" s="1985"/>
      <c r="P68" s="1986"/>
      <c r="Q68" s="1985"/>
      <c r="R68" s="1985"/>
      <c r="S68" s="1985"/>
    </row>
    <row r="69" spans="1:19" s="2004" customFormat="1" ht="17.25" x14ac:dyDescent="0.2">
      <c r="A69" s="2003" t="s">
        <v>2156</v>
      </c>
      <c r="C69" s="2005"/>
      <c r="D69" s="2006"/>
      <c r="E69" s="2006"/>
      <c r="F69" s="2007"/>
      <c r="G69" s="2008">
        <f>SUM(G55:G66)</f>
        <v>544817</v>
      </c>
      <c r="H69" s="2008"/>
      <c r="I69" s="2008">
        <f>SUM(I55:I66)</f>
        <v>891953</v>
      </c>
      <c r="J69" s="2008"/>
      <c r="K69" s="2008">
        <f>SUM(K55:K66)</f>
        <v>696579</v>
      </c>
      <c r="L69" s="2008"/>
      <c r="M69" s="2008">
        <f>SUM(M55:M66)</f>
        <v>847116</v>
      </c>
      <c r="N69" s="2008"/>
      <c r="O69" s="2008">
        <f>SUM(O55:O66)</f>
        <v>141101</v>
      </c>
      <c r="P69" s="2008"/>
      <c r="Q69" s="2008">
        <f>SUM(Q55:Q66)</f>
        <v>1684796</v>
      </c>
      <c r="R69" s="2008"/>
      <c r="S69" s="2009"/>
    </row>
    <row r="70" spans="1:19" s="1945" customFormat="1" ht="15" x14ac:dyDescent="0.2">
      <c r="B70" s="2010"/>
      <c r="C70" s="2011"/>
      <c r="D70" s="2010"/>
      <c r="E70" s="2012"/>
      <c r="F70" s="2013"/>
      <c r="G70" s="2014"/>
      <c r="H70" s="2014"/>
      <c r="I70" s="2014"/>
      <c r="J70" s="2015"/>
      <c r="K70" s="2014"/>
      <c r="L70" s="2014"/>
      <c r="M70" s="2014"/>
      <c r="N70" s="2014"/>
      <c r="O70" s="2014"/>
      <c r="P70" s="2015"/>
      <c r="Q70" s="2016"/>
      <c r="R70" s="2014"/>
      <c r="S70" s="2014"/>
    </row>
    <row r="71" spans="1:19" s="1945" customFormat="1" ht="17.25" x14ac:dyDescent="0.2">
      <c r="A71" s="2018" t="s">
        <v>2157</v>
      </c>
      <c r="B71" s="2010"/>
      <c r="C71" s="2011"/>
      <c r="D71" s="2010"/>
      <c r="E71" s="2012"/>
      <c r="F71" s="2013"/>
      <c r="G71" s="2019"/>
      <c r="H71" s="2014"/>
      <c r="I71" s="2019"/>
      <c r="J71" s="2015"/>
      <c r="K71" s="2019"/>
      <c r="L71" s="2014"/>
      <c r="M71" s="2019"/>
      <c r="N71" s="2014"/>
      <c r="O71" s="2019"/>
      <c r="P71" s="2015"/>
      <c r="Q71" s="2019"/>
      <c r="R71" s="2014"/>
      <c r="S71" s="2014"/>
    </row>
    <row r="72" spans="1:19" s="1945" customFormat="1" ht="17.25" x14ac:dyDescent="0.2">
      <c r="A72" s="2018" t="s">
        <v>2111</v>
      </c>
      <c r="B72" s="2010"/>
      <c r="C72" s="2011"/>
      <c r="D72" s="2010"/>
      <c r="E72" s="2012"/>
      <c r="F72" s="2013"/>
      <c r="G72" s="2019"/>
      <c r="H72" s="2014"/>
      <c r="I72" s="2019"/>
      <c r="J72" s="2015"/>
      <c r="K72" s="2019"/>
      <c r="L72" s="2014"/>
      <c r="M72" s="2019"/>
      <c r="N72" s="2014"/>
      <c r="O72" s="2019"/>
      <c r="P72" s="2015"/>
      <c r="Q72" s="2019"/>
      <c r="R72" s="2014"/>
      <c r="S72" s="2014"/>
    </row>
    <row r="73" spans="1:19" s="1945" customFormat="1" ht="15" x14ac:dyDescent="0.2">
      <c r="A73" s="2018" t="s">
        <v>2158</v>
      </c>
      <c r="B73" s="2010"/>
      <c r="C73" s="2011"/>
      <c r="D73" s="2010"/>
      <c r="E73" s="2012"/>
      <c r="F73" s="2013"/>
      <c r="G73" s="2014"/>
      <c r="H73" s="2014"/>
      <c r="I73" s="2014" t="s">
        <v>1169</v>
      </c>
      <c r="J73" s="2015"/>
      <c r="K73" s="2014"/>
      <c r="L73" s="2014"/>
      <c r="M73" s="2014"/>
      <c r="N73" s="2014"/>
      <c r="O73" s="2014"/>
      <c r="P73" s="2015"/>
      <c r="Q73" s="2016"/>
      <c r="R73" s="2014"/>
      <c r="S73" s="2014"/>
    </row>
    <row r="74" spans="1:19" s="1945" customFormat="1" ht="15" x14ac:dyDescent="0.2">
      <c r="A74" s="2018"/>
      <c r="B74" s="2010"/>
      <c r="C74" s="2011"/>
      <c r="D74" s="2010"/>
      <c r="E74" s="2012"/>
      <c r="F74" s="2013"/>
      <c r="G74" s="2014"/>
      <c r="H74" s="2014"/>
      <c r="I74" s="2014"/>
      <c r="J74" s="2015"/>
      <c r="K74" s="2014"/>
      <c r="L74" s="2014"/>
      <c r="M74" s="2014"/>
      <c r="N74" s="2014"/>
      <c r="O74" s="2014"/>
      <c r="P74" s="2015"/>
      <c r="Q74" s="2016"/>
      <c r="R74" s="2014"/>
      <c r="S74" s="2014"/>
    </row>
    <row r="75" spans="1:19" s="1945" customFormat="1" ht="15" x14ac:dyDescent="0.25">
      <c r="A75" s="2018"/>
      <c r="B75" s="2020" t="s">
        <v>2159</v>
      </c>
      <c r="C75" s="2011">
        <v>93.778000000000006</v>
      </c>
      <c r="D75" s="2010"/>
      <c r="E75" s="2013" t="s">
        <v>2160</v>
      </c>
      <c r="F75" s="2013"/>
      <c r="G75" s="2014">
        <v>22190</v>
      </c>
      <c r="H75" s="2014"/>
      <c r="I75" s="2014">
        <v>8489</v>
      </c>
      <c r="J75" s="2015"/>
      <c r="K75" s="2014">
        <v>31956</v>
      </c>
      <c r="L75" s="2014"/>
      <c r="M75" s="2014">
        <v>0</v>
      </c>
      <c r="N75" s="2014"/>
      <c r="O75" s="2014"/>
      <c r="P75" s="2015"/>
      <c r="Q75" s="1972">
        <f>O75+M75+K75</f>
        <v>31956</v>
      </c>
      <c r="R75" s="2014"/>
      <c r="S75" s="2015" t="s">
        <v>2115</v>
      </c>
    </row>
    <row r="76" spans="1:19" s="1945" customFormat="1" ht="16.5" customHeight="1" x14ac:dyDescent="0.2">
      <c r="A76" s="2010"/>
      <c r="B76" s="2010" t="s">
        <v>2159</v>
      </c>
      <c r="C76" s="2011">
        <v>93.778000000000006</v>
      </c>
      <c r="D76" s="2010"/>
      <c r="E76" s="2013" t="s">
        <v>2161</v>
      </c>
      <c r="F76" s="2013"/>
      <c r="G76" s="2019">
        <v>0</v>
      </c>
      <c r="H76" s="2016"/>
      <c r="I76" s="2019">
        <v>22060</v>
      </c>
      <c r="J76" s="2021"/>
      <c r="K76" s="2019">
        <v>0</v>
      </c>
      <c r="L76" s="2022"/>
      <c r="M76" s="2019">
        <v>22979</v>
      </c>
      <c r="N76" s="2022"/>
      <c r="O76" s="2019">
        <v>0</v>
      </c>
      <c r="P76" s="2021"/>
      <c r="Q76" s="2019">
        <f>K76+O76+M76</f>
        <v>22979</v>
      </c>
      <c r="R76" s="2022"/>
      <c r="S76" s="2015" t="s">
        <v>2115</v>
      </c>
    </row>
    <row r="77" spans="1:19" s="1945" customFormat="1" ht="17.25" x14ac:dyDescent="0.25">
      <c r="B77" s="2010"/>
      <c r="C77" s="1968" t="s">
        <v>2162</v>
      </c>
      <c r="D77" s="2010"/>
      <c r="E77" s="2010"/>
      <c r="F77" s="2013"/>
      <c r="G77" s="2019"/>
      <c r="H77" s="2014"/>
      <c r="I77" s="2014"/>
      <c r="J77" s="2015"/>
      <c r="K77" s="2014"/>
      <c r="L77" s="2014"/>
      <c r="M77" s="2014"/>
      <c r="N77" s="2014"/>
      <c r="O77" s="2014"/>
      <c r="P77" s="2015"/>
      <c r="Q77" s="2014"/>
      <c r="R77" s="2014"/>
      <c r="S77" s="2014"/>
    </row>
    <row r="78" spans="1:19" s="1945" customFormat="1" ht="17.25" x14ac:dyDescent="0.2">
      <c r="A78" s="2018" t="s">
        <v>2163</v>
      </c>
      <c r="B78" s="2010"/>
      <c r="C78" s="2011"/>
      <c r="D78" s="2010"/>
      <c r="E78" s="2010"/>
      <c r="F78" s="2013"/>
      <c r="G78" s="2019">
        <f>SUM(G73:G77)</f>
        <v>22190</v>
      </c>
      <c r="H78" s="2019"/>
      <c r="I78" s="2019">
        <f>SUM(I73:I77)</f>
        <v>30549</v>
      </c>
      <c r="J78" s="2019"/>
      <c r="K78" s="2019">
        <f>SUM(K75:K77)</f>
        <v>31956</v>
      </c>
      <c r="L78" s="2019"/>
      <c r="M78" s="2019">
        <f>SUM(M73:M77)</f>
        <v>22979</v>
      </c>
      <c r="N78" s="2019"/>
      <c r="O78" s="2019">
        <f>SUM(O73:O76)</f>
        <v>0</v>
      </c>
      <c r="P78" s="2019"/>
      <c r="Q78" s="2019">
        <f>SUM(Q73:Q77)</f>
        <v>54935</v>
      </c>
      <c r="R78" s="2019"/>
      <c r="S78" s="2014"/>
    </row>
    <row r="79" spans="1:19" s="1945" customFormat="1" ht="15" x14ac:dyDescent="0.25">
      <c r="A79" s="1960"/>
      <c r="B79" s="1944"/>
      <c r="C79" s="1944"/>
      <c r="D79" s="1944"/>
      <c r="E79" s="1944"/>
      <c r="F79" s="1960"/>
      <c r="G79" s="1969"/>
      <c r="H79" s="1969"/>
      <c r="I79" s="1969"/>
      <c r="J79" s="1970"/>
      <c r="K79" s="1969"/>
      <c r="L79" s="1969"/>
      <c r="M79" s="1969"/>
      <c r="N79" s="1969"/>
      <c r="O79" s="1969"/>
      <c r="P79" s="1970"/>
      <c r="Q79" s="1969"/>
      <c r="R79" s="1969"/>
      <c r="S79" s="1969"/>
    </row>
    <row r="80" spans="1:19" s="1951" customFormat="1" ht="17.25" x14ac:dyDescent="0.2">
      <c r="A80" s="1987" t="s">
        <v>2164</v>
      </c>
      <c r="B80" s="1949"/>
      <c r="C80" s="1949"/>
      <c r="D80" s="1949"/>
      <c r="E80" s="1949"/>
      <c r="F80" s="1947"/>
      <c r="G80" s="2023">
        <f>+G78+G69+G38</f>
        <v>859458</v>
      </c>
      <c r="H80" s="2023"/>
      <c r="I80" s="2023">
        <f>+I78+I69+I38</f>
        <v>1486322</v>
      </c>
      <c r="J80" s="2023"/>
      <c r="K80" s="2023">
        <f>+K78+K69+K38</f>
        <v>1068921</v>
      </c>
      <c r="L80" s="2023"/>
      <c r="M80" s="2023">
        <f>+M78+M69+M38</f>
        <v>1486672</v>
      </c>
      <c r="N80" s="2023"/>
      <c r="O80" s="2023">
        <f>+O78+O69+O38</f>
        <v>141101</v>
      </c>
      <c r="P80" s="2023"/>
      <c r="Q80" s="2023">
        <f>+Q78+Q69+Q38</f>
        <v>2696694</v>
      </c>
      <c r="R80" s="1983"/>
      <c r="S80" s="2023"/>
    </row>
    <row r="81" spans="1:19" s="2010" customFormat="1" ht="17.25" hidden="1" x14ac:dyDescent="0.4">
      <c r="A81" s="1964"/>
      <c r="B81" s="1944"/>
      <c r="C81" s="1944"/>
      <c r="D81" s="1944"/>
      <c r="E81" s="1944"/>
      <c r="F81" s="1960"/>
      <c r="G81" s="2024"/>
      <c r="H81" s="2024"/>
      <c r="I81" s="2024"/>
      <c r="J81" s="2024"/>
      <c r="K81" s="2024"/>
      <c r="L81" s="2024"/>
      <c r="M81" s="2024"/>
      <c r="N81" s="2024"/>
      <c r="O81" s="2024"/>
      <c r="P81" s="2024"/>
      <c r="Q81" s="2024"/>
      <c r="R81" s="1969"/>
      <c r="S81" s="1969"/>
    </row>
    <row r="82" spans="1:19" s="1945" customFormat="1" ht="20.25" customHeight="1" x14ac:dyDescent="0.4">
      <c r="A82" s="1964"/>
      <c r="B82" s="1944"/>
      <c r="C82" s="1944"/>
      <c r="D82" s="1944"/>
      <c r="E82" s="1944"/>
      <c r="F82" s="1960"/>
      <c r="G82" s="2024"/>
      <c r="H82" s="2024"/>
      <c r="I82" s="2024"/>
      <c r="J82" s="2024"/>
      <c r="K82" s="2024"/>
      <c r="L82" s="2024"/>
      <c r="M82" s="2024"/>
      <c r="N82" s="2024"/>
      <c r="O82" s="2024"/>
      <c r="P82" s="2024"/>
      <c r="Q82" s="2024"/>
      <c r="R82" s="1969"/>
      <c r="S82" s="1969"/>
    </row>
    <row r="83" spans="1:19" s="1945" customFormat="1" ht="17.25" x14ac:dyDescent="0.4">
      <c r="A83" s="1964"/>
      <c r="B83" s="1944"/>
      <c r="C83" s="1944"/>
      <c r="D83" s="1944"/>
      <c r="E83" s="1944"/>
      <c r="F83" s="1960"/>
      <c r="G83" s="2024"/>
      <c r="H83" s="2024"/>
      <c r="I83" s="2024"/>
      <c r="J83" s="2024"/>
      <c r="K83" s="2024"/>
      <c r="L83" s="2024"/>
      <c r="M83" s="2024"/>
      <c r="N83" s="2024"/>
      <c r="O83" s="2024"/>
      <c r="P83" s="2024"/>
      <c r="Q83" s="2024"/>
      <c r="R83" s="1969"/>
      <c r="S83" s="1969"/>
    </row>
    <row r="84" spans="1:19" s="1945" customFormat="1" ht="15" x14ac:dyDescent="0.25">
      <c r="A84" s="1964" t="s">
        <v>2165</v>
      </c>
      <c r="B84" s="1944"/>
      <c r="C84" s="1944"/>
      <c r="D84" s="1944"/>
      <c r="E84" s="1944"/>
      <c r="F84" s="1960"/>
      <c r="G84" s="1969">
        <f>+G38+G69</f>
        <v>837268</v>
      </c>
      <c r="H84" s="1969"/>
      <c r="I84" s="1969">
        <f>+I38+I69</f>
        <v>1455773</v>
      </c>
      <c r="J84" s="1969"/>
      <c r="K84" s="1969">
        <f>+K38+K69</f>
        <v>1036965</v>
      </c>
      <c r="L84" s="1969"/>
      <c r="M84" s="1969">
        <f>+M38+M69</f>
        <v>1463693</v>
      </c>
      <c r="N84" s="1969"/>
      <c r="O84" s="1969">
        <f>+O38+O69</f>
        <v>141101</v>
      </c>
      <c r="P84" s="1969"/>
      <c r="Q84" s="1969">
        <f>+Q38+Q69</f>
        <v>2641759</v>
      </c>
      <c r="R84" s="1969"/>
      <c r="S84" s="1969">
        <f>+S38+S69</f>
        <v>0</v>
      </c>
    </row>
    <row r="85" spans="1:19" s="1945" customFormat="1" ht="15" x14ac:dyDescent="0.25">
      <c r="A85" s="1964"/>
      <c r="B85" s="1944"/>
      <c r="C85" s="1944"/>
      <c r="D85" s="1944"/>
      <c r="E85" s="1944"/>
      <c r="F85" s="1960"/>
      <c r="G85" s="1969"/>
      <c r="H85" s="1969"/>
      <c r="I85" s="1969"/>
      <c r="J85" s="1969"/>
      <c r="K85" s="1969"/>
      <c r="L85" s="1969"/>
      <c r="M85" s="1969"/>
      <c r="N85" s="1969"/>
      <c r="O85" s="1969"/>
      <c r="P85" s="1969"/>
      <c r="Q85" s="1969"/>
      <c r="R85" s="1969"/>
      <c r="S85" s="1969"/>
    </row>
    <row r="86" spans="1:19" s="1945" customFormat="1" ht="17.25" x14ac:dyDescent="0.4">
      <c r="A86" s="1964" t="s">
        <v>2166</v>
      </c>
      <c r="B86" s="1944"/>
      <c r="C86" s="1944"/>
      <c r="D86" s="1944"/>
      <c r="E86" s="1944"/>
      <c r="F86" s="1960"/>
      <c r="G86" s="1975">
        <f>+G78</f>
        <v>22190</v>
      </c>
      <c r="H86" s="1975"/>
      <c r="I86" s="1975">
        <f>+I78</f>
        <v>30549</v>
      </c>
      <c r="J86" s="1975"/>
      <c r="K86" s="1975">
        <f>+K78</f>
        <v>31956</v>
      </c>
      <c r="L86" s="1975"/>
      <c r="M86" s="1975">
        <f>+M78</f>
        <v>22979</v>
      </c>
      <c r="N86" s="1975"/>
      <c r="O86" s="1975">
        <f>+O78</f>
        <v>0</v>
      </c>
      <c r="P86" s="1975"/>
      <c r="Q86" s="1975">
        <f>+Q78</f>
        <v>54935</v>
      </c>
      <c r="R86" s="1969"/>
      <c r="S86" s="1969">
        <f>+S78</f>
        <v>0</v>
      </c>
    </row>
    <row r="87" spans="1:19" s="1945" customFormat="1" ht="17.25" x14ac:dyDescent="0.4">
      <c r="A87" s="1964"/>
      <c r="B87" s="1944"/>
      <c r="C87" s="1944"/>
      <c r="D87" s="1944"/>
      <c r="E87" s="1944"/>
      <c r="F87" s="1960"/>
      <c r="G87" s="1975"/>
      <c r="H87" s="1975"/>
      <c r="I87" s="1975"/>
      <c r="J87" s="1975"/>
      <c r="K87" s="1975"/>
      <c r="L87" s="1975"/>
      <c r="M87" s="1975"/>
      <c r="N87" s="1975"/>
      <c r="O87" s="1975"/>
      <c r="P87" s="1975"/>
      <c r="Q87" s="1975"/>
      <c r="R87" s="1969"/>
      <c r="S87" s="1969"/>
    </row>
    <row r="88" spans="1:19" s="1945" customFormat="1" ht="17.25" x14ac:dyDescent="0.4">
      <c r="A88" s="1964" t="s">
        <v>2164</v>
      </c>
      <c r="B88" s="1944"/>
      <c r="C88" s="1944"/>
      <c r="D88" s="1944"/>
      <c r="E88" s="1944"/>
      <c r="F88" s="1960"/>
      <c r="G88" s="2024">
        <f>G84+G86</f>
        <v>859458</v>
      </c>
      <c r="H88" s="2024"/>
      <c r="I88" s="2024">
        <f>I84+I86</f>
        <v>1486322</v>
      </c>
      <c r="J88" s="2024"/>
      <c r="K88" s="2024">
        <f>K84+K86</f>
        <v>1068921</v>
      </c>
      <c r="L88" s="2024"/>
      <c r="M88" s="2024">
        <f>M84+M86</f>
        <v>1486672</v>
      </c>
      <c r="N88" s="2024"/>
      <c r="O88" s="2024">
        <f>O84+O86</f>
        <v>141101</v>
      </c>
      <c r="P88" s="2024"/>
      <c r="Q88" s="2024">
        <f>Q84+Q86</f>
        <v>2696694</v>
      </c>
      <c r="R88" s="1969"/>
      <c r="S88" s="2025"/>
    </row>
    <row r="89" spans="1:19" s="1945" customFormat="1" ht="17.25" x14ac:dyDescent="0.4">
      <c r="A89" s="1964"/>
      <c r="B89" s="1944"/>
      <c r="C89" s="1944"/>
      <c r="D89" s="1944"/>
      <c r="E89" s="1944"/>
      <c r="F89" s="1960"/>
      <c r="G89" s="2024"/>
      <c r="H89" s="2024"/>
      <c r="I89" s="2024"/>
      <c r="J89" s="2024"/>
      <c r="K89" s="2024"/>
      <c r="L89" s="2024"/>
      <c r="M89" s="2024"/>
      <c r="N89" s="2024"/>
      <c r="O89" s="2024"/>
      <c r="P89" s="2024"/>
      <c r="Q89" s="2024"/>
      <c r="R89" s="1969"/>
      <c r="S89" s="1977"/>
    </row>
    <row r="90" spans="1:19" s="1945" customFormat="1" ht="15" x14ac:dyDescent="0.25">
      <c r="A90" s="1981" t="s">
        <v>2167</v>
      </c>
      <c r="B90" s="1944"/>
      <c r="C90" s="2026"/>
      <c r="D90" s="1944"/>
      <c r="E90" s="1944"/>
      <c r="F90" s="1960"/>
      <c r="G90" s="1969"/>
      <c r="H90" s="1969"/>
      <c r="I90" s="1969"/>
      <c r="J90" s="1970"/>
      <c r="K90" s="1969"/>
      <c r="L90" s="1969"/>
      <c r="M90" s="1969" t="s">
        <v>1169</v>
      </c>
      <c r="N90" s="1969"/>
      <c r="O90" s="1969"/>
      <c r="P90" s="1970"/>
      <c r="Q90" s="1969"/>
      <c r="R90" s="1969"/>
      <c r="S90" s="1969"/>
    </row>
    <row r="91" spans="1:19" s="1945" customFormat="1" ht="15" x14ac:dyDescent="0.25">
      <c r="A91" s="1998" t="s">
        <v>2168</v>
      </c>
      <c r="B91" s="1967"/>
      <c r="C91" s="1944"/>
      <c r="D91" s="1944"/>
      <c r="E91" s="1944"/>
      <c r="F91" s="1960"/>
      <c r="G91" s="1969"/>
      <c r="H91" s="1969"/>
      <c r="I91" s="1969"/>
      <c r="J91" s="1970"/>
      <c r="K91" s="1969"/>
      <c r="L91" s="1969"/>
      <c r="M91" s="1969" t="s">
        <v>1169</v>
      </c>
      <c r="N91" s="1969"/>
      <c r="O91" s="1969"/>
      <c r="P91" s="1970"/>
      <c r="Q91" s="1969"/>
      <c r="R91" s="1969"/>
      <c r="S91" s="1969"/>
    </row>
    <row r="92" spans="1:19" s="1945" customFormat="1" ht="15" x14ac:dyDescent="0.25">
      <c r="A92" s="1967" t="s">
        <v>2169</v>
      </c>
      <c r="B92" s="1985"/>
      <c r="C92" s="1985"/>
      <c r="D92" s="1985"/>
      <c r="E92" s="1985"/>
      <c r="F92" s="1986"/>
      <c r="G92" s="2027"/>
      <c r="H92" s="2028"/>
      <c r="I92" s="2027"/>
      <c r="J92" s="2029"/>
      <c r="K92" s="2027" t="s">
        <v>1169</v>
      </c>
      <c r="L92" s="2028"/>
      <c r="M92" s="2027"/>
      <c r="N92" s="2028"/>
      <c r="O92" s="2027" t="s">
        <v>1169</v>
      </c>
      <c r="P92" s="2029"/>
      <c r="Q92" s="2027" t="s">
        <v>1169</v>
      </c>
      <c r="R92" s="2028"/>
      <c r="S92" s="2027" t="s">
        <v>1169</v>
      </c>
    </row>
    <row r="93" spans="1:19" s="1945" customFormat="1" ht="15" x14ac:dyDescent="0.2">
      <c r="A93" s="2030" t="s">
        <v>2170</v>
      </c>
      <c r="C93" s="2031"/>
      <c r="F93" s="2017"/>
      <c r="G93" s="2032"/>
      <c r="H93" s="2032"/>
      <c r="I93" s="2032"/>
      <c r="J93" s="2033"/>
      <c r="K93" s="2032"/>
      <c r="L93" s="2032"/>
      <c r="M93" s="2032"/>
      <c r="N93" s="2032"/>
      <c r="O93" s="2032"/>
      <c r="P93" s="2033"/>
      <c r="Q93" s="2032"/>
      <c r="R93" s="2032"/>
      <c r="S93" s="2032"/>
    </row>
    <row r="94" spans="1:19" s="1945" customFormat="1" ht="15" x14ac:dyDescent="0.2">
      <c r="A94" s="2034" t="s">
        <v>2171</v>
      </c>
      <c r="C94" s="2031"/>
      <c r="F94" s="2017"/>
      <c r="G94" s="2032"/>
      <c r="H94" s="2032"/>
      <c r="I94" s="2032"/>
      <c r="J94" s="2033"/>
      <c r="K94" s="2032"/>
      <c r="L94" s="2032"/>
      <c r="M94" s="2032"/>
      <c r="N94" s="2032"/>
      <c r="O94" s="2032"/>
      <c r="P94" s="2033"/>
      <c r="Q94" s="2032"/>
      <c r="R94" s="2032"/>
      <c r="S94" s="2032"/>
    </row>
    <row r="95" spans="1:19" s="2035" customFormat="1" ht="23.45" customHeight="1" x14ac:dyDescent="0.2">
      <c r="A95" s="2626"/>
      <c r="B95" s="2626"/>
      <c r="C95" s="2626"/>
      <c r="D95" s="2626"/>
      <c r="E95" s="2626"/>
      <c r="F95" s="2626"/>
      <c r="G95" s="2626"/>
      <c r="H95" s="2626"/>
      <c r="I95" s="2626"/>
      <c r="J95" s="2626"/>
      <c r="K95" s="2626"/>
      <c r="L95" s="2626"/>
      <c r="M95" s="2626"/>
    </row>
    <row r="96" spans="1:19" s="2035" customFormat="1" ht="13.5" customHeight="1" x14ac:dyDescent="0.2">
      <c r="A96" s="2627"/>
      <c r="B96" s="2627"/>
      <c r="C96" s="2627"/>
      <c r="D96" s="2627"/>
      <c r="E96" s="2627"/>
      <c r="F96" s="2627"/>
      <c r="G96" s="2627"/>
      <c r="H96" s="2627"/>
      <c r="I96" s="2627"/>
      <c r="J96" s="2627"/>
      <c r="K96" s="2627"/>
      <c r="L96" s="2627"/>
      <c r="M96" s="2627"/>
    </row>
    <row r="97" spans="1:13" s="2035" customFormat="1" ht="13.5" customHeight="1" x14ac:dyDescent="0.2">
      <c r="A97" s="2628"/>
      <c r="B97" s="2628"/>
      <c r="C97" s="2628"/>
      <c r="D97" s="2628"/>
      <c r="E97" s="2628"/>
      <c r="F97" s="2628"/>
      <c r="G97" s="2628"/>
      <c r="H97" s="2628"/>
      <c r="I97" s="2628"/>
      <c r="J97" s="2628"/>
      <c r="K97" s="2628"/>
      <c r="L97" s="2628"/>
      <c r="M97" s="2628"/>
    </row>
    <row r="98" spans="1:13" s="2035" customFormat="1" ht="13.5" customHeight="1" x14ac:dyDescent="0.2">
      <c r="A98" s="2036"/>
      <c r="B98" s="2036"/>
      <c r="C98" s="2036"/>
      <c r="D98" s="2036"/>
      <c r="E98" s="2036"/>
      <c r="F98" s="2036"/>
      <c r="G98" s="2036"/>
      <c r="H98" s="2036"/>
      <c r="I98" s="2036"/>
      <c r="J98" s="2036"/>
      <c r="K98" s="2036"/>
      <c r="L98" s="2036"/>
      <c r="M98" s="2036"/>
    </row>
    <row r="99" spans="1:13" s="2035" customFormat="1" ht="13.5" customHeight="1" x14ac:dyDescent="0.2">
      <c r="A99" s="2037"/>
      <c r="B99" s="2038"/>
      <c r="C99" s="2039"/>
      <c r="D99" s="2040"/>
      <c r="E99" s="2040"/>
      <c r="F99" s="2040"/>
      <c r="G99" s="2040"/>
      <c r="H99" s="2040"/>
      <c r="I99" s="2040"/>
      <c r="J99" s="2040"/>
    </row>
    <row r="100" spans="1:13" s="2035" customFormat="1" ht="13.5" customHeight="1" x14ac:dyDescent="0.2">
      <c r="A100" s="2037"/>
      <c r="B100" s="2038"/>
      <c r="C100" s="2039"/>
      <c r="D100" s="2040"/>
      <c r="E100" s="2040"/>
      <c r="F100" s="2040"/>
      <c r="G100" s="2040"/>
      <c r="H100" s="2040"/>
      <c r="I100" s="2040"/>
      <c r="J100" s="2040"/>
    </row>
    <row r="101" spans="1:13" s="2035" customFormat="1" ht="13.5" customHeight="1" x14ac:dyDescent="0.2">
      <c r="A101" s="2040"/>
      <c r="B101" s="2041"/>
      <c r="C101" s="2042"/>
    </row>
    <row r="102" spans="1:13" s="2035" customFormat="1" ht="13.5" customHeight="1" x14ac:dyDescent="0.2">
      <c r="A102" s="2040"/>
      <c r="B102" s="2041"/>
      <c r="C102" s="2042"/>
    </row>
    <row r="103" spans="1:13" s="2035" customFormat="1" ht="13.5" customHeight="1" x14ac:dyDescent="0.2">
      <c r="A103" s="2040"/>
      <c r="B103" s="2041"/>
      <c r="C103" s="2042"/>
    </row>
    <row r="104" spans="1:13" s="2043" customFormat="1" ht="13.5" customHeight="1" x14ac:dyDescent="0.15">
      <c r="B104" s="2044"/>
      <c r="C104" s="2045"/>
      <c r="F104" s="2046"/>
      <c r="G104" s="2046"/>
      <c r="H104" s="2046"/>
      <c r="I104" s="2046"/>
      <c r="J104" s="2047"/>
    </row>
  </sheetData>
  <mergeCells count="7">
    <mergeCell ref="A95:M95"/>
    <mergeCell ref="A96:M96"/>
    <mergeCell ref="A97:M97"/>
    <mergeCell ref="A1:S1"/>
    <mergeCell ref="A2:S2"/>
    <mergeCell ref="A3:S3"/>
    <mergeCell ref="A4:S4"/>
  </mergeCells>
  <printOptions horizontalCentered="1" gridLinesSet="0"/>
  <pageMargins left="0.25" right="0.25" top="0.5" bottom="0.25" header="0.5" footer="0.25"/>
  <pageSetup scale="70" fitToWidth="2" fitToHeight="6" orientation="landscape" r:id="rId1"/>
  <headerFooter alignWithMargins="0">
    <oddFooter>&amp;L&amp;"Times New Roman,Regular"See the accompanying Notes to Schedule of Expenditures of Federal Awards.</oddFooter>
  </headerFooter>
  <rowBreaks count="1" manualBreakCount="1">
    <brk id="5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43" t="s">
        <v>1168</v>
      </c>
      <c r="B2" s="2243"/>
      <c r="C2" s="2243"/>
      <c r="D2" s="2243"/>
      <c r="E2" s="2243"/>
      <c r="F2" s="2243"/>
      <c r="G2" s="2243"/>
      <c r="H2" s="2243"/>
      <c r="I2" s="2243"/>
      <c r="J2" s="224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57" t="s">
        <v>1633</v>
      </c>
      <c r="B35" s="2258"/>
      <c r="C35" s="2258"/>
      <c r="D35" s="2258"/>
      <c r="E35" s="2259"/>
      <c r="F35" s="2259"/>
      <c r="G35" s="2259"/>
      <c r="H35" s="2259"/>
      <c r="I35" s="225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57" t="s">
        <v>313</v>
      </c>
      <c r="B47" s="2260"/>
      <c r="C47" s="2260"/>
      <c r="D47" s="2260"/>
      <c r="E47" s="2261"/>
      <c r="F47" s="2261"/>
      <c r="G47" s="2261"/>
      <c r="H47" s="2261"/>
      <c r="I47" s="226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2075</v>
      </c>
      <c r="C53" s="179">
        <v>22</v>
      </c>
      <c r="D53" s="247" t="s">
        <v>1462</v>
      </c>
      <c r="E53" s="248"/>
      <c r="F53" s="249"/>
      <c r="G53" s="249" t="s">
        <v>1461</v>
      </c>
      <c r="H53" s="250">
        <v>36251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64"/>
      <c r="C57" s="2265"/>
      <c r="D57" s="2265"/>
      <c r="E57" s="2265"/>
      <c r="F57" s="2265"/>
      <c r="G57" s="2265"/>
      <c r="H57" s="2265"/>
      <c r="I57" s="2265"/>
      <c r="J57" s="2266"/>
    </row>
    <row r="58" spans="1:10" s="181" customFormat="1" x14ac:dyDescent="0.2">
      <c r="A58" s="253"/>
      <c r="B58" s="2267"/>
      <c r="C58" s="2268"/>
      <c r="D58" s="2268"/>
      <c r="E58" s="2268"/>
      <c r="F58" s="2268"/>
      <c r="G58" s="2268"/>
      <c r="H58" s="2268"/>
      <c r="I58" s="2268"/>
      <c r="J58" s="2269"/>
    </row>
    <row r="59" spans="1:10" s="181" customFormat="1" x14ac:dyDescent="0.2">
      <c r="A59" s="253"/>
      <c r="B59" s="2267"/>
      <c r="C59" s="2268"/>
      <c r="D59" s="2268"/>
      <c r="E59" s="2268"/>
      <c r="F59" s="2268"/>
      <c r="G59" s="2268"/>
      <c r="H59" s="2268"/>
      <c r="I59" s="2268"/>
      <c r="J59" s="2269"/>
    </row>
    <row r="60" spans="1:10" s="181" customFormat="1" x14ac:dyDescent="0.2">
      <c r="A60" s="253"/>
      <c r="B60" s="2267"/>
      <c r="C60" s="2268"/>
      <c r="D60" s="2268"/>
      <c r="E60" s="2268"/>
      <c r="F60" s="2268"/>
      <c r="G60" s="2268"/>
      <c r="H60" s="2268"/>
      <c r="I60" s="2268"/>
      <c r="J60" s="2269"/>
    </row>
    <row r="61" spans="1:10" s="181" customFormat="1" x14ac:dyDescent="0.2">
      <c r="A61" s="253"/>
      <c r="B61" s="2267"/>
      <c r="C61" s="2268"/>
      <c r="D61" s="2268"/>
      <c r="E61" s="2268"/>
      <c r="F61" s="2268"/>
      <c r="G61" s="2268"/>
      <c r="H61" s="2268"/>
      <c r="I61" s="2268"/>
      <c r="J61" s="2269"/>
    </row>
    <row r="62" spans="1:10" s="181" customFormat="1" x14ac:dyDescent="0.2">
      <c r="A62" s="253"/>
      <c r="B62" s="2267"/>
      <c r="C62" s="2268"/>
      <c r="D62" s="2268"/>
      <c r="E62" s="2268"/>
      <c r="F62" s="2268"/>
      <c r="G62" s="2268"/>
      <c r="H62" s="2268"/>
      <c r="I62" s="2268"/>
      <c r="J62" s="2269"/>
    </row>
    <row r="63" spans="1:10" s="181" customFormat="1" x14ac:dyDescent="0.2">
      <c r="A63" s="253"/>
      <c r="B63" s="2267"/>
      <c r="C63" s="2268"/>
      <c r="D63" s="2268"/>
      <c r="E63" s="2268"/>
      <c r="F63" s="2268"/>
      <c r="G63" s="2268"/>
      <c r="H63" s="2268"/>
      <c r="I63" s="2268"/>
      <c r="J63" s="2269"/>
    </row>
    <row r="64" spans="1:10" s="181" customFormat="1" x14ac:dyDescent="0.2">
      <c r="A64" s="253"/>
      <c r="B64" s="2267"/>
      <c r="C64" s="2268"/>
      <c r="D64" s="2268"/>
      <c r="E64" s="2268"/>
      <c r="F64" s="2268"/>
      <c r="G64" s="2268"/>
      <c r="H64" s="2268"/>
      <c r="I64" s="2268"/>
      <c r="J64" s="2269"/>
    </row>
    <row r="65" spans="1:10" s="181" customFormat="1" x14ac:dyDescent="0.2">
      <c r="A65" s="253"/>
      <c r="B65" s="2267"/>
      <c r="C65" s="2268"/>
      <c r="D65" s="2268"/>
      <c r="E65" s="2268"/>
      <c r="F65" s="2268"/>
      <c r="G65" s="2268"/>
      <c r="H65" s="2268"/>
      <c r="I65" s="2268"/>
      <c r="J65" s="2269"/>
    </row>
    <row r="66" spans="1:10" s="181" customFormat="1" x14ac:dyDescent="0.2">
      <c r="A66" s="253"/>
      <c r="B66" s="2267"/>
      <c r="C66" s="2268"/>
      <c r="D66" s="2268"/>
      <c r="E66" s="2268"/>
      <c r="F66" s="2268"/>
      <c r="G66" s="2268"/>
      <c r="H66" s="2268"/>
      <c r="I66" s="2268"/>
      <c r="J66" s="2269"/>
    </row>
    <row r="67" spans="1:10" s="181" customFormat="1" ht="9" customHeight="1" x14ac:dyDescent="0.2">
      <c r="A67" s="254"/>
      <c r="B67" s="2270"/>
      <c r="C67" s="2271"/>
      <c r="D67" s="2271"/>
      <c r="E67" s="2271"/>
      <c r="F67" s="2271"/>
      <c r="G67" s="2271"/>
      <c r="H67" s="2271"/>
      <c r="I67" s="2271"/>
      <c r="J67" s="227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57" t="s">
        <v>1323</v>
      </c>
      <c r="B70" s="2260"/>
      <c r="C70" s="2260"/>
      <c r="D70" s="2260"/>
      <c r="E70" s="2261"/>
      <c r="F70" s="2261"/>
      <c r="G70" s="2261"/>
      <c r="H70" s="2261"/>
      <c r="I70" s="226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62" t="s">
        <v>1320</v>
      </c>
      <c r="B83" s="2262"/>
      <c r="C83" s="2262"/>
      <c r="D83" s="226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44" t="s">
        <v>2202</v>
      </c>
      <c r="C102" s="2245"/>
      <c r="D102" s="2245"/>
      <c r="E102" s="2245"/>
      <c r="F102" s="2245"/>
      <c r="G102" s="2245"/>
      <c r="H102" s="2245"/>
      <c r="I102" s="2246"/>
    </row>
    <row r="103" spans="1:9" s="181" customFormat="1" ht="11.25" customHeight="1" x14ac:dyDescent="0.2">
      <c r="A103" s="316"/>
      <c r="B103" s="2247"/>
      <c r="C103" s="2248"/>
      <c r="D103" s="2248"/>
      <c r="E103" s="2248"/>
      <c r="F103" s="2248"/>
      <c r="G103" s="2248"/>
      <c r="H103" s="2248"/>
      <c r="I103" s="2249"/>
    </row>
    <row r="104" spans="1:9" s="181" customFormat="1" ht="11.25" customHeight="1" x14ac:dyDescent="0.2">
      <c r="A104" s="316"/>
      <c r="B104" s="2247"/>
      <c r="C104" s="2248"/>
      <c r="D104" s="2248"/>
      <c r="E104" s="2248"/>
      <c r="F104" s="2248"/>
      <c r="G104" s="2248"/>
      <c r="H104" s="2248"/>
      <c r="I104" s="2249"/>
    </row>
    <row r="105" spans="1:9" s="181" customFormat="1" x14ac:dyDescent="0.2">
      <c r="A105" s="316"/>
      <c r="B105" s="2247"/>
      <c r="C105" s="2248"/>
      <c r="D105" s="2248"/>
      <c r="E105" s="2248"/>
      <c r="F105" s="2248"/>
      <c r="G105" s="2248"/>
      <c r="H105" s="2248"/>
      <c r="I105" s="2249"/>
    </row>
    <row r="106" spans="1:9" s="181" customFormat="1" ht="11.25" customHeight="1" x14ac:dyDescent="0.2">
      <c r="A106" s="316"/>
      <c r="B106" s="2247"/>
      <c r="C106" s="2248"/>
      <c r="D106" s="2248"/>
      <c r="E106" s="2248"/>
      <c r="F106" s="2248"/>
      <c r="G106" s="2248"/>
      <c r="H106" s="2248"/>
      <c r="I106" s="2249"/>
    </row>
    <row r="107" spans="1:9" s="181" customFormat="1" ht="11.25" customHeight="1" x14ac:dyDescent="0.2">
      <c r="A107" s="316"/>
      <c r="B107" s="2247"/>
      <c r="C107" s="2248"/>
      <c r="D107" s="2248"/>
      <c r="E107" s="2248"/>
      <c r="F107" s="2248"/>
      <c r="G107" s="2248"/>
      <c r="H107" s="2248"/>
      <c r="I107" s="2249"/>
    </row>
    <row r="108" spans="1:9" s="181" customFormat="1" ht="11.25" customHeight="1" x14ac:dyDescent="0.2">
      <c r="A108" s="316"/>
      <c r="B108" s="2247"/>
      <c r="C108" s="2248"/>
      <c r="D108" s="2248"/>
      <c r="E108" s="2248"/>
      <c r="F108" s="2248"/>
      <c r="G108" s="2248"/>
      <c r="H108" s="2248"/>
      <c r="I108" s="2249"/>
    </row>
    <row r="109" spans="1:9" s="181" customFormat="1" ht="11.25" customHeight="1" x14ac:dyDescent="0.2">
      <c r="A109" s="316"/>
      <c r="B109" s="2247"/>
      <c r="C109" s="2248"/>
      <c r="D109" s="2248"/>
      <c r="E109" s="2248"/>
      <c r="F109" s="2248"/>
      <c r="G109" s="2248"/>
      <c r="H109" s="2248"/>
      <c r="I109" s="2249"/>
    </row>
    <row r="110" spans="1:9" s="181" customFormat="1" ht="11.25" customHeight="1" x14ac:dyDescent="0.2">
      <c r="A110" s="316"/>
      <c r="B110" s="2247"/>
      <c r="C110" s="2248"/>
      <c r="D110" s="2248"/>
      <c r="E110" s="2248"/>
      <c r="F110" s="2248"/>
      <c r="G110" s="2248"/>
      <c r="H110" s="2248"/>
      <c r="I110" s="2249"/>
    </row>
    <row r="111" spans="1:9" s="181" customFormat="1" ht="11.25" customHeight="1" x14ac:dyDescent="0.2">
      <c r="A111" s="316"/>
      <c r="B111" s="2247"/>
      <c r="C111" s="2248"/>
      <c r="D111" s="2248"/>
      <c r="E111" s="2248"/>
      <c r="F111" s="2248"/>
      <c r="G111" s="2248"/>
      <c r="H111" s="2248"/>
      <c r="I111" s="2249"/>
    </row>
    <row r="112" spans="1:9" s="181" customFormat="1" ht="11.25" customHeight="1" x14ac:dyDescent="0.2">
      <c r="A112" s="316"/>
      <c r="B112" s="2250"/>
      <c r="C112" s="2251"/>
      <c r="D112" s="2251"/>
      <c r="E112" s="2251"/>
      <c r="F112" s="2251"/>
      <c r="G112" s="2251"/>
      <c r="H112" s="2251"/>
      <c r="I112" s="225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53" t="s">
        <v>2069</v>
      </c>
      <c r="D114" s="225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54" t="s">
        <v>1330</v>
      </c>
      <c r="D117" s="2255"/>
      <c r="E117" s="2256"/>
      <c r="F117" s="2256"/>
      <c r="G117" s="2256"/>
      <c r="H117" s="2256"/>
      <c r="I117" s="304"/>
    </row>
    <row r="118" spans="1:9" s="181" customFormat="1" ht="24" customHeight="1" x14ac:dyDescent="0.2">
      <c r="A118" s="316"/>
      <c r="B118" s="316"/>
      <c r="C118" s="316"/>
      <c r="D118" s="323" t="s">
        <v>2251</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632" t="str">
        <f>'Single Audit Cover'!A7</f>
        <v>Pontiac CCSD 429</v>
      </c>
      <c r="B1" s="2632"/>
      <c r="C1" s="2632"/>
      <c r="D1" s="2632"/>
      <c r="E1" s="2632"/>
      <c r="F1" s="2632"/>
    </row>
    <row r="2" spans="1:7" ht="13.5" customHeight="1" x14ac:dyDescent="0.2">
      <c r="A2" s="2623">
        <f>'Single Audit Cover'!E7</f>
        <v>17053429004</v>
      </c>
      <c r="B2" s="2623"/>
      <c r="C2" s="2623"/>
      <c r="D2" s="2623"/>
      <c r="E2" s="2623"/>
      <c r="F2" s="2623"/>
      <c r="G2" s="1269"/>
    </row>
    <row r="3" spans="1:7" ht="15.75" customHeight="1" x14ac:dyDescent="0.2">
      <c r="A3" s="2633" t="s">
        <v>1271</v>
      </c>
      <c r="B3" s="2633"/>
      <c r="C3" s="2633"/>
      <c r="D3" s="2633"/>
      <c r="E3" s="2633"/>
      <c r="F3" s="2633"/>
    </row>
    <row r="4" spans="1:7" ht="13.5" customHeight="1" x14ac:dyDescent="0.2">
      <c r="A4" s="2634" t="str">
        <f>'Single Audit Cover'!A4</f>
        <v>Year Ending June 30, 2019</v>
      </c>
      <c r="B4" s="2634"/>
      <c r="C4" s="2634"/>
      <c r="D4" s="2634"/>
      <c r="E4" s="2634"/>
      <c r="F4" s="2634"/>
    </row>
    <row r="5" spans="1:7" ht="8.25" customHeight="1" x14ac:dyDescent="0.2">
      <c r="C5" s="317"/>
      <c r="D5" s="317"/>
    </row>
    <row r="6" spans="1:7" ht="13.5" customHeight="1" x14ac:dyDescent="0.2">
      <c r="A6" s="1270" t="s">
        <v>1728</v>
      </c>
      <c r="C6" s="317"/>
      <c r="D6" s="317"/>
    </row>
    <row r="7" spans="1:7" ht="60.95" customHeight="1" x14ac:dyDescent="0.2">
      <c r="A7" s="2631" t="s">
        <v>2085</v>
      </c>
      <c r="B7" s="2631"/>
      <c r="C7" s="2631"/>
      <c r="D7" s="2631"/>
      <c r="E7" s="2631"/>
      <c r="F7" s="2631"/>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2067</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631" t="s">
        <v>2172</v>
      </c>
      <c r="B13" s="2631"/>
      <c r="C13" s="2631"/>
      <c r="D13" s="2631"/>
      <c r="E13" s="2631"/>
      <c r="F13" s="2631"/>
    </row>
    <row r="14" spans="1:7" ht="9.75" customHeight="1" x14ac:dyDescent="0.2">
      <c r="C14" s="1254"/>
      <c r="D14" s="1254"/>
    </row>
    <row r="15" spans="1:7" ht="13.5" customHeight="1" x14ac:dyDescent="0.2">
      <c r="C15" s="1843" t="s">
        <v>1270</v>
      </c>
      <c r="D15" s="2636" t="s">
        <v>1269</v>
      </c>
      <c r="E15" s="2636"/>
      <c r="F15" s="2636"/>
    </row>
    <row r="16" spans="1:7" ht="13.5" customHeight="1" x14ac:dyDescent="0.2">
      <c r="A16" s="1276"/>
      <c r="B16" s="1270" t="s">
        <v>1268</v>
      </c>
      <c r="C16" s="1843" t="s">
        <v>1267</v>
      </c>
      <c r="D16" s="2637" t="s">
        <v>1588</v>
      </c>
      <c r="E16" s="2637"/>
      <c r="F16" s="2637"/>
    </row>
    <row r="17" spans="1:6" ht="20.45" customHeight="1" x14ac:dyDescent="0.2">
      <c r="A17" s="1277"/>
      <c r="B17" s="1278" t="s">
        <v>2173</v>
      </c>
      <c r="C17" s="1279"/>
      <c r="D17" s="2635"/>
      <c r="E17" s="2635"/>
      <c r="F17" s="2635"/>
    </row>
    <row r="18" spans="1:6" ht="20.65" customHeight="1" x14ac:dyDescent="0.2">
      <c r="A18" s="1277"/>
      <c r="B18" s="1278"/>
      <c r="C18" s="1279"/>
      <c r="D18" s="2635"/>
      <c r="E18" s="2635"/>
      <c r="F18" s="2635"/>
    </row>
    <row r="19" spans="1:6" ht="20.65" customHeight="1" x14ac:dyDescent="0.2">
      <c r="A19" s="1277"/>
      <c r="B19" s="1278"/>
      <c r="C19" s="1279"/>
      <c r="D19" s="2635"/>
      <c r="E19" s="2635"/>
      <c r="F19" s="2635"/>
    </row>
    <row r="20" spans="1:6" ht="20.65" customHeight="1" x14ac:dyDescent="0.2">
      <c r="A20" s="1277"/>
      <c r="B20" s="1278"/>
      <c r="C20" s="1279"/>
      <c r="D20" s="2635"/>
      <c r="E20" s="2635"/>
      <c r="F20" s="2635"/>
    </row>
    <row r="21" spans="1:6" ht="20.65" customHeight="1" x14ac:dyDescent="0.2">
      <c r="A21" s="1277"/>
      <c r="B21" s="1278"/>
      <c r="C21" s="1279"/>
      <c r="D21" s="2635"/>
      <c r="E21" s="2635"/>
      <c r="F21" s="2635"/>
    </row>
    <row r="22" spans="1:6" ht="20.65" customHeight="1" x14ac:dyDescent="0.2">
      <c r="A22" s="1277"/>
      <c r="B22" s="1278"/>
      <c r="C22" s="1279"/>
      <c r="D22" s="2635"/>
      <c r="E22" s="2635"/>
      <c r="F22" s="2635"/>
    </row>
    <row r="23" spans="1:6" ht="20.65" customHeight="1" x14ac:dyDescent="0.2">
      <c r="A23" s="1277"/>
      <c r="B23" s="1278"/>
      <c r="C23" s="1279"/>
      <c r="D23" s="2635"/>
      <c r="E23" s="2635"/>
      <c r="F23" s="2635"/>
    </row>
    <row r="24" spans="1:6" ht="20.65" customHeight="1" x14ac:dyDescent="0.2">
      <c r="A24" s="1277"/>
      <c r="B24" s="1278"/>
      <c r="C24" s="1279"/>
      <c r="D24" s="2635"/>
      <c r="E24" s="2635"/>
      <c r="F24" s="2635"/>
    </row>
    <row r="25" spans="1:6" ht="20.65" customHeight="1" x14ac:dyDescent="0.2">
      <c r="A25" s="1277"/>
      <c r="B25" s="1278"/>
      <c r="C25" s="1279"/>
      <c r="D25" s="2635"/>
      <c r="E25" s="2635"/>
      <c r="F25" s="2635"/>
    </row>
    <row r="26" spans="1:6" ht="20.65" customHeight="1" x14ac:dyDescent="0.2">
      <c r="A26" s="1277"/>
      <c r="B26" s="1278"/>
      <c r="C26" s="1279"/>
      <c r="D26" s="2635"/>
      <c r="E26" s="2635"/>
      <c r="F26" s="2635"/>
    </row>
    <row r="27" spans="1:6" ht="20.65" customHeight="1" x14ac:dyDescent="0.2">
      <c r="A27" s="1277"/>
      <c r="B27" s="1278"/>
      <c r="C27" s="1279"/>
      <c r="D27" s="2635"/>
      <c r="E27" s="2635"/>
      <c r="F27" s="2635"/>
    </row>
    <row r="28" spans="1:6" ht="20.65" customHeight="1" x14ac:dyDescent="0.2">
      <c r="A28" s="1277"/>
      <c r="B28" s="1278"/>
      <c r="C28" s="1279"/>
      <c r="D28" s="2635"/>
      <c r="E28" s="2635"/>
      <c r="F28" s="2635"/>
    </row>
    <row r="29" spans="1:6" ht="20.65" customHeight="1" x14ac:dyDescent="0.2">
      <c r="A29" s="1277"/>
      <c r="B29" s="1278"/>
      <c r="C29" s="1279"/>
      <c r="D29" s="2635"/>
      <c r="E29" s="2635"/>
      <c r="F29" s="2635"/>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639" t="s">
        <v>2174</v>
      </c>
      <c r="B32" s="2639"/>
      <c r="C32" s="2639"/>
      <c r="D32" s="2639"/>
      <c r="E32" s="2639"/>
      <c r="F32" s="2639"/>
    </row>
    <row r="33" spans="1:6" ht="13.5" customHeight="1" x14ac:dyDescent="0.2">
      <c r="A33" s="328" t="s">
        <v>1434</v>
      </c>
      <c r="B33" s="328"/>
      <c r="C33" s="1282">
        <v>53067</v>
      </c>
      <c r="D33" s="1900"/>
      <c r="E33" s="1280"/>
    </row>
    <row r="34" spans="1:6" ht="13.5" customHeight="1" x14ac:dyDescent="0.2">
      <c r="A34" s="328" t="s">
        <v>1835</v>
      </c>
      <c r="B34" s="328"/>
      <c r="C34" s="1283">
        <v>0</v>
      </c>
      <c r="D34" s="1900" t="s">
        <v>1589</v>
      </c>
      <c r="E34" s="2640">
        <f>+C33+C34</f>
        <v>53067</v>
      </c>
      <c r="F34" s="264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t="s">
        <v>383</v>
      </c>
      <c r="D38" s="1900"/>
      <c r="E38" s="1280"/>
    </row>
    <row r="39" spans="1:6" ht="14.25" customHeight="1" x14ac:dyDescent="0.2">
      <c r="A39" s="328"/>
      <c r="B39" s="328" t="s">
        <v>1436</v>
      </c>
      <c r="C39" s="1286" t="s">
        <v>383</v>
      </c>
      <c r="D39" s="1900"/>
      <c r="E39" s="1280"/>
    </row>
    <row r="40" spans="1:6" ht="14.25" customHeight="1" x14ac:dyDescent="0.2">
      <c r="A40" s="328"/>
      <c r="B40" s="328" t="s">
        <v>1437</v>
      </c>
      <c r="C40" s="1286" t="s">
        <v>383</v>
      </c>
      <c r="D40" s="1900"/>
      <c r="E40" s="1280"/>
    </row>
    <row r="41" spans="1:6" ht="14.25" customHeight="1" x14ac:dyDescent="0.2">
      <c r="A41" s="328"/>
      <c r="B41" s="328" t="s">
        <v>1438</v>
      </c>
      <c r="C41" s="1286" t="s">
        <v>383</v>
      </c>
      <c r="D41" s="1900"/>
      <c r="E41" s="1280"/>
    </row>
    <row r="42" spans="1:6" ht="14.25" customHeight="1" x14ac:dyDescent="0.2">
      <c r="A42" s="328" t="s">
        <v>1439</v>
      </c>
      <c r="B42" s="328"/>
      <c r="C42" s="1898" t="s">
        <v>383</v>
      </c>
      <c r="D42" s="1900"/>
      <c r="E42" s="1280"/>
    </row>
    <row r="43" spans="1:6" ht="14.25" customHeight="1" x14ac:dyDescent="0.2">
      <c r="A43" s="328" t="s">
        <v>1440</v>
      </c>
      <c r="B43" s="328"/>
      <c r="C43" s="1287" t="s">
        <v>383</v>
      </c>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642" t="s">
        <v>1590</v>
      </c>
      <c r="C49" s="2642"/>
      <c r="D49" s="2642"/>
      <c r="E49" s="1393"/>
    </row>
    <row r="50" spans="1:5" s="1294" customFormat="1" ht="3.75" customHeight="1" x14ac:dyDescent="0.2">
      <c r="A50" s="1293"/>
      <c r="B50" s="1842"/>
      <c r="C50" s="1842"/>
      <c r="D50" s="1842"/>
      <c r="E50" s="1393"/>
    </row>
    <row r="51" spans="1:5" s="1294" customFormat="1" ht="20.25" customHeight="1" x14ac:dyDescent="0.2">
      <c r="A51" s="1295">
        <v>6</v>
      </c>
      <c r="B51" s="2638" t="s">
        <v>1551</v>
      </c>
      <c r="C51" s="2638"/>
      <c r="D51" s="2638"/>
    </row>
    <row r="52" spans="1:5" ht="14.25" customHeight="1" x14ac:dyDescent="0.2">
      <c r="A52" s="1295"/>
      <c r="B52" s="2638"/>
      <c r="C52" s="2638"/>
      <c r="D52" s="263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G33" sqref="G33"/>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47" t="str">
        <f>'Single Audit Cover'!A7</f>
        <v>Pontiac CCSD 429</v>
      </c>
      <c r="C1" s="2648"/>
      <c r="D1" s="2648"/>
      <c r="E1" s="2648"/>
      <c r="F1" s="2648"/>
      <c r="G1" s="2648"/>
      <c r="H1" s="2648"/>
      <c r="I1" s="2648"/>
      <c r="J1" s="1403"/>
    </row>
    <row r="2" spans="2:10" s="317" customFormat="1" ht="12.75" customHeight="1" x14ac:dyDescent="0.2">
      <c r="B2" s="2649">
        <f>'Single Audit Cover'!E7</f>
        <v>17053429004</v>
      </c>
      <c r="C2" s="2650"/>
      <c r="D2" s="2650"/>
      <c r="E2" s="2650"/>
      <c r="F2" s="2650"/>
      <c r="G2" s="2650"/>
      <c r="H2" s="2650"/>
      <c r="I2" s="2650"/>
      <c r="J2" s="1403"/>
    </row>
    <row r="3" spans="2:10" s="317" customFormat="1" ht="12.75" customHeight="1" x14ac:dyDescent="0.2">
      <c r="B3" s="2651" t="s">
        <v>1285</v>
      </c>
      <c r="C3" s="2652"/>
      <c r="D3" s="2652"/>
      <c r="E3" s="2652"/>
      <c r="F3" s="2652"/>
      <c r="G3" s="2652"/>
      <c r="H3" s="2652"/>
      <c r="I3" s="2652"/>
      <c r="J3" s="1404"/>
    </row>
    <row r="4" spans="2:10" s="317" customFormat="1" ht="12.75" customHeight="1" x14ac:dyDescent="0.2">
      <c r="B4" s="2651" t="str">
        <f>'Single Audit Cover'!A4</f>
        <v>Year Ending June 30, 2019</v>
      </c>
      <c r="C4" s="2652"/>
      <c r="D4" s="2652"/>
      <c r="E4" s="2652"/>
      <c r="F4" s="2652"/>
      <c r="G4" s="2652"/>
      <c r="H4" s="2652"/>
      <c r="I4" s="2652"/>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651" t="s">
        <v>1284</v>
      </c>
      <c r="C7" s="2652"/>
      <c r="D7" s="2652"/>
      <c r="E7" s="2652"/>
      <c r="F7" s="2652"/>
      <c r="G7" s="2652"/>
      <c r="H7" s="2652"/>
      <c r="I7" s="265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653" t="s">
        <v>1164</v>
      </c>
      <c r="D11" s="2653"/>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t="s">
        <v>2067</v>
      </c>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2067</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2067</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t="s">
        <v>2067</v>
      </c>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t="s">
        <v>2067</v>
      </c>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654" t="s">
        <v>2175</v>
      </c>
      <c r="E29" s="2654"/>
      <c r="F29" s="2654"/>
      <c r="G29" s="2654"/>
      <c r="H29" s="2654"/>
      <c r="I29" s="2654"/>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t="s">
        <v>2067</v>
      </c>
      <c r="F33" s="1294" t="s">
        <v>885</v>
      </c>
      <c r="G33" s="1419"/>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655" t="s">
        <v>1748</v>
      </c>
      <c r="D37" s="2656"/>
      <c r="E37" s="2656"/>
      <c r="F37" s="2657"/>
      <c r="G37" s="2655" t="s">
        <v>1592</v>
      </c>
      <c r="H37" s="2656"/>
      <c r="I37" s="2657"/>
    </row>
    <row r="38" spans="2:9" ht="16.5" customHeight="1" x14ac:dyDescent="0.2">
      <c r="B38" s="1425" t="s">
        <v>2176</v>
      </c>
      <c r="C38" s="2643" t="s">
        <v>2177</v>
      </c>
      <c r="D38" s="2644"/>
      <c r="E38" s="2644"/>
      <c r="F38" s="2645"/>
      <c r="G38" s="2658">
        <v>616577</v>
      </c>
      <c r="H38" s="2659"/>
      <c r="I38" s="2660"/>
    </row>
    <row r="39" spans="2:9" ht="16.5" customHeight="1" x14ac:dyDescent="0.2">
      <c r="B39" s="1425"/>
      <c r="C39" s="2643"/>
      <c r="D39" s="2644"/>
      <c r="E39" s="2644"/>
      <c r="F39" s="2645"/>
      <c r="G39" s="2646"/>
      <c r="H39" s="2646"/>
      <c r="I39" s="2646"/>
    </row>
    <row r="40" spans="2:9" ht="16.5" customHeight="1" x14ac:dyDescent="0.2">
      <c r="B40" s="1425"/>
      <c r="C40" s="2643"/>
      <c r="D40" s="2644"/>
      <c r="E40" s="2644"/>
      <c r="F40" s="2645"/>
      <c r="G40" s="2646"/>
      <c r="H40" s="2646"/>
      <c r="I40" s="2646"/>
    </row>
    <row r="41" spans="2:9" ht="16.5" customHeight="1" x14ac:dyDescent="0.2">
      <c r="B41" s="1425"/>
      <c r="C41" s="2643"/>
      <c r="D41" s="2644"/>
      <c r="E41" s="2644"/>
      <c r="F41" s="2645"/>
      <c r="G41" s="2646"/>
      <c r="H41" s="2646"/>
      <c r="I41" s="2646"/>
    </row>
    <row r="42" spans="2:9" ht="16.5" customHeight="1" x14ac:dyDescent="0.2">
      <c r="B42" s="1425"/>
      <c r="C42" s="2643"/>
      <c r="D42" s="2644"/>
      <c r="E42" s="2644"/>
      <c r="F42" s="2645"/>
      <c r="G42" s="2646"/>
      <c r="H42" s="2646"/>
      <c r="I42" s="2646"/>
    </row>
    <row r="43" spans="2:9" ht="16.5" customHeight="1" x14ac:dyDescent="0.2">
      <c r="B43" s="1425"/>
      <c r="C43" s="2661" t="s">
        <v>1593</v>
      </c>
      <c r="D43" s="2662"/>
      <c r="E43" s="2662"/>
      <c r="F43" s="2663"/>
      <c r="G43" s="2664">
        <f>SUM(G38:I42)</f>
        <v>616577</v>
      </c>
      <c r="H43" s="2664"/>
      <c r="I43" s="2664"/>
    </row>
    <row r="44" spans="2:9" ht="12.75" customHeight="1" x14ac:dyDescent="0.2"/>
    <row r="45" spans="2:9" ht="12.75" customHeight="1" x14ac:dyDescent="0.2">
      <c r="B45" s="1416" t="s">
        <v>1838</v>
      </c>
      <c r="D45" s="2665">
        <v>1486672</v>
      </c>
      <c r="E45" s="2666"/>
    </row>
    <row r="46" spans="2:9" ht="5.25" customHeight="1" x14ac:dyDescent="0.2">
      <c r="B46" s="1426"/>
      <c r="D46" s="1427"/>
      <c r="E46" s="1428"/>
    </row>
    <row r="47" spans="2:9" ht="12.75" customHeight="1" x14ac:dyDescent="0.2">
      <c r="B47" s="1294" t="s">
        <v>1594</v>
      </c>
      <c r="C47" s="1294"/>
      <c r="D47" s="1429">
        <f>+G43/D45</f>
        <v>0.41473640453307792</v>
      </c>
      <c r="E47" s="1430"/>
      <c r="F47" s="1431"/>
      <c r="I47" s="1432"/>
    </row>
    <row r="48" spans="2:9" ht="9.9499999999999993" customHeight="1" x14ac:dyDescent="0.2"/>
    <row r="49" spans="1:9" x14ac:dyDescent="0.2">
      <c r="B49" s="1362" t="s">
        <v>1273</v>
      </c>
      <c r="C49" s="1276"/>
      <c r="D49" s="1276"/>
      <c r="E49" s="2667">
        <v>750000</v>
      </c>
      <c r="F49" s="2667"/>
      <c r="G49" s="2667"/>
      <c r="H49" s="322"/>
    </row>
    <row r="51" spans="1:9" ht="13.5" customHeight="1" x14ac:dyDescent="0.2">
      <c r="B51" s="1362" t="s">
        <v>1272</v>
      </c>
      <c r="C51" s="1276"/>
      <c r="E51" s="1419"/>
      <c r="F51" s="1294" t="s">
        <v>885</v>
      </c>
      <c r="G51" s="1419" t="s">
        <v>2067</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47" t="str">
        <f>'Single Audit Cover'!A7</f>
        <v>Pontiac CCSD 429</v>
      </c>
      <c r="C1" s="2647"/>
      <c r="D1" s="2647"/>
      <c r="E1" s="2647"/>
      <c r="F1" s="2647"/>
      <c r="G1" s="2647"/>
      <c r="H1" s="2647"/>
      <c r="I1" s="2647"/>
      <c r="J1" s="2647"/>
      <c r="K1" s="2647"/>
      <c r="L1" s="1368"/>
      <c r="M1" s="1368"/>
    </row>
    <row r="2" spans="1:13" ht="12" customHeight="1" x14ac:dyDescent="0.2">
      <c r="B2" s="2649">
        <f>'Single Audit Cover'!E7</f>
        <v>17053429004</v>
      </c>
      <c r="C2" s="2649"/>
      <c r="D2" s="2649"/>
      <c r="E2" s="2649"/>
      <c r="F2" s="2649"/>
      <c r="G2" s="2649"/>
      <c r="H2" s="2649"/>
      <c r="I2" s="2649"/>
      <c r="J2" s="2649"/>
      <c r="K2" s="2649"/>
      <c r="L2" s="1369"/>
      <c r="M2" s="1370"/>
    </row>
    <row r="3" spans="1:13" ht="10.35" customHeight="1" x14ac:dyDescent="0.2">
      <c r="B3" s="2670" t="s">
        <v>1285</v>
      </c>
      <c r="C3" s="2670"/>
      <c r="D3" s="2670"/>
      <c r="E3" s="2670"/>
      <c r="F3" s="2670"/>
      <c r="G3" s="2670"/>
      <c r="H3" s="2670"/>
      <c r="I3" s="2670"/>
      <c r="J3" s="2670"/>
      <c r="K3" s="2670"/>
      <c r="L3" s="1371"/>
      <c r="M3" s="1371"/>
    </row>
    <row r="4" spans="1:13" ht="14.25" customHeight="1" x14ac:dyDescent="0.2">
      <c r="B4" s="2671" t="str">
        <f>'Single Audit Cover'!A4</f>
        <v>Year Ending June 30, 2019</v>
      </c>
      <c r="C4" s="2671"/>
      <c r="D4" s="2671"/>
      <c r="E4" s="2671"/>
      <c r="F4" s="2671"/>
      <c r="G4" s="2671"/>
      <c r="H4" s="2671"/>
      <c r="I4" s="2671"/>
      <c r="J4" s="2671"/>
      <c r="K4" s="267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71" t="s">
        <v>1296</v>
      </c>
      <c r="C7" s="2671"/>
      <c r="D7" s="2672"/>
      <c r="E7" s="2672"/>
      <c r="F7" s="2672"/>
      <c r="G7" s="2672"/>
      <c r="H7" s="2672"/>
      <c r="I7" s="2672"/>
      <c r="J7" s="2672"/>
      <c r="K7" s="267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v>1</v>
      </c>
      <c r="E10" s="322"/>
      <c r="F10" s="1381" t="s">
        <v>1295</v>
      </c>
      <c r="G10" s="1382"/>
      <c r="H10" s="1383" t="s">
        <v>1294</v>
      </c>
      <c r="I10" s="1382" t="s">
        <v>2067</v>
      </c>
      <c r="J10" s="1384" t="s">
        <v>1293</v>
      </c>
      <c r="K10" s="322"/>
      <c r="L10" s="1375"/>
    </row>
    <row r="11" spans="1:13" ht="13.5" customHeight="1" x14ac:dyDescent="0.2">
      <c r="B11" s="322"/>
      <c r="C11" s="322"/>
      <c r="D11" s="322"/>
      <c r="E11" s="322"/>
      <c r="F11" s="322"/>
      <c r="G11" s="1377"/>
      <c r="H11" s="322"/>
      <c r="I11" s="1385" t="s">
        <v>1292</v>
      </c>
      <c r="J11" s="322"/>
      <c r="K11" s="1386">
        <v>2008</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669" t="s">
        <v>2178</v>
      </c>
      <c r="C14" s="2669"/>
      <c r="D14" s="2669"/>
      <c r="E14" s="2669"/>
      <c r="F14" s="2669"/>
      <c r="G14" s="2669"/>
      <c r="H14" s="2669"/>
      <c r="I14" s="2669"/>
      <c r="J14" s="2669"/>
      <c r="K14" s="266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669" t="s">
        <v>2179</v>
      </c>
      <c r="C17" s="2669"/>
      <c r="D17" s="2669"/>
      <c r="E17" s="2669"/>
      <c r="F17" s="2669"/>
      <c r="G17" s="2669"/>
      <c r="H17" s="2669"/>
      <c r="I17" s="2669"/>
      <c r="J17" s="2669"/>
      <c r="K17" s="2669"/>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673" t="s">
        <v>2180</v>
      </c>
      <c r="C20" s="2673"/>
      <c r="D20" s="2669"/>
      <c r="E20" s="2669"/>
      <c r="F20" s="2669"/>
      <c r="G20" s="2669"/>
      <c r="H20" s="2669"/>
      <c r="I20" s="2669"/>
      <c r="J20" s="2669"/>
      <c r="K20" s="266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69" t="s">
        <v>2181</v>
      </c>
      <c r="C23" s="2669"/>
      <c r="D23" s="2669"/>
      <c r="E23" s="2669"/>
      <c r="F23" s="2669"/>
      <c r="G23" s="2669"/>
      <c r="H23" s="2669"/>
      <c r="I23" s="2669"/>
      <c r="J23" s="2669"/>
      <c r="K23" s="266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69" t="s">
        <v>2182</v>
      </c>
      <c r="C26" s="2669"/>
      <c r="D26" s="2669"/>
      <c r="E26" s="2669"/>
      <c r="F26" s="2669"/>
      <c r="G26" s="2669"/>
      <c r="H26" s="2669"/>
      <c r="I26" s="2669"/>
      <c r="J26" s="2669"/>
      <c r="K26" s="266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68" t="s">
        <v>2183</v>
      </c>
      <c r="C29" s="2668"/>
      <c r="D29" s="2669"/>
      <c r="E29" s="2669"/>
      <c r="F29" s="2669"/>
      <c r="G29" s="2669"/>
      <c r="H29" s="2669"/>
      <c r="I29" s="2669"/>
      <c r="J29" s="2669"/>
      <c r="K29" s="266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668" t="s">
        <v>2184</v>
      </c>
      <c r="C32" s="2668"/>
      <c r="D32" s="2669"/>
      <c r="E32" s="2669"/>
      <c r="F32" s="2669"/>
      <c r="G32" s="2669"/>
      <c r="H32" s="2669"/>
      <c r="I32" s="2669"/>
      <c r="J32" s="2669"/>
      <c r="K32" s="266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74" t="str">
        <f>'Single Audit Cover'!A7</f>
        <v>Pontiac CCSD 429</v>
      </c>
      <c r="C1" s="2674"/>
      <c r="D1" s="2674"/>
      <c r="E1" s="2674"/>
      <c r="F1" s="2674"/>
      <c r="G1" s="2674"/>
      <c r="H1" s="2674"/>
      <c r="I1" s="2674"/>
      <c r="J1" s="2674"/>
      <c r="K1" s="2674"/>
      <c r="L1" s="1446"/>
    </row>
    <row r="2" spans="1:12" ht="12.75" customHeight="1" x14ac:dyDescent="0.2">
      <c r="B2" s="2675">
        <f>'Single Audit Cover'!E7</f>
        <v>17053429004</v>
      </c>
      <c r="C2" s="2675"/>
      <c r="D2" s="2675"/>
      <c r="E2" s="2675"/>
      <c r="F2" s="2675"/>
      <c r="G2" s="2675"/>
      <c r="H2" s="2675"/>
      <c r="I2" s="2675"/>
      <c r="J2" s="2675"/>
      <c r="K2" s="2675"/>
      <c r="L2" s="1447"/>
    </row>
    <row r="3" spans="1:12" ht="12.75" customHeight="1" x14ac:dyDescent="0.2">
      <c r="B3" s="2670" t="s">
        <v>1285</v>
      </c>
      <c r="C3" s="2670"/>
      <c r="D3" s="2670"/>
      <c r="E3" s="2670"/>
      <c r="F3" s="2670"/>
      <c r="G3" s="2670"/>
      <c r="H3" s="2670"/>
      <c r="I3" s="2670"/>
      <c r="J3" s="2670"/>
      <c r="K3" s="2670"/>
      <c r="L3" s="1371"/>
    </row>
    <row r="4" spans="1:12" ht="12.75" customHeight="1" x14ac:dyDescent="0.2">
      <c r="B4" s="2670" t="str">
        <f>'Single Audit Cover'!A4</f>
        <v>Year Ending June 30, 2019</v>
      </c>
      <c r="C4" s="2670"/>
      <c r="D4" s="2670"/>
      <c r="E4" s="2670"/>
      <c r="F4" s="2670"/>
      <c r="G4" s="2670"/>
      <c r="H4" s="2670"/>
      <c r="I4" s="2670"/>
      <c r="J4" s="2670"/>
      <c r="K4" s="2670"/>
      <c r="L4" s="1371"/>
    </row>
    <row r="5" spans="1:12" ht="5.25" customHeight="1" x14ac:dyDescent="0.2">
      <c r="B5" s="1254" t="s">
        <v>1169</v>
      </c>
      <c r="C5" s="1254"/>
      <c r="L5" s="322"/>
    </row>
    <row r="6" spans="1:12" ht="30.75" customHeight="1" x14ac:dyDescent="0.2">
      <c r="A6" s="322"/>
      <c r="B6" s="2676" t="s">
        <v>1308</v>
      </c>
      <c r="C6" s="2676"/>
      <c r="D6" s="2676"/>
      <c r="E6" s="2676"/>
      <c r="F6" s="2676"/>
      <c r="G6" s="2676"/>
      <c r="H6" s="2676"/>
      <c r="I6" s="2676"/>
      <c r="J6" s="2676"/>
      <c r="K6" s="2676"/>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v>2</v>
      </c>
      <c r="E8" s="322"/>
      <c r="F8" s="1378" t="s">
        <v>1295</v>
      </c>
      <c r="G8" s="1450" t="s">
        <v>2067</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654" t="s">
        <v>2233</v>
      </c>
      <c r="G12" s="2654"/>
      <c r="H12" s="2654"/>
      <c r="I12" s="2654"/>
      <c r="J12" s="2654"/>
      <c r="K12" s="265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77" t="s">
        <v>2231</v>
      </c>
      <c r="E14" s="2677"/>
      <c r="F14" s="2677"/>
      <c r="H14" s="1456" t="s">
        <v>1303</v>
      </c>
      <c r="I14" s="2678" t="s">
        <v>2232</v>
      </c>
      <c r="J14" s="2678"/>
      <c r="K14" s="267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78" t="s">
        <v>2216</v>
      </c>
      <c r="E16" s="2678"/>
      <c r="F16" s="2678"/>
      <c r="G16" s="2678"/>
      <c r="H16" s="2678"/>
      <c r="I16" s="2678"/>
      <c r="J16" s="2678"/>
      <c r="K16" s="2678"/>
      <c r="L16" s="322"/>
    </row>
    <row r="17" spans="2:12" ht="13.5" customHeight="1" x14ac:dyDescent="0.2">
      <c r="B17" s="1381" t="s">
        <v>1301</v>
      </c>
      <c r="C17" s="1381"/>
      <c r="D17" s="2679" t="s">
        <v>2217</v>
      </c>
      <c r="E17" s="2679"/>
      <c r="F17" s="2679"/>
      <c r="G17" s="2679"/>
      <c r="H17" s="2679"/>
      <c r="I17" s="2679"/>
      <c r="J17" s="2679"/>
      <c r="K17" s="267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669" t="s">
        <v>2218</v>
      </c>
      <c r="C20" s="2669"/>
      <c r="D20" s="2669"/>
      <c r="E20" s="2669"/>
      <c r="F20" s="2669"/>
      <c r="G20" s="2669"/>
      <c r="H20" s="2669"/>
      <c r="I20" s="2669"/>
      <c r="J20" s="2669"/>
      <c r="K20" s="266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669" t="s">
        <v>2219</v>
      </c>
      <c r="C23" s="2669"/>
      <c r="D23" s="2669"/>
      <c r="E23" s="2669"/>
      <c r="F23" s="2669"/>
      <c r="G23" s="2669"/>
      <c r="H23" s="2669"/>
      <c r="I23" s="2669"/>
      <c r="J23" s="2669"/>
      <c r="K23" s="266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669" t="s">
        <v>2220</v>
      </c>
      <c r="C26" s="2669"/>
      <c r="D26" s="2669"/>
      <c r="E26" s="2669"/>
      <c r="F26" s="2669"/>
      <c r="G26" s="2669"/>
      <c r="H26" s="2669"/>
      <c r="I26" s="2669"/>
      <c r="J26" s="2669"/>
      <c r="K26" s="266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669" t="s">
        <v>2221</v>
      </c>
      <c r="C29" s="2669"/>
      <c r="D29" s="2669"/>
      <c r="E29" s="2669"/>
      <c r="F29" s="2669"/>
      <c r="G29" s="2669"/>
      <c r="H29" s="2669"/>
      <c r="I29" s="2669"/>
      <c r="J29" s="2669"/>
      <c r="K29" s="266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69" t="s">
        <v>2222</v>
      </c>
      <c r="C32" s="2669"/>
      <c r="D32" s="2669"/>
      <c r="E32" s="2669"/>
      <c r="F32" s="2669"/>
      <c r="G32" s="2669"/>
      <c r="H32" s="2669"/>
      <c r="I32" s="2669"/>
      <c r="J32" s="2669"/>
      <c r="K32" s="266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69" t="s">
        <v>2223</v>
      </c>
      <c r="C35" s="2669"/>
      <c r="D35" s="2669"/>
      <c r="E35" s="2669"/>
      <c r="F35" s="2669"/>
      <c r="G35" s="2669"/>
      <c r="H35" s="2669"/>
      <c r="I35" s="2669"/>
      <c r="J35" s="2669"/>
      <c r="K35" s="266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669" t="s">
        <v>2224</v>
      </c>
      <c r="C38" s="2669"/>
      <c r="D38" s="2669"/>
      <c r="E38" s="2669"/>
      <c r="F38" s="2669"/>
      <c r="G38" s="2669"/>
      <c r="H38" s="2669"/>
      <c r="I38" s="2669"/>
      <c r="J38" s="2669"/>
      <c r="K38" s="266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669" t="s">
        <v>2225</v>
      </c>
      <c r="C41" s="2669"/>
      <c r="D41" s="2669"/>
      <c r="E41" s="2669"/>
      <c r="F41" s="2669"/>
      <c r="G41" s="2669"/>
      <c r="H41" s="2669"/>
      <c r="I41" s="2669"/>
      <c r="J41" s="2669"/>
      <c r="K41" s="266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L52"/>
  <sheetViews>
    <sheetView zoomScale="110" zoomScaleNormal="110" zoomScaleSheetLayoutView="90" workbookViewId="0"/>
  </sheetViews>
  <sheetFormatPr defaultColWidth="9.140625" defaultRowHeight="12.75" x14ac:dyDescent="0.2"/>
  <cols>
    <col min="1" max="1" width="1.5703125" style="2074" customWidth="1"/>
    <col min="2" max="2" width="21.5703125" style="2074" customWidth="1"/>
    <col min="3" max="3" width="6.140625" style="2074" customWidth="1"/>
    <col min="4" max="4" width="4.7109375" style="2074" customWidth="1"/>
    <col min="5" max="5" width="3.5703125" style="2074" customWidth="1"/>
    <col min="6" max="6" width="20.140625" style="2074" customWidth="1"/>
    <col min="7" max="7" width="3.5703125" style="2078" customWidth="1"/>
    <col min="8" max="8" width="10.5703125" style="2074" customWidth="1"/>
    <col min="9" max="9" width="3.42578125" style="2078" customWidth="1"/>
    <col min="10" max="10" width="15.5703125" style="2074" customWidth="1"/>
    <col min="11" max="11" width="8.5703125" style="2074" customWidth="1"/>
    <col min="12" max="12" width="1.5703125" style="2074" customWidth="1"/>
    <col min="13" max="13" width="3.42578125" style="2074" customWidth="1"/>
    <col min="14" max="16384" width="9.140625" style="2074"/>
  </cols>
  <sheetData>
    <row r="1" spans="2:12" ht="12.75" customHeight="1" x14ac:dyDescent="0.2">
      <c r="B1" s="2681" t="str">
        <f>'SF&amp;QC Sec-3 Finding 2019-002'!B1:K1</f>
        <v>Pontiac CCSD 429</v>
      </c>
      <c r="C1" s="2681"/>
      <c r="D1" s="2681"/>
      <c r="E1" s="2681"/>
      <c r="F1" s="2681"/>
      <c r="G1" s="2681"/>
      <c r="H1" s="2681"/>
      <c r="I1" s="2681"/>
      <c r="J1" s="2681"/>
      <c r="K1" s="2681"/>
      <c r="L1" s="2073"/>
    </row>
    <row r="2" spans="2:12" ht="12.75" customHeight="1" x14ac:dyDescent="0.2">
      <c r="B2" s="2682">
        <f>'SF&amp;QC Sec-3 Finding 2019-002'!B2:K2</f>
        <v>17053429004</v>
      </c>
      <c r="C2" s="2682"/>
      <c r="D2" s="2682"/>
      <c r="E2" s="2682"/>
      <c r="F2" s="2682"/>
      <c r="G2" s="2682"/>
      <c r="H2" s="2682"/>
      <c r="I2" s="2682"/>
      <c r="J2" s="2682"/>
      <c r="K2" s="2682"/>
      <c r="L2" s="2075"/>
    </row>
    <row r="3" spans="2:12" ht="12.75" customHeight="1" x14ac:dyDescent="0.2">
      <c r="B3" s="2681" t="s">
        <v>1285</v>
      </c>
      <c r="C3" s="2681"/>
      <c r="D3" s="2681"/>
      <c r="E3" s="2681"/>
      <c r="F3" s="2681"/>
      <c r="G3" s="2681"/>
      <c r="H3" s="2681"/>
      <c r="I3" s="2681"/>
      <c r="J3" s="2681"/>
      <c r="K3" s="2681"/>
      <c r="L3" s="2076"/>
    </row>
    <row r="4" spans="2:12" ht="12.75" customHeight="1" x14ac:dyDescent="0.2">
      <c r="B4" s="2681" t="s">
        <v>1986</v>
      </c>
      <c r="C4" s="2681"/>
      <c r="D4" s="2681"/>
      <c r="E4" s="2681"/>
      <c r="F4" s="2681"/>
      <c r="G4" s="2681"/>
      <c r="H4" s="2681"/>
      <c r="I4" s="2681"/>
      <c r="J4" s="2681"/>
      <c r="K4" s="2681"/>
      <c r="L4" s="2076"/>
    </row>
    <row r="5" spans="2:12" ht="5.25" customHeight="1" x14ac:dyDescent="0.2">
      <c r="B5" s="2077" t="s">
        <v>1169</v>
      </c>
      <c r="C5" s="2077"/>
    </row>
    <row r="6" spans="2:12" ht="30.75" customHeight="1" x14ac:dyDescent="0.2">
      <c r="B6" s="2683" t="s">
        <v>1308</v>
      </c>
      <c r="C6" s="2683"/>
      <c r="D6" s="2683"/>
      <c r="E6" s="2683"/>
      <c r="F6" s="2683"/>
      <c r="G6" s="2683"/>
      <c r="H6" s="2683"/>
      <c r="I6" s="2683"/>
      <c r="J6" s="2683"/>
      <c r="K6" s="2683"/>
    </row>
    <row r="7" spans="2:12" ht="4.5" customHeight="1" x14ac:dyDescent="0.2">
      <c r="B7" s="2079"/>
      <c r="C7" s="2079"/>
      <c r="D7" s="2079"/>
      <c r="E7" s="2079"/>
      <c r="F7" s="2079"/>
      <c r="G7" s="2080"/>
      <c r="H7" s="2079"/>
      <c r="I7" s="2080"/>
      <c r="J7" s="2079"/>
      <c r="K7" s="2079"/>
    </row>
    <row r="8" spans="2:12" ht="13.5" customHeight="1" x14ac:dyDescent="0.2">
      <c r="B8" s="2081" t="s">
        <v>1753</v>
      </c>
      <c r="C8" s="2082" t="s">
        <v>1988</v>
      </c>
      <c r="D8" s="2083">
        <v>3</v>
      </c>
      <c r="F8" s="2081" t="s">
        <v>1295</v>
      </c>
      <c r="G8" s="2084" t="s">
        <v>2067</v>
      </c>
      <c r="H8" s="2085" t="s">
        <v>1307</v>
      </c>
      <c r="I8" s="2084"/>
      <c r="J8" s="2086" t="s">
        <v>1306</v>
      </c>
    </row>
    <row r="9" spans="2:12" ht="13.5" customHeight="1" x14ac:dyDescent="0.2">
      <c r="I9" s="2087" t="s">
        <v>1292</v>
      </c>
      <c r="K9" s="2088"/>
    </row>
    <row r="10" spans="2:12" ht="4.5" customHeight="1" x14ac:dyDescent="0.2">
      <c r="B10" s="2089"/>
      <c r="C10" s="2089"/>
      <c r="D10" s="2090"/>
      <c r="E10" s="2090"/>
      <c r="F10" s="2090"/>
      <c r="G10" s="2091"/>
      <c r="H10" s="2090"/>
      <c r="I10" s="2091"/>
      <c r="J10" s="2090"/>
      <c r="K10" s="2090"/>
    </row>
    <row r="11" spans="2:12" ht="5.25" customHeight="1" x14ac:dyDescent="0.2">
      <c r="D11" s="2092"/>
    </row>
    <row r="12" spans="2:12" ht="13.5" customHeight="1" x14ac:dyDescent="0.2">
      <c r="B12" s="2081" t="s">
        <v>1305</v>
      </c>
      <c r="C12" s="2081"/>
      <c r="D12" s="2092"/>
      <c r="F12" s="2680" t="s">
        <v>2233</v>
      </c>
      <c r="G12" s="2680"/>
      <c r="H12" s="2680"/>
      <c r="I12" s="2680"/>
      <c r="J12" s="2680"/>
      <c r="K12" s="2680"/>
    </row>
    <row r="13" spans="2:12" ht="9.6" customHeight="1" x14ac:dyDescent="0.2">
      <c r="B13" s="2093"/>
      <c r="C13" s="2093"/>
      <c r="D13" s="2092"/>
    </row>
    <row r="14" spans="2:12" ht="13.5" customHeight="1" x14ac:dyDescent="0.2">
      <c r="B14" s="2081" t="s">
        <v>1304</v>
      </c>
      <c r="C14" s="2081"/>
      <c r="D14" s="2685" t="s">
        <v>2231</v>
      </c>
      <c r="E14" s="2685"/>
      <c r="F14" s="2685"/>
      <c r="H14" s="2094" t="s">
        <v>1303</v>
      </c>
      <c r="I14" s="2685" t="s">
        <v>2232</v>
      </c>
      <c r="J14" s="2685"/>
      <c r="K14" s="2685"/>
    </row>
    <row r="15" spans="2:12" ht="9.4" customHeight="1" x14ac:dyDescent="0.2">
      <c r="B15" s="2081"/>
      <c r="C15" s="2081"/>
      <c r="D15" s="2095"/>
      <c r="E15" s="2077"/>
      <c r="F15" s="2077"/>
      <c r="G15" s="2096"/>
      <c r="H15" s="2077"/>
      <c r="I15" s="2096"/>
      <c r="J15" s="2077"/>
      <c r="K15" s="2077"/>
    </row>
    <row r="16" spans="2:12" ht="13.5" customHeight="1" x14ac:dyDescent="0.2">
      <c r="B16" s="2081" t="s">
        <v>1302</v>
      </c>
      <c r="C16" s="2081"/>
      <c r="D16" s="2685" t="s">
        <v>2088</v>
      </c>
      <c r="E16" s="2685"/>
      <c r="F16" s="2685"/>
      <c r="G16" s="2685"/>
      <c r="H16" s="2685"/>
      <c r="I16" s="2685"/>
      <c r="J16" s="2685"/>
      <c r="K16" s="2685"/>
    </row>
    <row r="17" spans="2:11" ht="13.5" customHeight="1" x14ac:dyDescent="0.2">
      <c r="B17" s="2081" t="s">
        <v>1301</v>
      </c>
      <c r="C17" s="2081"/>
      <c r="D17" s="2686" t="s">
        <v>2217</v>
      </c>
      <c r="E17" s="2686"/>
      <c r="F17" s="2686"/>
      <c r="G17" s="2686"/>
      <c r="H17" s="2686"/>
      <c r="I17" s="2686"/>
      <c r="J17" s="2686"/>
      <c r="K17" s="2686"/>
    </row>
    <row r="18" spans="2:11" ht="9.4" customHeight="1" x14ac:dyDescent="0.2">
      <c r="B18" s="2090"/>
      <c r="C18" s="2090"/>
      <c r="D18" s="2090"/>
      <c r="E18" s="2090"/>
      <c r="F18" s="2090"/>
      <c r="G18" s="2091"/>
      <c r="H18" s="2090"/>
      <c r="I18" s="2091"/>
      <c r="J18" s="2090"/>
      <c r="K18" s="2090"/>
    </row>
    <row r="19" spans="2:11" ht="13.5" customHeight="1" x14ac:dyDescent="0.2">
      <c r="B19" s="2097" t="s">
        <v>1300</v>
      </c>
      <c r="C19" s="2097"/>
      <c r="D19" s="2098"/>
      <c r="E19" s="2098"/>
      <c r="F19" s="2098"/>
      <c r="G19" s="2099"/>
      <c r="H19" s="2098"/>
      <c r="I19" s="2099"/>
    </row>
    <row r="20" spans="2:11" ht="35.25" customHeight="1" x14ac:dyDescent="0.2">
      <c r="B20" s="2684" t="s">
        <v>2234</v>
      </c>
      <c r="C20" s="2684"/>
      <c r="D20" s="2684"/>
      <c r="E20" s="2684"/>
      <c r="F20" s="2684"/>
      <c r="G20" s="2684"/>
      <c r="H20" s="2684"/>
      <c r="I20" s="2684"/>
      <c r="J20" s="2684"/>
      <c r="K20" s="2684"/>
    </row>
    <row r="21" spans="2:11" ht="4.5" customHeight="1" x14ac:dyDescent="0.2">
      <c r="B21" s="2100"/>
      <c r="C21" s="2100"/>
      <c r="D21" s="2090"/>
      <c r="E21" s="2090"/>
      <c r="F21" s="2090"/>
      <c r="G21" s="2091"/>
      <c r="H21" s="2090"/>
      <c r="I21" s="2091"/>
      <c r="J21" s="2090"/>
      <c r="K21" s="2090"/>
    </row>
    <row r="22" spans="2:11" ht="13.35" customHeight="1" x14ac:dyDescent="0.2">
      <c r="B22" s="2097" t="s">
        <v>1754</v>
      </c>
      <c r="C22" s="2097"/>
    </row>
    <row r="23" spans="2:11" ht="37.5" customHeight="1" x14ac:dyDescent="0.2">
      <c r="B23" s="2684" t="s">
        <v>2235</v>
      </c>
      <c r="C23" s="2684"/>
      <c r="D23" s="2684"/>
      <c r="E23" s="2684"/>
      <c r="F23" s="2684"/>
      <c r="G23" s="2684"/>
      <c r="H23" s="2684"/>
      <c r="I23" s="2684"/>
      <c r="J23" s="2684"/>
      <c r="K23" s="2684"/>
    </row>
    <row r="24" spans="2:11" ht="4.5" customHeight="1" x14ac:dyDescent="0.2">
      <c r="B24" s="2100"/>
      <c r="C24" s="2100"/>
      <c r="D24" s="2090"/>
      <c r="E24" s="2090"/>
      <c r="F24" s="2090"/>
      <c r="G24" s="2091"/>
      <c r="H24" s="2090"/>
      <c r="I24" s="2091"/>
      <c r="J24" s="2090"/>
      <c r="K24" s="2090"/>
    </row>
    <row r="25" spans="2:11" ht="13.5" customHeight="1" x14ac:dyDescent="0.2">
      <c r="B25" s="2097" t="s">
        <v>1755</v>
      </c>
      <c r="C25" s="2097"/>
    </row>
    <row r="26" spans="2:11" ht="37.5" customHeight="1" x14ac:dyDescent="0.2">
      <c r="B26" s="2684" t="s">
        <v>2220</v>
      </c>
      <c r="C26" s="2684"/>
      <c r="D26" s="2684"/>
      <c r="E26" s="2684"/>
      <c r="F26" s="2684"/>
      <c r="G26" s="2684"/>
      <c r="H26" s="2684"/>
      <c r="I26" s="2684"/>
      <c r="J26" s="2684"/>
      <c r="K26" s="2684"/>
    </row>
    <row r="27" spans="2:11" ht="4.5" customHeight="1" x14ac:dyDescent="0.2">
      <c r="B27" s="2101"/>
      <c r="C27" s="2101"/>
      <c r="D27" s="2101"/>
      <c r="E27" s="2090"/>
      <c r="F27" s="2090"/>
      <c r="G27" s="2091"/>
      <c r="H27" s="2090"/>
      <c r="I27" s="2091"/>
      <c r="J27" s="2090"/>
      <c r="K27" s="2090"/>
    </row>
    <row r="28" spans="2:11" ht="13.5" customHeight="1" x14ac:dyDescent="0.2">
      <c r="B28" s="2097" t="s">
        <v>1756</v>
      </c>
      <c r="C28" s="2097"/>
    </row>
    <row r="29" spans="2:11" ht="37.5" customHeight="1" x14ac:dyDescent="0.2">
      <c r="B29" s="2684" t="s">
        <v>2236</v>
      </c>
      <c r="C29" s="2684"/>
      <c r="D29" s="2684"/>
      <c r="E29" s="2684"/>
      <c r="F29" s="2684"/>
      <c r="G29" s="2684"/>
      <c r="H29" s="2684"/>
      <c r="I29" s="2684"/>
      <c r="J29" s="2684"/>
      <c r="K29" s="2684"/>
    </row>
    <row r="30" spans="2:11" ht="4.5" customHeight="1" x14ac:dyDescent="0.2">
      <c r="B30" s="2100"/>
      <c r="C30" s="2100"/>
      <c r="D30" s="2090"/>
      <c r="E30" s="2090"/>
      <c r="F30" s="2090"/>
      <c r="G30" s="2091"/>
      <c r="H30" s="2090"/>
      <c r="I30" s="2091"/>
      <c r="J30" s="2090"/>
      <c r="K30" s="2090"/>
    </row>
    <row r="31" spans="2:11" ht="13.5" customHeight="1" x14ac:dyDescent="0.2">
      <c r="B31" s="2097" t="s">
        <v>1299</v>
      </c>
      <c r="C31" s="2097"/>
    </row>
    <row r="32" spans="2:11" ht="37.5" customHeight="1" x14ac:dyDescent="0.2">
      <c r="B32" s="2684" t="s">
        <v>2237</v>
      </c>
      <c r="C32" s="2684"/>
      <c r="D32" s="2684"/>
      <c r="E32" s="2684"/>
      <c r="F32" s="2684"/>
      <c r="G32" s="2684"/>
      <c r="H32" s="2684"/>
      <c r="I32" s="2684"/>
      <c r="J32" s="2684"/>
      <c r="K32" s="2684"/>
    </row>
    <row r="33" spans="2:12" ht="4.5" customHeight="1" x14ac:dyDescent="0.2">
      <c r="B33" s="2100"/>
      <c r="C33" s="2100"/>
      <c r="D33" s="2090"/>
      <c r="E33" s="2090"/>
      <c r="F33" s="2090"/>
      <c r="G33" s="2091"/>
      <c r="H33" s="2090"/>
      <c r="I33" s="2091"/>
      <c r="J33" s="2090"/>
      <c r="K33" s="2090"/>
    </row>
    <row r="34" spans="2:12" ht="13.5" customHeight="1" x14ac:dyDescent="0.2">
      <c r="B34" s="2081" t="s">
        <v>1298</v>
      </c>
      <c r="C34" s="2081"/>
    </row>
    <row r="35" spans="2:12" ht="37.5" customHeight="1" x14ac:dyDescent="0.2">
      <c r="B35" s="2684" t="s">
        <v>2238</v>
      </c>
      <c r="C35" s="2684"/>
      <c r="D35" s="2684"/>
      <c r="E35" s="2684"/>
      <c r="F35" s="2684"/>
      <c r="G35" s="2684"/>
      <c r="H35" s="2684"/>
      <c r="I35" s="2684"/>
      <c r="J35" s="2684"/>
      <c r="K35" s="2684"/>
    </row>
    <row r="36" spans="2:12" ht="4.5" customHeight="1" x14ac:dyDescent="0.2">
      <c r="B36" s="2100"/>
      <c r="C36" s="2100"/>
      <c r="D36" s="2090"/>
      <c r="E36" s="2090"/>
      <c r="F36" s="2090"/>
      <c r="G36" s="2091"/>
      <c r="H36" s="2090"/>
      <c r="I36" s="2091"/>
      <c r="J36" s="2090"/>
      <c r="K36" s="2090"/>
    </row>
    <row r="37" spans="2:12" ht="13.5" customHeight="1" x14ac:dyDescent="0.2">
      <c r="B37" s="2081" t="s">
        <v>1297</v>
      </c>
      <c r="C37" s="2081"/>
    </row>
    <row r="38" spans="2:12" ht="35.25" customHeight="1" x14ac:dyDescent="0.2">
      <c r="B38" s="2684" t="s">
        <v>2239</v>
      </c>
      <c r="C38" s="2684"/>
      <c r="D38" s="2684"/>
      <c r="E38" s="2684"/>
      <c r="F38" s="2684"/>
      <c r="G38" s="2684"/>
      <c r="H38" s="2684"/>
      <c r="I38" s="2684"/>
      <c r="J38" s="2684"/>
      <c r="K38" s="2684"/>
    </row>
    <row r="39" spans="2:12" ht="4.5" customHeight="1" x14ac:dyDescent="0.2">
      <c r="B39" s="2102"/>
      <c r="C39" s="2102"/>
    </row>
    <row r="40" spans="2:12" ht="13.5" customHeight="1" x14ac:dyDescent="0.2">
      <c r="B40" s="2103" t="s">
        <v>1757</v>
      </c>
      <c r="C40" s="2103"/>
      <c r="D40" s="2104"/>
      <c r="E40" s="2079"/>
      <c r="F40" s="2079"/>
      <c r="G40" s="2080"/>
      <c r="H40" s="2079"/>
      <c r="I40" s="2080"/>
      <c r="J40" s="2079"/>
      <c r="K40" s="2079"/>
    </row>
    <row r="41" spans="2:12" ht="33.75" customHeight="1" x14ac:dyDescent="0.2">
      <c r="B41" s="2684" t="s">
        <v>2240</v>
      </c>
      <c r="C41" s="2684"/>
      <c r="D41" s="2684"/>
      <c r="E41" s="2684"/>
      <c r="F41" s="2684"/>
      <c r="G41" s="2684"/>
      <c r="H41" s="2684"/>
      <c r="I41" s="2684"/>
      <c r="J41" s="2684"/>
      <c r="K41" s="2684"/>
    </row>
    <row r="42" spans="2:12" ht="4.5" customHeight="1" x14ac:dyDescent="0.2">
      <c r="B42" s="2102"/>
      <c r="C42" s="2102"/>
    </row>
    <row r="43" spans="2:12" ht="13.5" customHeight="1" x14ac:dyDescent="0.2">
      <c r="B43" s="2105" t="s">
        <v>2241</v>
      </c>
      <c r="C43" s="2106"/>
      <c r="D43" s="2107"/>
      <c r="E43" s="2107"/>
      <c r="F43" s="2107"/>
      <c r="G43" s="2108"/>
      <c r="H43" s="2107"/>
      <c r="I43" s="2108"/>
      <c r="J43" s="2107"/>
      <c r="K43" s="2109"/>
      <c r="L43" s="2110"/>
    </row>
    <row r="44" spans="2:12" ht="13.5" customHeight="1" x14ac:dyDescent="0.2">
      <c r="B44" s="2111" t="s">
        <v>2242</v>
      </c>
      <c r="C44" s="2112"/>
      <c r="D44" s="2113"/>
      <c r="E44" s="2114"/>
      <c r="F44" s="2115" t="s">
        <v>2243</v>
      </c>
      <c r="G44" s="2116"/>
      <c r="H44" s="2117"/>
      <c r="I44" s="2116"/>
      <c r="J44" s="2118"/>
      <c r="K44" s="2119"/>
      <c r="L44" s="2110"/>
    </row>
    <row r="45" spans="2:12" ht="13.5" customHeight="1" x14ac:dyDescent="0.2">
      <c r="B45" s="2111" t="s">
        <v>2244</v>
      </c>
      <c r="C45" s="2112"/>
      <c r="D45" s="2118"/>
      <c r="E45" s="2117"/>
      <c r="F45" s="2115" t="s">
        <v>2245</v>
      </c>
      <c r="G45" s="2116"/>
      <c r="H45" s="2117"/>
      <c r="I45" s="2116"/>
      <c r="J45" s="2118"/>
      <c r="K45" s="2119"/>
      <c r="L45" s="2110"/>
    </row>
    <row r="46" spans="2:12" ht="13.5" customHeight="1" x14ac:dyDescent="0.2">
      <c r="B46" s="2120"/>
      <c r="C46" s="2121"/>
      <c r="D46" s="2121"/>
      <c r="E46" s="2121"/>
      <c r="F46" s="2121"/>
      <c r="G46" s="2122"/>
      <c r="H46" s="2121"/>
      <c r="I46" s="2122"/>
      <c r="J46" s="2121"/>
      <c r="K46" s="2123"/>
      <c r="L46" s="2110"/>
    </row>
    <row r="47" spans="2:12" ht="7.5" customHeight="1" x14ac:dyDescent="0.25">
      <c r="B47" s="2124"/>
      <c r="C47" s="2124"/>
      <c r="D47" s="2125"/>
      <c r="E47" s="2125"/>
      <c r="F47" s="2125"/>
      <c r="G47" s="2126"/>
      <c r="H47" s="2125"/>
      <c r="I47" s="2126"/>
      <c r="J47" s="2125"/>
      <c r="K47" s="2125"/>
    </row>
    <row r="48" spans="2:12" ht="13.5" customHeight="1" x14ac:dyDescent="0.2">
      <c r="B48" s="2127" t="s">
        <v>1758</v>
      </c>
      <c r="C48" s="2127"/>
    </row>
    <row r="49" spans="2:9" ht="10.5" customHeight="1" x14ac:dyDescent="0.2">
      <c r="B49" s="2127" t="s">
        <v>1759</v>
      </c>
      <c r="C49" s="2127"/>
      <c r="G49" s="2074"/>
      <c r="I49" s="2074"/>
    </row>
    <row r="50" spans="2:9" ht="11.1" customHeight="1" x14ac:dyDescent="0.2">
      <c r="B50" s="2127" t="s">
        <v>1760</v>
      </c>
      <c r="C50" s="2127"/>
      <c r="G50" s="2074"/>
      <c r="I50" s="2074"/>
    </row>
    <row r="51" spans="2:9" ht="11.1" customHeight="1" x14ac:dyDescent="0.2">
      <c r="B51" s="2127" t="s">
        <v>1761</v>
      </c>
      <c r="C51" s="2127"/>
      <c r="G51" s="2074"/>
      <c r="I51" s="2074"/>
    </row>
    <row r="52" spans="2:9" ht="11.1" customHeight="1" x14ac:dyDescent="0.2">
      <c r="B52" s="2127" t="s">
        <v>1762</v>
      </c>
      <c r="C52" s="2127"/>
      <c r="G52" s="2074"/>
      <c r="I52" s="207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tToHeight="0" orientation="portrait" r:id="rId1"/>
  <colBreaks count="1" manualBreakCount="1">
    <brk id="11"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647" t="str">
        <f>'Single Audit Cover'!A7</f>
        <v>Pontiac CCSD 429</v>
      </c>
      <c r="C1" s="2647"/>
      <c r="D1" s="2647"/>
      <c r="E1" s="1466"/>
    </row>
    <row r="2" spans="2:5" s="1276" customFormat="1" ht="12.75" customHeight="1" x14ac:dyDescent="0.2">
      <c r="B2" s="2649">
        <f>'Single Audit Cover'!E7</f>
        <v>17053429004</v>
      </c>
      <c r="C2" s="2649"/>
      <c r="D2" s="2649"/>
      <c r="E2" s="1467"/>
    </row>
    <row r="3" spans="2:5" ht="12.75" customHeight="1" x14ac:dyDescent="0.2">
      <c r="B3" s="2670" t="s">
        <v>1763</v>
      </c>
      <c r="C3" s="2670"/>
      <c r="D3" s="2670"/>
      <c r="E3" s="1268"/>
    </row>
    <row r="4" spans="2:5" s="1276" customFormat="1" ht="12.75" customHeight="1" x14ac:dyDescent="0.2">
      <c r="B4" s="2687" t="str">
        <f>'Single Audit Cover'!A4</f>
        <v>Year Ending June 30, 2019</v>
      </c>
      <c r="C4" s="2687"/>
      <c r="D4" s="2687"/>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2199</v>
      </c>
      <c r="C7" s="324" t="s">
        <v>2200</v>
      </c>
      <c r="D7" s="324" t="s">
        <v>2201</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2051" customWidth="1"/>
    <col min="2" max="2" width="11.28515625" style="2051" customWidth="1"/>
    <col min="3" max="3" width="6.42578125" style="2051" customWidth="1"/>
    <col min="4" max="4" width="5.42578125" style="2051" customWidth="1"/>
    <col min="5" max="5" width="74.7109375" style="2051" customWidth="1"/>
    <col min="6" max="6" width="1.5703125" style="2051" customWidth="1"/>
    <col min="7" max="8" width="2.42578125" style="2051" customWidth="1"/>
    <col min="9" max="9" width="9.28515625" style="2051" customWidth="1"/>
    <col min="10" max="10" width="14.42578125" style="2051" customWidth="1"/>
    <col min="11" max="11" width="7.28515625" style="2051" customWidth="1"/>
    <col min="12" max="12" width="3.140625" style="2051" customWidth="1"/>
    <col min="13" max="16384" width="9.140625" style="2051"/>
  </cols>
  <sheetData>
    <row r="1" spans="2:12" ht="13.5" customHeight="1" x14ac:dyDescent="0.2">
      <c r="B1" s="2689" t="str">
        <f>'Finding 2019-001'!B1:K1</f>
        <v>Pontiac CCSD 429</v>
      </c>
      <c r="C1" s="2689"/>
      <c r="D1" s="2689"/>
      <c r="E1" s="2689"/>
      <c r="F1" s="2050"/>
      <c r="G1" s="2050"/>
      <c r="H1" s="2050"/>
      <c r="I1" s="2050"/>
      <c r="J1" s="2050"/>
      <c r="K1" s="2050"/>
      <c r="L1" s="2050"/>
    </row>
    <row r="2" spans="2:12" ht="13.5" customHeight="1" x14ac:dyDescent="0.2">
      <c r="B2" s="2690">
        <f>'Finding 2019-001'!B2:K2</f>
        <v>17053429004</v>
      </c>
      <c r="C2" s="2690"/>
      <c r="D2" s="2690"/>
      <c r="E2" s="2690"/>
      <c r="F2" s="2052"/>
      <c r="G2" s="2052"/>
      <c r="H2" s="2052"/>
      <c r="I2" s="2052"/>
      <c r="J2" s="2052"/>
      <c r="K2" s="2052"/>
      <c r="L2" s="2052"/>
    </row>
    <row r="3" spans="2:12" ht="13.5" customHeight="1" x14ac:dyDescent="0.2">
      <c r="B3" s="2691" t="s">
        <v>2185</v>
      </c>
      <c r="C3" s="2691"/>
      <c r="D3" s="2691"/>
      <c r="E3" s="2691"/>
      <c r="F3" s="2053"/>
      <c r="G3" s="2053"/>
      <c r="H3" s="2053"/>
      <c r="I3" s="2053"/>
      <c r="J3" s="2053"/>
      <c r="K3" s="2053"/>
      <c r="L3" s="2053"/>
    </row>
    <row r="4" spans="2:12" ht="13.5" customHeight="1" x14ac:dyDescent="0.2">
      <c r="B4" s="2692" t="s">
        <v>1986</v>
      </c>
      <c r="C4" s="2692"/>
      <c r="D4" s="2692"/>
      <c r="E4" s="2692"/>
      <c r="F4" s="2054"/>
      <c r="G4" s="2054"/>
      <c r="H4" s="2054"/>
      <c r="I4" s="2054"/>
      <c r="J4" s="2054"/>
      <c r="K4" s="2054"/>
      <c r="L4" s="2054"/>
    </row>
    <row r="5" spans="2:12" ht="29.85" customHeight="1" x14ac:dyDescent="0.2"/>
    <row r="6" spans="2:12" ht="13.5" customHeight="1" x14ac:dyDescent="0.2">
      <c r="B6" s="2055" t="s">
        <v>2186</v>
      </c>
      <c r="C6" s="2055"/>
      <c r="D6" s="2056"/>
      <c r="E6" s="2057"/>
      <c r="F6" s="2057"/>
      <c r="G6" s="2058"/>
      <c r="H6" s="2058"/>
      <c r="I6" s="2058"/>
    </row>
    <row r="7" spans="2:12" ht="13.5" customHeight="1" x14ac:dyDescent="0.2">
      <c r="B7" s="2051" t="s">
        <v>1169</v>
      </c>
    </row>
    <row r="8" spans="2:12" ht="13.5" customHeight="1" x14ac:dyDescent="0.2">
      <c r="B8" s="2059" t="s">
        <v>2187</v>
      </c>
      <c r="C8" s="2060" t="s">
        <v>1988</v>
      </c>
      <c r="D8" s="2061">
        <v>1</v>
      </c>
    </row>
    <row r="9" spans="2:12" ht="13.5" customHeight="1" x14ac:dyDescent="0.2">
      <c r="B9" s="2062"/>
      <c r="C9" s="2062"/>
      <c r="D9" s="2062"/>
    </row>
    <row r="10" spans="2:12" ht="13.5" customHeight="1" x14ac:dyDescent="0.2">
      <c r="B10" s="2059" t="s">
        <v>2188</v>
      </c>
      <c r="C10" s="2059"/>
    </row>
    <row r="11" spans="2:12" ht="66.75" customHeight="1" x14ac:dyDescent="0.2">
      <c r="B11" s="2688" t="s">
        <v>2179</v>
      </c>
      <c r="C11" s="2688"/>
      <c r="D11" s="2688"/>
      <c r="E11" s="2688"/>
    </row>
    <row r="12" spans="2:12" ht="13.5" customHeight="1" x14ac:dyDescent="0.2"/>
    <row r="13" spans="2:12" ht="13.5" customHeight="1" x14ac:dyDescent="0.2">
      <c r="B13" s="2059" t="s">
        <v>2189</v>
      </c>
      <c r="C13" s="2059"/>
    </row>
    <row r="14" spans="2:12" ht="76.5" customHeight="1" x14ac:dyDescent="0.2">
      <c r="B14" s="2688" t="s">
        <v>2190</v>
      </c>
      <c r="C14" s="2688"/>
      <c r="D14" s="2688"/>
      <c r="E14" s="2688"/>
    </row>
    <row r="15" spans="2:12" ht="13.5" customHeight="1" x14ac:dyDescent="0.2"/>
    <row r="16" spans="2:12" ht="13.5" customHeight="1" x14ac:dyDescent="0.2">
      <c r="B16" s="2059" t="s">
        <v>2191</v>
      </c>
      <c r="C16" s="2059"/>
      <c r="E16" s="2063" t="s">
        <v>2192</v>
      </c>
    </row>
    <row r="17" spans="2:5" ht="13.5" customHeight="1" x14ac:dyDescent="0.2"/>
    <row r="18" spans="2:5" ht="13.5" customHeight="1" x14ac:dyDescent="0.2">
      <c r="B18" s="2059" t="s">
        <v>2193</v>
      </c>
      <c r="C18" s="2059"/>
      <c r="E18" s="2064" t="s">
        <v>2198</v>
      </c>
    </row>
    <row r="19" spans="2:5" ht="13.5" customHeight="1" x14ac:dyDescent="0.2"/>
    <row r="20" spans="2:5" ht="13.5" customHeight="1" x14ac:dyDescent="0.2">
      <c r="B20" s="2059" t="s">
        <v>2194</v>
      </c>
      <c r="C20" s="2059"/>
      <c r="E20" s="2064" t="s">
        <v>2195</v>
      </c>
    </row>
    <row r="21" spans="2:5" ht="13.5" customHeight="1" x14ac:dyDescent="0.2">
      <c r="E21" s="2064" t="s">
        <v>2196</v>
      </c>
    </row>
    <row r="22" spans="2:5" ht="13.5" customHeight="1" x14ac:dyDescent="0.2">
      <c r="E22" s="2064"/>
    </row>
    <row r="23" spans="2:5" ht="13.5" customHeight="1" x14ac:dyDescent="0.2"/>
    <row r="24" spans="2:5" ht="13.5" customHeight="1" x14ac:dyDescent="0.2"/>
    <row r="25" spans="2:5" ht="13.5" customHeight="1" x14ac:dyDescent="0.2">
      <c r="B25" s="2065"/>
      <c r="C25" s="2065"/>
      <c r="D25" s="2065"/>
    </row>
    <row r="26" spans="2:5" ht="13.5" customHeight="1" x14ac:dyDescent="0.2">
      <c r="B26" s="2065"/>
      <c r="C26" s="2065"/>
      <c r="D26" s="2065"/>
    </row>
    <row r="27" spans="2:5" ht="13.5" customHeight="1" x14ac:dyDescent="0.2">
      <c r="B27" s="2065"/>
      <c r="C27" s="2065"/>
      <c r="D27" s="206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6"/>
      <c r="C35" s="2066"/>
      <c r="D35" s="2066"/>
    </row>
    <row r="36" spans="2:5" ht="13.5" customHeight="1" x14ac:dyDescent="0.2"/>
    <row r="37" spans="2:5" ht="13.5" customHeight="1" x14ac:dyDescent="0.2">
      <c r="B37" s="2066"/>
      <c r="C37" s="2066"/>
      <c r="D37" s="2066"/>
    </row>
    <row r="38" spans="2:5" ht="13.5" customHeight="1" x14ac:dyDescent="0.2">
      <c r="B38" s="2066"/>
      <c r="C38" s="2066"/>
      <c r="D38" s="2066"/>
    </row>
    <row r="39" spans="2:5" ht="13.5" customHeight="1" x14ac:dyDescent="0.2">
      <c r="B39" s="2066"/>
      <c r="C39" s="2066"/>
      <c r="D39" s="2066"/>
    </row>
    <row r="40" spans="2:5" ht="13.5" customHeight="1" x14ac:dyDescent="0.2">
      <c r="B40" s="2066"/>
      <c r="C40" s="2066"/>
      <c r="D40" s="2066"/>
    </row>
    <row r="41" spans="2:5" ht="13.5" customHeight="1" x14ac:dyDescent="0.2">
      <c r="B41" s="2067"/>
      <c r="C41" s="2067"/>
      <c r="D41" s="2067"/>
      <c r="E41" s="2067"/>
    </row>
    <row r="42" spans="2:5" ht="12.2" customHeight="1" x14ac:dyDescent="0.2">
      <c r="B42" s="2068" t="s">
        <v>2197</v>
      </c>
      <c r="C42" s="2068"/>
      <c r="D42" s="2068"/>
    </row>
    <row r="43" spans="2:5" ht="12.2" customHeight="1" x14ac:dyDescent="0.2">
      <c r="B43" s="2069"/>
      <c r="C43" s="2069"/>
      <c r="D43" s="2069"/>
    </row>
    <row r="44" spans="2:5" ht="12.75" customHeight="1" x14ac:dyDescent="0.2">
      <c r="B44" s="2059"/>
      <c r="C44" s="2059"/>
      <c r="D44" s="2059"/>
    </row>
    <row r="45" spans="2:5" ht="12.75" customHeight="1" x14ac:dyDescent="0.2">
      <c r="B45" s="2059"/>
      <c r="C45" s="2059"/>
      <c r="D45" s="2059"/>
    </row>
    <row r="46" spans="2:5" x14ac:dyDescent="0.2">
      <c r="B46" s="2059"/>
      <c r="C46" s="2059"/>
      <c r="D46" s="2059"/>
    </row>
    <row r="47" spans="2:5" x14ac:dyDescent="0.2">
      <c r="B47" s="2059"/>
      <c r="C47" s="2059"/>
      <c r="D47" s="2059"/>
    </row>
    <row r="51" spans="2:4" x14ac:dyDescent="0.2">
      <c r="B51" s="2070"/>
      <c r="C51" s="2070"/>
      <c r="D51" s="207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71"/>
      <c r="C64" s="2071"/>
      <c r="D64" s="2071"/>
    </row>
    <row r="65" spans="2:4" x14ac:dyDescent="0.2">
      <c r="B65" s="2059"/>
      <c r="C65" s="2059"/>
      <c r="D65" s="2059"/>
    </row>
    <row r="66" spans="2:4" x14ac:dyDescent="0.2">
      <c r="B66" s="2059"/>
      <c r="C66" s="2059"/>
      <c r="D66" s="2059"/>
    </row>
    <row r="67" spans="2:4" x14ac:dyDescent="0.2">
      <c r="B67" s="2071"/>
      <c r="C67" s="2071"/>
      <c r="D67" s="2071"/>
    </row>
    <row r="68" spans="2:4" x14ac:dyDescent="0.2">
      <c r="B68" s="2071"/>
      <c r="C68" s="2071"/>
      <c r="D68" s="2071"/>
    </row>
    <row r="69" spans="2:4" x14ac:dyDescent="0.2">
      <c r="B69" s="2071"/>
      <c r="C69" s="2071"/>
      <c r="D69" s="2071"/>
    </row>
    <row r="70" spans="2:4" x14ac:dyDescent="0.2">
      <c r="B70" s="2059"/>
      <c r="C70" s="2059"/>
      <c r="D70" s="205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2051" customWidth="1"/>
    <col min="2" max="2" width="11.28515625" style="2051" customWidth="1"/>
    <col min="3" max="3" width="6.42578125" style="2051" customWidth="1"/>
    <col min="4" max="4" width="5.42578125" style="2051" customWidth="1"/>
    <col min="5" max="5" width="74.7109375" style="2051" customWidth="1"/>
    <col min="6" max="6" width="1.5703125" style="2051" customWidth="1"/>
    <col min="7" max="8" width="2.42578125" style="2051" customWidth="1"/>
    <col min="9" max="9" width="9.28515625" style="2051" customWidth="1"/>
    <col min="10" max="10" width="14.42578125" style="2051" customWidth="1"/>
    <col min="11" max="11" width="7.28515625" style="2051" customWidth="1"/>
    <col min="12" max="12" width="3.140625" style="2051" customWidth="1"/>
    <col min="13" max="16384" width="9.140625" style="2051"/>
  </cols>
  <sheetData>
    <row r="1" spans="2:12" ht="13.5" customHeight="1" x14ac:dyDescent="0.2">
      <c r="B1" s="2689" t="str">
        <f>COVER!A17</f>
        <v>Pontiac CCSD 429</v>
      </c>
      <c r="C1" s="2689"/>
      <c r="D1" s="2689"/>
      <c r="E1" s="2689"/>
      <c r="F1" s="2050"/>
      <c r="G1" s="2050"/>
      <c r="H1" s="2050"/>
      <c r="I1" s="2050"/>
      <c r="J1" s="2050"/>
      <c r="K1" s="2050"/>
      <c r="L1" s="2050"/>
    </row>
    <row r="2" spans="2:12" ht="13.5" customHeight="1" x14ac:dyDescent="0.2">
      <c r="B2" s="2690">
        <f>COVER!A13</f>
        <v>17053429004</v>
      </c>
      <c r="C2" s="2690"/>
      <c r="D2" s="2690"/>
      <c r="E2" s="2690"/>
      <c r="F2" s="2052"/>
      <c r="G2" s="2052"/>
      <c r="H2" s="2052"/>
      <c r="I2" s="2052"/>
      <c r="J2" s="2052"/>
      <c r="K2" s="2052"/>
      <c r="L2" s="2052"/>
    </row>
    <row r="3" spans="2:12" ht="13.5" customHeight="1" x14ac:dyDescent="0.2">
      <c r="B3" s="2691" t="s">
        <v>2185</v>
      </c>
      <c r="C3" s="2691"/>
      <c r="D3" s="2691"/>
      <c r="E3" s="2691"/>
      <c r="F3" s="2053"/>
      <c r="G3" s="2053"/>
      <c r="H3" s="2053"/>
      <c r="I3" s="2053"/>
      <c r="J3" s="2053"/>
      <c r="K3" s="2053"/>
      <c r="L3" s="2053"/>
    </row>
    <row r="4" spans="2:12" ht="13.5" customHeight="1" x14ac:dyDescent="0.2">
      <c r="B4" s="2692" t="s">
        <v>1986</v>
      </c>
      <c r="C4" s="2692"/>
      <c r="D4" s="2692"/>
      <c r="E4" s="2692"/>
      <c r="F4" s="2054"/>
      <c r="G4" s="2054"/>
      <c r="H4" s="2054"/>
      <c r="I4" s="2054"/>
      <c r="J4" s="2054"/>
      <c r="K4" s="2054"/>
      <c r="L4" s="2054"/>
    </row>
    <row r="5" spans="2:12" ht="29.85" customHeight="1" x14ac:dyDescent="0.2"/>
    <row r="6" spans="2:12" ht="13.5" customHeight="1" x14ac:dyDescent="0.2">
      <c r="B6" s="2055" t="s">
        <v>2186</v>
      </c>
      <c r="C6" s="2055"/>
      <c r="D6" s="2056"/>
      <c r="E6" s="2057"/>
      <c r="F6" s="2057"/>
      <c r="G6" s="2058"/>
      <c r="H6" s="2058"/>
      <c r="I6" s="2058"/>
    </row>
    <row r="7" spans="2:12" ht="13.5" customHeight="1" x14ac:dyDescent="0.2">
      <c r="B7" s="2051" t="s">
        <v>1169</v>
      </c>
    </row>
    <row r="8" spans="2:12" ht="13.5" customHeight="1" x14ac:dyDescent="0.2">
      <c r="B8" s="2059" t="s">
        <v>2187</v>
      </c>
      <c r="C8" s="2060" t="s">
        <v>1988</v>
      </c>
      <c r="D8" s="2061">
        <v>2</v>
      </c>
    </row>
    <row r="9" spans="2:12" ht="13.5" customHeight="1" x14ac:dyDescent="0.2">
      <c r="B9" s="2062"/>
      <c r="C9" s="2062"/>
      <c r="D9" s="2062"/>
    </row>
    <row r="10" spans="2:12" ht="13.5" customHeight="1" x14ac:dyDescent="0.2">
      <c r="B10" s="2059" t="s">
        <v>2188</v>
      </c>
      <c r="C10" s="2059"/>
    </row>
    <row r="11" spans="2:12" ht="66.75" customHeight="1" x14ac:dyDescent="0.2">
      <c r="B11" s="2688" t="s">
        <v>2226</v>
      </c>
      <c r="C11" s="2688"/>
      <c r="D11" s="2688"/>
      <c r="E11" s="2688"/>
    </row>
    <row r="12" spans="2:12" ht="13.5" customHeight="1" x14ac:dyDescent="0.2"/>
    <row r="13" spans="2:12" ht="13.5" customHeight="1" x14ac:dyDescent="0.2">
      <c r="B13" s="2059" t="s">
        <v>2189</v>
      </c>
      <c r="C13" s="2059"/>
    </row>
    <row r="14" spans="2:12" ht="76.5" customHeight="1" x14ac:dyDescent="0.2">
      <c r="B14" s="2688" t="s">
        <v>2227</v>
      </c>
      <c r="C14" s="2688"/>
      <c r="D14" s="2688"/>
      <c r="E14" s="2688"/>
    </row>
    <row r="15" spans="2:12" ht="13.5" customHeight="1" x14ac:dyDescent="0.2"/>
    <row r="16" spans="2:12" ht="13.5" customHeight="1" x14ac:dyDescent="0.2">
      <c r="B16" s="2059" t="s">
        <v>2191</v>
      </c>
      <c r="C16" s="2059"/>
      <c r="E16" s="2072" t="s">
        <v>2230</v>
      </c>
    </row>
    <row r="17" spans="2:5" ht="13.5" customHeight="1" x14ac:dyDescent="0.2"/>
    <row r="18" spans="2:5" ht="13.5" customHeight="1" x14ac:dyDescent="0.2">
      <c r="B18" s="2059" t="s">
        <v>2193</v>
      </c>
      <c r="C18" s="2059"/>
      <c r="E18" s="2064" t="s">
        <v>2198</v>
      </c>
    </row>
    <row r="19" spans="2:5" ht="13.5" customHeight="1" x14ac:dyDescent="0.2"/>
    <row r="20" spans="2:5" ht="13.5" customHeight="1" x14ac:dyDescent="0.2">
      <c r="B20" s="2059" t="s">
        <v>2194</v>
      </c>
      <c r="C20" s="2059"/>
      <c r="E20" s="2064" t="s">
        <v>2228</v>
      </c>
    </row>
    <row r="21" spans="2:5" ht="13.5" customHeight="1" x14ac:dyDescent="0.2">
      <c r="E21" s="2064" t="s">
        <v>2229</v>
      </c>
    </row>
    <row r="22" spans="2:5" ht="13.5" customHeight="1" x14ac:dyDescent="0.2">
      <c r="E22" s="2064"/>
    </row>
    <row r="23" spans="2:5" ht="13.5" customHeight="1" x14ac:dyDescent="0.2"/>
    <row r="24" spans="2:5" ht="13.5" customHeight="1" x14ac:dyDescent="0.2"/>
    <row r="25" spans="2:5" ht="13.5" customHeight="1" x14ac:dyDescent="0.2">
      <c r="B25" s="2065"/>
      <c r="C25" s="2065"/>
      <c r="D25" s="2065"/>
    </row>
    <row r="26" spans="2:5" ht="13.5" customHeight="1" x14ac:dyDescent="0.2">
      <c r="B26" s="2065"/>
      <c r="C26" s="2065"/>
      <c r="D26" s="2065"/>
    </row>
    <row r="27" spans="2:5" ht="13.5" customHeight="1" x14ac:dyDescent="0.2">
      <c r="B27" s="2065"/>
      <c r="C27" s="2065"/>
      <c r="D27" s="206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6"/>
      <c r="C35" s="2066"/>
      <c r="D35" s="2066"/>
    </row>
    <row r="36" spans="2:5" ht="13.5" customHeight="1" x14ac:dyDescent="0.2"/>
    <row r="37" spans="2:5" ht="13.5" customHeight="1" x14ac:dyDescent="0.2">
      <c r="B37" s="2066"/>
      <c r="C37" s="2066"/>
      <c r="D37" s="2066"/>
    </row>
    <row r="38" spans="2:5" ht="13.5" customHeight="1" x14ac:dyDescent="0.2">
      <c r="B38" s="2066"/>
      <c r="C38" s="2066"/>
      <c r="D38" s="2066"/>
    </row>
    <row r="39" spans="2:5" ht="13.5" customHeight="1" x14ac:dyDescent="0.2">
      <c r="B39" s="2066"/>
      <c r="C39" s="2066"/>
      <c r="D39" s="2066"/>
    </row>
    <row r="40" spans="2:5" ht="13.5" customHeight="1" x14ac:dyDescent="0.2">
      <c r="B40" s="2066"/>
      <c r="C40" s="2066"/>
      <c r="D40" s="2066"/>
    </row>
    <row r="41" spans="2:5" ht="13.5" customHeight="1" x14ac:dyDescent="0.2">
      <c r="B41" s="2067"/>
      <c r="C41" s="2067"/>
      <c r="D41" s="2067"/>
      <c r="E41" s="2067"/>
    </row>
    <row r="42" spans="2:5" ht="12.2" customHeight="1" x14ac:dyDescent="0.2">
      <c r="B42" s="2068" t="s">
        <v>2197</v>
      </c>
      <c r="C42" s="2068"/>
      <c r="D42" s="2068"/>
    </row>
    <row r="43" spans="2:5" ht="12.2" customHeight="1" x14ac:dyDescent="0.2">
      <c r="B43" s="2069"/>
      <c r="C43" s="2069"/>
      <c r="D43" s="2069"/>
    </row>
    <row r="44" spans="2:5" ht="12.75" customHeight="1" x14ac:dyDescent="0.2">
      <c r="B44" s="2059"/>
      <c r="C44" s="2059"/>
      <c r="D44" s="2059"/>
    </row>
    <row r="45" spans="2:5" ht="12.75" customHeight="1" x14ac:dyDescent="0.2">
      <c r="B45" s="2059"/>
      <c r="C45" s="2059"/>
      <c r="D45" s="2059"/>
    </row>
    <row r="46" spans="2:5" x14ac:dyDescent="0.2">
      <c r="B46" s="2059"/>
      <c r="C46" s="2059"/>
      <c r="D46" s="2059"/>
    </row>
    <row r="47" spans="2:5" x14ac:dyDescent="0.2">
      <c r="B47" s="2059"/>
      <c r="C47" s="2059"/>
      <c r="D47" s="2059"/>
    </row>
    <row r="51" spans="2:4" x14ac:dyDescent="0.2">
      <c r="B51" s="2070"/>
      <c r="C51" s="2070"/>
      <c r="D51" s="207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71"/>
      <c r="C64" s="2071"/>
      <c r="D64" s="2071"/>
    </row>
    <row r="65" spans="2:4" x14ac:dyDescent="0.2">
      <c r="B65" s="2059"/>
      <c r="C65" s="2059"/>
      <c r="D65" s="2059"/>
    </row>
    <row r="66" spans="2:4" x14ac:dyDescent="0.2">
      <c r="B66" s="2059"/>
      <c r="C66" s="2059"/>
      <c r="D66" s="2059"/>
    </row>
    <row r="67" spans="2:4" x14ac:dyDescent="0.2">
      <c r="B67" s="2071"/>
      <c r="C67" s="2071"/>
      <c r="D67" s="2071"/>
    </row>
    <row r="68" spans="2:4" x14ac:dyDescent="0.2">
      <c r="B68" s="2071"/>
      <c r="C68" s="2071"/>
      <c r="D68" s="2071"/>
    </row>
    <row r="69" spans="2:4" x14ac:dyDescent="0.2">
      <c r="B69" s="2071"/>
      <c r="C69" s="2071"/>
      <c r="D69" s="2071"/>
    </row>
    <row r="70" spans="2:4" x14ac:dyDescent="0.2">
      <c r="B70" s="2059"/>
      <c r="C70" s="2059"/>
      <c r="D70" s="205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51" customWidth="1"/>
    <col min="2" max="2" width="11.28515625" style="2051" customWidth="1"/>
    <col min="3" max="3" width="6.42578125" style="2051" customWidth="1"/>
    <col min="4" max="4" width="5.42578125" style="2051" customWidth="1"/>
    <col min="5" max="5" width="74.7109375" style="2051" customWidth="1"/>
    <col min="6" max="6" width="1.5703125" style="2051" customWidth="1"/>
    <col min="7" max="8" width="2.42578125" style="2051" customWidth="1"/>
    <col min="9" max="9" width="9.28515625" style="2051" customWidth="1"/>
    <col min="10" max="10" width="14.42578125" style="2051" customWidth="1"/>
    <col min="11" max="11" width="7.28515625" style="2051" customWidth="1"/>
    <col min="12" max="12" width="3.140625" style="2051" customWidth="1"/>
    <col min="13" max="16384" width="9.140625" style="2051"/>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89" t="str">
        <f>'CAP 2019-002'!B1:E1</f>
        <v>Pontiac CCSD 429</v>
      </c>
      <c r="C11" s="2689"/>
      <c r="D11" s="2689"/>
      <c r="E11" s="2689"/>
      <c r="F11" s="2050"/>
      <c r="G11" s="2050"/>
      <c r="H11" s="2050"/>
      <c r="I11" s="2050"/>
      <c r="J11" s="2050"/>
      <c r="K11" s="2050"/>
      <c r="L11" s="2050"/>
    </row>
    <row r="12" spans="2:12" ht="13.5" customHeight="1" x14ac:dyDescent="0.2">
      <c r="B12" s="2693" t="s">
        <v>2246</v>
      </c>
      <c r="C12" s="2693"/>
      <c r="D12" s="2693"/>
      <c r="E12" s="2693"/>
      <c r="F12" s="2052"/>
      <c r="G12" s="2052"/>
      <c r="H12" s="2052"/>
      <c r="I12" s="2052"/>
      <c r="J12" s="2052"/>
      <c r="K12" s="2052"/>
      <c r="L12" s="2052"/>
    </row>
    <row r="13" spans="2:12" ht="13.5" customHeight="1" x14ac:dyDescent="0.2">
      <c r="B13" s="2691">
        <f>'CAP 2019-002'!B2:E2</f>
        <v>17053429004</v>
      </c>
      <c r="C13" s="2691"/>
      <c r="D13" s="2691"/>
      <c r="E13" s="2691"/>
      <c r="F13" s="2053"/>
      <c r="G13" s="2053"/>
      <c r="H13" s="2053"/>
      <c r="I13" s="2053"/>
      <c r="J13" s="2053"/>
      <c r="K13" s="2053"/>
      <c r="L13" s="2053"/>
    </row>
    <row r="14" spans="2:12" ht="13.5" customHeight="1" x14ac:dyDescent="0.2">
      <c r="B14" s="2692" t="s">
        <v>1986</v>
      </c>
      <c r="C14" s="2692"/>
      <c r="D14" s="2692"/>
      <c r="E14" s="2692"/>
      <c r="F14" s="2054"/>
      <c r="G14" s="2054"/>
      <c r="H14" s="2054"/>
      <c r="I14" s="2054"/>
      <c r="J14" s="2054"/>
      <c r="K14" s="2054"/>
      <c r="L14" s="2054"/>
    </row>
    <row r="15" spans="2:12" ht="29.85" customHeight="1" x14ac:dyDescent="0.2"/>
    <row r="16" spans="2:12" ht="13.5" customHeight="1" x14ac:dyDescent="0.2">
      <c r="B16" s="2055" t="s">
        <v>2186</v>
      </c>
      <c r="C16" s="2055"/>
      <c r="D16" s="2056"/>
      <c r="E16" s="2057"/>
      <c r="F16" s="2057"/>
      <c r="G16" s="2058"/>
      <c r="H16" s="2058"/>
      <c r="I16" s="2058"/>
    </row>
    <row r="17" spans="2:5" ht="13.5" customHeight="1" x14ac:dyDescent="0.2">
      <c r="B17" s="2051" t="s">
        <v>1169</v>
      </c>
    </row>
    <row r="18" spans="2:5" ht="13.5" customHeight="1" x14ac:dyDescent="0.2">
      <c r="B18" s="2059" t="s">
        <v>2187</v>
      </c>
      <c r="C18" s="2060">
        <v>2019</v>
      </c>
      <c r="D18" s="2061">
        <v>3</v>
      </c>
    </row>
    <row r="19" spans="2:5" ht="13.5" customHeight="1" x14ac:dyDescent="0.2">
      <c r="B19" s="2062"/>
      <c r="C19" s="2062"/>
      <c r="D19" s="2062"/>
    </row>
    <row r="20" spans="2:5" ht="13.5" customHeight="1" x14ac:dyDescent="0.2">
      <c r="B20" s="2059" t="s">
        <v>2188</v>
      </c>
      <c r="C20" s="2059"/>
    </row>
    <row r="21" spans="2:5" ht="66.75" customHeight="1" x14ac:dyDescent="0.2">
      <c r="B21" s="2688" t="s">
        <v>2247</v>
      </c>
      <c r="C21" s="2688"/>
      <c r="D21" s="2688"/>
      <c r="E21" s="2688"/>
    </row>
    <row r="22" spans="2:5" ht="13.5" customHeight="1" x14ac:dyDescent="0.2"/>
    <row r="23" spans="2:5" ht="13.5" customHeight="1" x14ac:dyDescent="0.2">
      <c r="B23" s="2059" t="s">
        <v>2189</v>
      </c>
      <c r="C23" s="2059"/>
    </row>
    <row r="24" spans="2:5" ht="76.5" customHeight="1" x14ac:dyDescent="0.2">
      <c r="B24" s="2688" t="s">
        <v>2248</v>
      </c>
      <c r="C24" s="2688"/>
      <c r="D24" s="2688"/>
      <c r="E24" s="2688"/>
    </row>
    <row r="25" spans="2:5" ht="13.5" customHeight="1" x14ac:dyDescent="0.2"/>
    <row r="26" spans="2:5" ht="13.5" customHeight="1" x14ac:dyDescent="0.2">
      <c r="B26" s="2059" t="s">
        <v>2191</v>
      </c>
      <c r="C26" s="2059"/>
      <c r="E26" s="2072" t="s">
        <v>2249</v>
      </c>
    </row>
    <row r="27" spans="2:5" ht="13.5" customHeight="1" x14ac:dyDescent="0.2"/>
    <row r="28" spans="2:5" ht="13.5" customHeight="1" x14ac:dyDescent="0.2">
      <c r="B28" s="2059" t="s">
        <v>2193</v>
      </c>
      <c r="C28" s="2059"/>
      <c r="E28" s="2064" t="str">
        <f>'CAP 2019-002'!E18</f>
        <v>Brian Dukes, Superintendent</v>
      </c>
    </row>
    <row r="29" spans="2:5" ht="13.5" customHeight="1" x14ac:dyDescent="0.2"/>
    <row r="30" spans="2:5" ht="25.5" customHeight="1" x14ac:dyDescent="0.2">
      <c r="B30" s="2128" t="s">
        <v>2194</v>
      </c>
      <c r="C30" s="2059"/>
      <c r="E30" s="2129" t="s">
        <v>2250</v>
      </c>
    </row>
    <row r="31" spans="2:5" ht="13.5" customHeight="1" x14ac:dyDescent="0.2">
      <c r="E31" s="2064"/>
    </row>
    <row r="32" spans="2:5"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2066"/>
      <c r="C37" s="2066"/>
      <c r="D37" s="2066"/>
    </row>
    <row r="38" spans="2:5" ht="13.5" customHeight="1" x14ac:dyDescent="0.2"/>
    <row r="39" spans="2:5" ht="13.5" customHeight="1" x14ac:dyDescent="0.2">
      <c r="B39" s="2066"/>
      <c r="C39" s="2066"/>
      <c r="D39" s="2066"/>
    </row>
    <row r="40" spans="2:5" ht="13.5" customHeight="1" x14ac:dyDescent="0.2">
      <c r="B40" s="2066"/>
      <c r="C40" s="2066"/>
      <c r="D40" s="2066"/>
    </row>
    <row r="41" spans="2:5" ht="13.5" customHeight="1" x14ac:dyDescent="0.2">
      <c r="B41" s="2066"/>
      <c r="C41" s="2066"/>
      <c r="D41" s="2066"/>
    </row>
    <row r="42" spans="2:5" ht="13.5" customHeight="1" x14ac:dyDescent="0.2">
      <c r="B42" s="2066"/>
      <c r="C42" s="2066"/>
      <c r="D42" s="2066"/>
    </row>
    <row r="43" spans="2:5" ht="13.5" customHeight="1" x14ac:dyDescent="0.2">
      <c r="B43" s="2067"/>
      <c r="C43" s="2067"/>
      <c r="D43" s="2067"/>
      <c r="E43" s="2067"/>
    </row>
    <row r="44" spans="2:5" ht="12.2" customHeight="1" x14ac:dyDescent="0.2">
      <c r="B44" s="2068" t="s">
        <v>2197</v>
      </c>
      <c r="C44" s="2068"/>
      <c r="D44" s="2068"/>
    </row>
    <row r="45" spans="2:5" ht="12.2" customHeight="1" x14ac:dyDescent="0.2">
      <c r="B45" s="2069"/>
      <c r="C45" s="2069"/>
      <c r="D45" s="2069"/>
    </row>
    <row r="46" spans="2:5" ht="12.75" customHeight="1" x14ac:dyDescent="0.2">
      <c r="B46" s="2059"/>
      <c r="C46" s="2059"/>
      <c r="D46" s="2059"/>
    </row>
    <row r="47" spans="2:5" ht="12.75" customHeight="1" x14ac:dyDescent="0.2">
      <c r="B47" s="2059"/>
      <c r="C47" s="2059"/>
      <c r="D47" s="2059"/>
    </row>
    <row r="48" spans="2:5" x14ac:dyDescent="0.2">
      <c r="B48" s="2059"/>
      <c r="C48" s="2059"/>
      <c r="D48" s="2059"/>
    </row>
    <row r="49" spans="2:4" x14ac:dyDescent="0.2">
      <c r="B49" s="2059"/>
      <c r="C49" s="2059"/>
      <c r="D49" s="2059"/>
    </row>
    <row r="53" spans="2:4" x14ac:dyDescent="0.2">
      <c r="B53" s="2070"/>
      <c r="C53" s="2070"/>
      <c r="D53" s="2070"/>
    </row>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2" spans="2:4" ht="12.75" customHeight="1" x14ac:dyDescent="0.2"/>
    <row r="66" spans="2:4" x14ac:dyDescent="0.2">
      <c r="B66" s="2071"/>
      <c r="C66" s="2071"/>
      <c r="D66" s="2071"/>
    </row>
    <row r="67" spans="2:4" x14ac:dyDescent="0.2">
      <c r="B67" s="2059"/>
      <c r="C67" s="2059"/>
      <c r="D67" s="2059"/>
    </row>
    <row r="68" spans="2:4" x14ac:dyDescent="0.2">
      <c r="B68" s="2059"/>
      <c r="C68" s="2059"/>
      <c r="D68" s="2059"/>
    </row>
    <row r="69" spans="2:4" x14ac:dyDescent="0.2">
      <c r="B69" s="2071"/>
      <c r="C69" s="2071"/>
      <c r="D69" s="2071"/>
    </row>
    <row r="70" spans="2:4" x14ac:dyDescent="0.2">
      <c r="B70" s="2071"/>
      <c r="C70" s="2071"/>
      <c r="D70" s="2071"/>
    </row>
    <row r="71" spans="2:4" x14ac:dyDescent="0.2">
      <c r="B71" s="2071"/>
      <c r="C71" s="2071"/>
      <c r="D71" s="2071"/>
    </row>
    <row r="72" spans="2:4" x14ac:dyDescent="0.2">
      <c r="B72" s="2059"/>
      <c r="C72" s="2059"/>
      <c r="D72" s="2059"/>
    </row>
  </sheetData>
  <mergeCells count="6">
    <mergeCell ref="B24:E24"/>
    <mergeCell ref="B11:E11"/>
    <mergeCell ref="B12:E12"/>
    <mergeCell ref="B13:E13"/>
    <mergeCell ref="B14:E14"/>
    <mergeCell ref="B21:E2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73" t="s">
        <v>386</v>
      </c>
      <c r="B1" s="2273"/>
      <c r="C1" s="2273"/>
      <c r="D1" s="2273"/>
      <c r="E1" s="2273"/>
      <c r="F1" s="2273"/>
      <c r="G1" s="2273"/>
      <c r="H1" s="2273"/>
      <c r="I1" s="2273"/>
      <c r="J1" s="2273"/>
      <c r="K1" s="2273"/>
      <c r="L1" s="2273"/>
      <c r="M1" s="227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183730341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2.8790199999999998E-2</v>
      </c>
      <c r="E10" s="356" t="s">
        <v>1005</v>
      </c>
      <c r="F10" s="355">
        <v>2.9894000000000001E-3</v>
      </c>
      <c r="G10" s="356" t="s">
        <v>1005</v>
      </c>
      <c r="H10" s="355">
        <v>1.5054999999999999E-3</v>
      </c>
      <c r="I10" s="356" t="s">
        <v>1006</v>
      </c>
      <c r="J10" s="1729">
        <f>ROUND(D10+F10+H10,5)</f>
        <v>3.329E-2</v>
      </c>
      <c r="K10" s="222"/>
      <c r="L10" s="355">
        <v>2.6999999999999999E-5</v>
      </c>
      <c r="M10" s="222"/>
    </row>
    <row r="11" spans="1:14" ht="7.5" customHeight="1" x14ac:dyDescent="0.2">
      <c r="B11" s="222"/>
      <c r="C11" s="222"/>
      <c r="D11" s="2283" t="str">
        <f>IF(SUM(J10)&lt;=0.0999999,"","Enter the Tax Rates by moving the decimal two places to the left.")</f>
        <v/>
      </c>
      <c r="E11" s="2284"/>
      <c r="F11" s="2284"/>
      <c r="G11" s="2284"/>
      <c r="H11" s="2284"/>
      <c r="I11" s="2284"/>
      <c r="J11" s="228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14033167</v>
      </c>
      <c r="E16" s="356"/>
      <c r="F16" s="1730">
        <f>SUM('Acct Summary 7-8'!C17,'Acct Summary 7-8'!D17,'Acct Summary 7-8'!F17)</f>
        <v>13898694</v>
      </c>
      <c r="G16" s="356"/>
      <c r="H16" s="1730">
        <f>SUM(D16-F16)</f>
        <v>134473</v>
      </c>
      <c r="I16" s="222"/>
      <c r="J16" s="1730">
        <f>SUM('Acct Summary 7-8'!C81,'Acct Summary 7-8'!D81,'Acct Summary 7-8'!F81,'Acct Summary 7-8'!I81)</f>
        <v>7399357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586</v>
      </c>
      <c r="D31" s="237" t="s">
        <v>1072</v>
      </c>
      <c r="E31" s="222"/>
      <c r="F31" s="222"/>
      <c r="G31" s="363"/>
      <c r="H31" s="1732">
        <f>IF(B31="X",(J7*0.069),IF(B32="X",(J7*0.138),"Enter x in a.or b."))</f>
        <v>12677393.529000001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2346984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74"/>
      <c r="C54" s="2275"/>
      <c r="D54" s="2275"/>
      <c r="E54" s="2275"/>
      <c r="F54" s="2275"/>
      <c r="G54" s="2275"/>
      <c r="H54" s="2275"/>
      <c r="I54" s="2275"/>
      <c r="J54" s="2275"/>
      <c r="K54" s="2275"/>
      <c r="L54" s="2276"/>
      <c r="M54" s="380"/>
    </row>
    <row r="55" spans="1:13" ht="12.75" customHeight="1" x14ac:dyDescent="0.2">
      <c r="B55" s="2277"/>
      <c r="C55" s="2278"/>
      <c r="D55" s="2278"/>
      <c r="E55" s="2278"/>
      <c r="F55" s="2278"/>
      <c r="G55" s="2278"/>
      <c r="H55" s="2278"/>
      <c r="I55" s="2278"/>
      <c r="J55" s="2278"/>
      <c r="K55" s="2278"/>
      <c r="L55" s="2279"/>
      <c r="M55" s="380"/>
    </row>
    <row r="56" spans="1:13" ht="12.75" customHeight="1" x14ac:dyDescent="0.2">
      <c r="B56" s="2277"/>
      <c r="C56" s="2278"/>
      <c r="D56" s="2278"/>
      <c r="E56" s="2278"/>
      <c r="F56" s="2278"/>
      <c r="G56" s="2278"/>
      <c r="H56" s="2278"/>
      <c r="I56" s="2278"/>
      <c r="J56" s="2278"/>
      <c r="K56" s="2278"/>
      <c r="L56" s="2279"/>
      <c r="M56" s="222"/>
    </row>
    <row r="57" spans="1:13" ht="12.75" customHeight="1" x14ac:dyDescent="0.2">
      <c r="B57" s="2277"/>
      <c r="C57" s="2278"/>
      <c r="D57" s="2278"/>
      <c r="E57" s="2278"/>
      <c r="F57" s="2278"/>
      <c r="G57" s="2278"/>
      <c r="H57" s="2278"/>
      <c r="I57" s="2278"/>
      <c r="J57" s="2278"/>
      <c r="K57" s="2278"/>
      <c r="L57" s="2279"/>
      <c r="M57" s="222"/>
    </row>
    <row r="58" spans="1:13" x14ac:dyDescent="0.2">
      <c r="B58" s="2280"/>
      <c r="C58" s="2281"/>
      <c r="D58" s="2281"/>
      <c r="E58" s="2281"/>
      <c r="F58" s="2281"/>
      <c r="G58" s="2281"/>
      <c r="H58" s="2281"/>
      <c r="I58" s="2281"/>
      <c r="J58" s="2281"/>
      <c r="K58" s="2281"/>
      <c r="L58" s="228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85"/>
      <c r="D61" s="228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88"/>
      <c r="B1" s="2289"/>
      <c r="C1" s="2289"/>
      <c r="D1" s="384"/>
      <c r="E1" s="384"/>
      <c r="F1" s="384"/>
      <c r="G1" s="384"/>
      <c r="H1" s="384"/>
      <c r="I1" s="384"/>
      <c r="J1" s="384"/>
      <c r="K1" s="384"/>
      <c r="L1" s="384"/>
      <c r="M1" s="384"/>
      <c r="N1" s="384"/>
      <c r="O1" s="2288"/>
      <c r="P1" s="2289"/>
      <c r="Q1" s="2289"/>
    </row>
    <row r="2" spans="1:18" ht="15" x14ac:dyDescent="0.2">
      <c r="A2" s="2292" t="s">
        <v>556</v>
      </c>
      <c r="B2" s="2292"/>
      <c r="C2" s="2292"/>
      <c r="D2" s="2292"/>
      <c r="E2" s="2292"/>
      <c r="F2" s="2292"/>
      <c r="G2" s="2292"/>
      <c r="H2" s="2292"/>
      <c r="I2" s="2292"/>
      <c r="J2" s="2292"/>
      <c r="K2" s="2292"/>
      <c r="L2" s="2292"/>
      <c r="M2" s="2292"/>
      <c r="N2" s="2292"/>
      <c r="O2" s="2292"/>
      <c r="P2" s="2292"/>
      <c r="Q2" s="2292"/>
      <c r="R2" s="2292"/>
    </row>
    <row r="3" spans="1:18" ht="12.75" x14ac:dyDescent="0.2">
      <c r="A3" s="2293" t="s">
        <v>1413</v>
      </c>
      <c r="B3" s="2293"/>
      <c r="C3" s="2293"/>
      <c r="D3" s="2293"/>
      <c r="E3" s="2293"/>
      <c r="F3" s="2293"/>
      <c r="G3" s="2293"/>
      <c r="H3" s="2293"/>
      <c r="I3" s="2293"/>
      <c r="J3" s="2293"/>
      <c r="K3" s="2293"/>
      <c r="L3" s="2293"/>
      <c r="M3" s="2293"/>
      <c r="N3" s="2293"/>
      <c r="O3" s="2293"/>
      <c r="P3" s="2293"/>
      <c r="Q3" s="2293"/>
      <c r="R3" s="2293"/>
    </row>
    <row r="4" spans="1:18" x14ac:dyDescent="0.2">
      <c r="A4" s="2294" t="s">
        <v>1554</v>
      </c>
      <c r="B4" s="2294"/>
      <c r="C4" s="2294"/>
      <c r="D4" s="2294"/>
      <c r="E4" s="2294"/>
      <c r="F4" s="2294"/>
      <c r="G4" s="2294"/>
      <c r="H4" s="2294"/>
      <c r="I4" s="2294"/>
      <c r="J4" s="2294"/>
      <c r="K4" s="2294"/>
      <c r="L4" s="2294"/>
      <c r="M4" s="2294"/>
      <c r="N4" s="2294"/>
      <c r="O4" s="2294"/>
      <c r="P4" s="2294"/>
      <c r="Q4" s="2294"/>
      <c r="R4" s="229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Pontiac CCSD 429</v>
      </c>
      <c r="E7" s="391"/>
      <c r="G7" s="252"/>
      <c r="H7" s="387"/>
      <c r="I7" s="387"/>
      <c r="J7" s="387"/>
      <c r="K7" s="387"/>
      <c r="L7" s="329"/>
      <c r="M7" s="329"/>
      <c r="N7" s="329"/>
      <c r="O7" s="329"/>
      <c r="P7" s="329"/>
    </row>
    <row r="8" spans="1:18" ht="12.75" x14ac:dyDescent="0.2">
      <c r="A8" s="329"/>
      <c r="B8" s="329"/>
      <c r="C8" s="389" t="s">
        <v>1125</v>
      </c>
      <c r="D8" s="392">
        <f>COVER!A13</f>
        <v>17053429004</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7399357</v>
      </c>
      <c r="I12" s="404"/>
      <c r="J12" s="404"/>
      <c r="K12" s="405">
        <f>TRUNC((H12/H13*100000),5)/100000</f>
        <v>0.52792298900000001</v>
      </c>
      <c r="L12" s="406"/>
      <c r="M12" s="360" t="s">
        <v>1144</v>
      </c>
      <c r="N12" s="360"/>
      <c r="O12" s="407">
        <v>0.35</v>
      </c>
      <c r="P12" s="218"/>
      <c r="Q12" s="218"/>
    </row>
    <row r="13" spans="1:18" s="408" customFormat="1" ht="12.75" x14ac:dyDescent="0.2">
      <c r="A13" s="218"/>
      <c r="B13" s="401"/>
      <c r="C13" s="2290" t="s">
        <v>1324</v>
      </c>
      <c r="D13" s="2291"/>
      <c r="E13" s="218"/>
      <c r="F13" s="409" t="s">
        <v>793</v>
      </c>
      <c r="G13" s="402"/>
      <c r="H13" s="403">
        <f>SUM('Acct Summary 7-8'!C8+'Acct Summary 7-8'!D8+'Acct Summary 7-8'!F8+'Acct Summary 7-8'!I8)+H14</f>
        <v>14015978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-17189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13898694</v>
      </c>
      <c r="I17" s="404"/>
      <c r="J17" s="416"/>
      <c r="K17" s="405">
        <f>TRUNC((H17/H18*100000),5)/100000</f>
        <v>0.99163212150000002</v>
      </c>
      <c r="L17" s="406"/>
      <c r="M17" s="417" t="s">
        <v>1171</v>
      </c>
      <c r="O17" s="418" t="str">
        <f>IF(AND(O16="2", J20 &gt; 2),"1",IF(AND(O16 = "1", J20 &gt; 2),"2",IF(AND(O16="1", J20 &gt;1),"1","0")))</f>
        <v>0</v>
      </c>
      <c r="P17" s="218"/>
    </row>
    <row r="18" spans="1:18" s="408" customFormat="1" ht="11.25" x14ac:dyDescent="0.2">
      <c r="A18" s="218"/>
      <c r="B18" s="401"/>
      <c r="C18" s="2290" t="s">
        <v>1317</v>
      </c>
      <c r="D18" s="2291"/>
      <c r="E18" s="218"/>
      <c r="F18" s="419" t="s">
        <v>794</v>
      </c>
      <c r="G18" s="402"/>
      <c r="H18" s="403">
        <f>SUM('Acct Summary 7-8'!C8+'Acct Summary 7-8'!D8+'Acct Summary 7-8'!F8+'Acct Summary 7-8'!I8)+H19</f>
        <v>14015978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-17189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87" t="s">
        <v>1412</v>
      </c>
      <c r="D24" s="2287"/>
      <c r="E24" s="218"/>
      <c r="F24" s="218" t="s">
        <v>445</v>
      </c>
      <c r="G24" s="402"/>
      <c r="H24" s="403">
        <f>SUM('Assets-Liab 5-6'!C4+'Assets-Liab 5-6'!D4+'Assets-Liab 5-6'!F4+'Assets-Liab 5-6'!I4+'Assets-Liab 5-6'!C5+'Assets-Liab 5-6'!D5+'Assets-Liab 5-6'!F5+'Assets-Liab 5-6'!I5)</f>
        <v>7399357</v>
      </c>
      <c r="I24" s="422"/>
      <c r="J24" s="422"/>
      <c r="K24" s="423">
        <f>TRUNC(((H24/H25*100000)/100000),2)</f>
        <v>191.65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38607.483330000003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5198925.5941099999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2346984</v>
      </c>
      <c r="I32" s="420"/>
      <c r="J32" s="420"/>
      <c r="K32" s="423">
        <f>TRUNC(100-((((H32/H33*100))*100)/100),2)</f>
        <v>81.48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12677393.529000001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B8" sqref="B8"/>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9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9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97" t="s">
        <v>973</v>
      </c>
      <c r="B3" s="2298"/>
      <c r="C3" s="1556"/>
      <c r="D3" s="1557"/>
      <c r="E3" s="1557"/>
      <c r="F3" s="1557"/>
      <c r="G3" s="1557"/>
      <c r="H3" s="1557"/>
      <c r="I3" s="1557"/>
      <c r="J3" s="1557"/>
      <c r="K3" s="1557"/>
      <c r="L3" s="1557"/>
      <c r="M3" s="1558"/>
      <c r="N3" s="1559"/>
    </row>
    <row r="4" spans="1:14" ht="13.5" customHeight="1" x14ac:dyDescent="0.2">
      <c r="A4" s="463" t="s">
        <v>1651</v>
      </c>
      <c r="B4" s="464"/>
      <c r="C4" s="465">
        <v>1188916</v>
      </c>
      <c r="D4" s="465">
        <v>6157</v>
      </c>
      <c r="E4" s="465">
        <v>8944</v>
      </c>
      <c r="F4" s="465">
        <v>4044</v>
      </c>
      <c r="G4" s="465">
        <v>25935</v>
      </c>
      <c r="H4" s="465">
        <v>26242</v>
      </c>
      <c r="I4" s="465">
        <v>4877</v>
      </c>
      <c r="J4" s="465">
        <v>5286</v>
      </c>
      <c r="K4" s="465">
        <v>2095</v>
      </c>
      <c r="L4" s="465">
        <v>90246</v>
      </c>
      <c r="M4" s="468"/>
      <c r="N4" s="469"/>
    </row>
    <row r="5" spans="1:14" x14ac:dyDescent="0.2">
      <c r="A5" s="463" t="s">
        <v>992</v>
      </c>
      <c r="B5" s="470">
        <v>120</v>
      </c>
      <c r="C5" s="465">
        <v>1615730</v>
      </c>
      <c r="D5" s="465">
        <v>468459</v>
      </c>
      <c r="E5" s="465">
        <v>4</v>
      </c>
      <c r="F5" s="465">
        <v>1795602</v>
      </c>
      <c r="G5" s="465">
        <v>178512</v>
      </c>
      <c r="H5" s="465">
        <v>1231489</v>
      </c>
      <c r="I5" s="465">
        <v>2315572</v>
      </c>
      <c r="J5" s="465">
        <v>159804</v>
      </c>
      <c r="K5" s="465">
        <v>126648</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2804646</v>
      </c>
      <c r="D13" s="1734">
        <f t="shared" ref="D13:L13" si="0">SUM(D4:D12)</f>
        <v>474616</v>
      </c>
      <c r="E13" s="1734">
        <f t="shared" si="0"/>
        <v>8948</v>
      </c>
      <c r="F13" s="1734">
        <f t="shared" si="0"/>
        <v>1799646</v>
      </c>
      <c r="G13" s="1734">
        <f t="shared" si="0"/>
        <v>204447</v>
      </c>
      <c r="H13" s="1734">
        <f t="shared" si="0"/>
        <v>1257731</v>
      </c>
      <c r="I13" s="1734">
        <f t="shared" si="0"/>
        <v>2320449</v>
      </c>
      <c r="J13" s="1734">
        <f t="shared" si="0"/>
        <v>165090</v>
      </c>
      <c r="K13" s="1734">
        <f t="shared" si="0"/>
        <v>128743</v>
      </c>
      <c r="L13" s="1734">
        <f t="shared" si="0"/>
        <v>90246</v>
      </c>
      <c r="M13" s="468"/>
      <c r="N13" s="469"/>
    </row>
    <row r="14" spans="1:14" ht="18" customHeight="1" thickTop="1" x14ac:dyDescent="0.2">
      <c r="A14" s="2299" t="s">
        <v>147</v>
      </c>
      <c r="B14" s="2300"/>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425059</v>
      </c>
      <c r="N16" s="482"/>
    </row>
    <row r="17" spans="1:14" s="483" customFormat="1" ht="12.75" customHeight="1" x14ac:dyDescent="0.2">
      <c r="A17" s="480" t="s">
        <v>1403</v>
      </c>
      <c r="B17" s="481">
        <v>230</v>
      </c>
      <c r="C17" s="475"/>
      <c r="D17" s="475"/>
      <c r="E17" s="475"/>
      <c r="F17" s="475"/>
      <c r="G17" s="475"/>
      <c r="H17" s="475"/>
      <c r="I17" s="475"/>
      <c r="J17" s="475"/>
      <c r="K17" s="475"/>
      <c r="L17" s="475"/>
      <c r="M17" s="465">
        <v>8352398</v>
      </c>
      <c r="N17" s="482"/>
    </row>
    <row r="18" spans="1:14" s="483" customFormat="1" ht="12.75" customHeight="1" x14ac:dyDescent="0.2">
      <c r="A18" s="480" t="s">
        <v>1404</v>
      </c>
      <c r="B18" s="481">
        <v>240</v>
      </c>
      <c r="C18" s="475"/>
      <c r="D18" s="475"/>
      <c r="E18" s="475"/>
      <c r="F18" s="475"/>
      <c r="G18" s="475"/>
      <c r="H18" s="475"/>
      <c r="I18" s="475"/>
      <c r="J18" s="475"/>
      <c r="K18" s="475"/>
      <c r="L18" s="475"/>
      <c r="M18" s="465">
        <v>426223</v>
      </c>
      <c r="N18" s="482"/>
    </row>
    <row r="19" spans="1:14" s="483" customFormat="1" ht="12.75" customHeight="1" x14ac:dyDescent="0.2">
      <c r="A19" s="480" t="s">
        <v>1405</v>
      </c>
      <c r="B19" s="481">
        <v>250</v>
      </c>
      <c r="C19" s="475"/>
      <c r="D19" s="475"/>
      <c r="E19" s="475"/>
      <c r="F19" s="475"/>
      <c r="G19" s="475"/>
      <c r="H19" s="475"/>
      <c r="I19" s="475"/>
      <c r="J19" s="475"/>
      <c r="K19" s="475"/>
      <c r="L19" s="475"/>
      <c r="M19" s="465">
        <v>1246240</v>
      </c>
      <c r="N19" s="482"/>
    </row>
    <row r="20" spans="1:14" s="483" customFormat="1" ht="12.75" customHeight="1" x14ac:dyDescent="0.2">
      <c r="A20" s="480" t="s">
        <v>1406</v>
      </c>
      <c r="B20" s="481">
        <v>260</v>
      </c>
      <c r="C20" s="475"/>
      <c r="D20" s="475"/>
      <c r="E20" s="475"/>
      <c r="F20" s="475"/>
      <c r="G20" s="475"/>
      <c r="H20" s="475"/>
      <c r="I20" s="475"/>
      <c r="J20" s="475"/>
      <c r="K20" s="475"/>
      <c r="L20" s="475"/>
      <c r="M20" s="465">
        <v>536997</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8948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2338036</v>
      </c>
    </row>
    <row r="23" spans="1:14" ht="13.5" customHeight="1" thickBot="1" x14ac:dyDescent="0.25">
      <c r="A23" s="1733" t="s">
        <v>643</v>
      </c>
      <c r="B23" s="1738"/>
      <c r="C23" s="468"/>
      <c r="D23" s="468"/>
      <c r="E23" s="468"/>
      <c r="F23" s="468"/>
      <c r="G23" s="468"/>
      <c r="H23" s="468"/>
      <c r="I23" s="468"/>
      <c r="J23" s="468"/>
      <c r="K23" s="468"/>
      <c r="L23" s="468"/>
      <c r="M23" s="1685">
        <f>SUM(M15:M22)</f>
        <v>10986917</v>
      </c>
      <c r="N23" s="1685">
        <f>SUM(N21:N22)</f>
        <v>2346984</v>
      </c>
    </row>
    <row r="24" spans="1:14" ht="18" customHeight="1" thickTop="1" x14ac:dyDescent="0.2">
      <c r="A24" s="2301" t="s">
        <v>598</v>
      </c>
      <c r="B24" s="2302"/>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90246</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90246</v>
      </c>
      <c r="M34" s="468"/>
      <c r="N34" s="478"/>
    </row>
    <row r="35" spans="1:14" ht="18" customHeight="1" thickTop="1" x14ac:dyDescent="0.2">
      <c r="A35" s="2303" t="s">
        <v>529</v>
      </c>
      <c r="B35" s="2304"/>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2346984</v>
      </c>
    </row>
    <row r="37" spans="1:14" ht="13.5" thickBot="1" x14ac:dyDescent="0.25">
      <c r="A37" s="1733" t="s">
        <v>653</v>
      </c>
      <c r="B37" s="1738"/>
      <c r="C37" s="475"/>
      <c r="D37" s="475"/>
      <c r="E37" s="475"/>
      <c r="F37" s="475"/>
      <c r="G37" s="475"/>
      <c r="H37" s="475"/>
      <c r="I37" s="475"/>
      <c r="J37" s="475"/>
      <c r="K37" s="475"/>
      <c r="L37" s="478"/>
      <c r="M37" s="468"/>
      <c r="N37" s="1685">
        <f>SUM(N36:N36)</f>
        <v>2346984</v>
      </c>
    </row>
    <row r="38" spans="1:14" s="329" customFormat="1" ht="13.5" customHeight="1" thickTop="1" x14ac:dyDescent="0.2">
      <c r="A38" s="493" t="s">
        <v>420</v>
      </c>
      <c r="B38" s="481">
        <v>714</v>
      </c>
      <c r="C38" s="465">
        <v>0</v>
      </c>
      <c r="D38" s="465">
        <v>0</v>
      </c>
      <c r="E38" s="465">
        <v>8553</v>
      </c>
      <c r="F38" s="465">
        <v>0</v>
      </c>
      <c r="G38" s="465">
        <v>86445</v>
      </c>
      <c r="H38" s="465">
        <v>1123238</v>
      </c>
      <c r="I38" s="465">
        <v>0</v>
      </c>
      <c r="J38" s="465">
        <v>0</v>
      </c>
      <c r="K38" s="465">
        <v>0</v>
      </c>
      <c r="L38" s="465">
        <v>0</v>
      </c>
      <c r="M38" s="494"/>
      <c r="N38" s="494"/>
    </row>
    <row r="39" spans="1:14" s="329" customFormat="1" ht="13.5" customHeight="1" x14ac:dyDescent="0.2">
      <c r="A39" s="493" t="s">
        <v>342</v>
      </c>
      <c r="B39" s="481">
        <v>730</v>
      </c>
      <c r="C39" s="465">
        <v>2804646</v>
      </c>
      <c r="D39" s="465">
        <v>474616</v>
      </c>
      <c r="E39" s="465">
        <v>395</v>
      </c>
      <c r="F39" s="465">
        <v>1799646</v>
      </c>
      <c r="G39" s="465">
        <v>118002</v>
      </c>
      <c r="H39" s="465">
        <v>134493</v>
      </c>
      <c r="I39" s="465">
        <v>2320449</v>
      </c>
      <c r="J39" s="465">
        <v>165090</v>
      </c>
      <c r="K39" s="465">
        <v>128743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10986917</v>
      </c>
      <c r="N40" s="494"/>
    </row>
    <row r="41" spans="1:14" ht="13.5" customHeight="1" thickBot="1" x14ac:dyDescent="0.25">
      <c r="A41" s="1733" t="s">
        <v>655</v>
      </c>
      <c r="B41" s="1703"/>
      <c r="C41" s="1685">
        <f>(SUM(C34,C37,C38,C39))</f>
        <v>2804646</v>
      </c>
      <c r="D41" s="1685">
        <f t="shared" ref="D41:L41" si="2">SUM(D34,D37,D38:D39)</f>
        <v>474616</v>
      </c>
      <c r="E41" s="1685">
        <f t="shared" si="2"/>
        <v>8948</v>
      </c>
      <c r="F41" s="1685">
        <f t="shared" si="2"/>
        <v>1799646</v>
      </c>
      <c r="G41" s="1685">
        <f t="shared" si="2"/>
        <v>204447</v>
      </c>
      <c r="H41" s="1685">
        <f t="shared" si="2"/>
        <v>1257731</v>
      </c>
      <c r="I41" s="1685">
        <f t="shared" si="2"/>
        <v>2320449</v>
      </c>
      <c r="J41" s="1685">
        <f t="shared" si="2"/>
        <v>165090</v>
      </c>
      <c r="K41" s="1685">
        <f t="shared" si="2"/>
        <v>128743</v>
      </c>
      <c r="L41" s="1685">
        <f t="shared" si="2"/>
        <v>90246</v>
      </c>
      <c r="M41" s="1685">
        <f>SUM(M40)</f>
        <v>10986917</v>
      </c>
      <c r="N41" s="1685">
        <f>SUM(N37)</f>
        <v>2346984</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8" sqref="B8"/>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313"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314"/>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325" t="s">
        <v>1175</v>
      </c>
      <c r="B3" s="2326"/>
      <c r="C3" s="1570"/>
      <c r="D3" s="1571"/>
      <c r="E3" s="1571"/>
      <c r="F3" s="1571"/>
      <c r="G3" s="1571"/>
      <c r="H3" s="1571"/>
      <c r="I3" s="1571"/>
      <c r="J3" s="1571"/>
      <c r="K3" s="1572"/>
      <c r="L3" s="503"/>
    </row>
    <row r="4" spans="1:13" ht="15.75" customHeight="1" x14ac:dyDescent="0.2">
      <c r="A4" s="1925" t="s">
        <v>1499</v>
      </c>
      <c r="B4" s="1926">
        <v>1000</v>
      </c>
      <c r="C4" s="1739">
        <f>'Revenues 9-14'!C109</f>
        <v>5673108</v>
      </c>
      <c r="D4" s="1739">
        <f>'Revenues 9-14'!D109</f>
        <v>622305</v>
      </c>
      <c r="E4" s="1739">
        <f>'Revenues 9-14'!E109</f>
        <v>554710</v>
      </c>
      <c r="F4" s="1739">
        <f>'Revenues 9-14'!F109</f>
        <v>745165</v>
      </c>
      <c r="G4" s="1739">
        <f>'Revenues 9-14'!G109</f>
        <v>400996</v>
      </c>
      <c r="H4" s="1739">
        <f>'Revenues 9-14'!H109</f>
        <v>496207</v>
      </c>
      <c r="I4" s="1739">
        <f>'Revenues 9-14'!I109</f>
        <v>31302</v>
      </c>
      <c r="J4" s="1739">
        <f>'Revenues 9-14'!J109</f>
        <v>27293</v>
      </c>
      <c r="K4" s="1739">
        <f>'Revenues 9-14'!K109</f>
        <v>1448</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4823430</v>
      </c>
      <c r="D6" s="1740">
        <f>'Revenues 9-14'!D170</f>
        <v>0</v>
      </c>
      <c r="E6" s="1740">
        <f>'Revenues 9-14'!E170</f>
        <v>0</v>
      </c>
      <c r="F6" s="1740">
        <f>'Revenues 9-14'!F170</f>
        <v>365002</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1772855</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12269393</v>
      </c>
      <c r="D8" s="1685">
        <f t="shared" ref="D8:K8" si="0">SUM(D4:D7)</f>
        <v>622305</v>
      </c>
      <c r="E8" s="1685">
        <f t="shared" si="0"/>
        <v>554710</v>
      </c>
      <c r="F8" s="1685">
        <f t="shared" si="0"/>
        <v>1110167</v>
      </c>
      <c r="G8" s="1685">
        <f t="shared" si="0"/>
        <v>400996</v>
      </c>
      <c r="H8" s="1685">
        <f t="shared" si="0"/>
        <v>496207</v>
      </c>
      <c r="I8" s="1685">
        <f t="shared" si="0"/>
        <v>31302</v>
      </c>
      <c r="J8" s="1685">
        <f t="shared" si="0"/>
        <v>27293</v>
      </c>
      <c r="K8" s="1685">
        <f t="shared" si="0"/>
        <v>1448</v>
      </c>
      <c r="L8" s="347"/>
    </row>
    <row r="9" spans="1:13" ht="15.75" thickTop="1" x14ac:dyDescent="0.2">
      <c r="A9" s="511" t="s">
        <v>1653</v>
      </c>
      <c r="B9" s="512">
        <v>3998</v>
      </c>
      <c r="C9" s="465">
        <v>4997536</v>
      </c>
      <c r="D9" s="513"/>
      <c r="E9" s="479"/>
      <c r="F9" s="479"/>
      <c r="G9" s="514"/>
      <c r="H9" s="479"/>
      <c r="I9" s="506" t="s">
        <v>1169</v>
      </c>
      <c r="J9" s="476"/>
      <c r="K9" s="479"/>
      <c r="L9" s="347"/>
    </row>
    <row r="10" spans="1:13" s="516" customFormat="1" ht="13.5" thickBot="1" x14ac:dyDescent="0.25">
      <c r="A10" s="1733" t="s">
        <v>1173</v>
      </c>
      <c r="B10" s="1706"/>
      <c r="C10" s="1685">
        <f>SUM(C8:C9)</f>
        <v>17266929</v>
      </c>
      <c r="D10" s="1685">
        <f t="shared" ref="D10:K10" si="1">SUM(D8:D9)</f>
        <v>622305</v>
      </c>
      <c r="E10" s="1685">
        <f t="shared" si="1"/>
        <v>554710</v>
      </c>
      <c r="F10" s="1685">
        <f t="shared" si="1"/>
        <v>1110167</v>
      </c>
      <c r="G10" s="1685">
        <f t="shared" si="1"/>
        <v>400996</v>
      </c>
      <c r="H10" s="1685">
        <f t="shared" si="1"/>
        <v>496207</v>
      </c>
      <c r="I10" s="1685">
        <f t="shared" si="1"/>
        <v>31302</v>
      </c>
      <c r="J10" s="1685">
        <f t="shared" si="1"/>
        <v>27293</v>
      </c>
      <c r="K10" s="1685">
        <f t="shared" si="1"/>
        <v>1448</v>
      </c>
      <c r="L10" s="515"/>
    </row>
    <row r="11" spans="1:13" s="516" customFormat="1" ht="16.7" customHeight="1" thickTop="1" x14ac:dyDescent="0.2">
      <c r="A11" s="2299" t="s">
        <v>1176</v>
      </c>
      <c r="B11" s="2300"/>
      <c r="C11" s="1567"/>
      <c r="D11" s="1568"/>
      <c r="E11" s="1568"/>
      <c r="F11" s="1568"/>
      <c r="G11" s="1568"/>
      <c r="H11" s="1568"/>
      <c r="I11" s="1568"/>
      <c r="J11" s="1568"/>
      <c r="K11" s="1569"/>
      <c r="L11" s="515"/>
    </row>
    <row r="12" spans="1:13" ht="15.75" customHeight="1" x14ac:dyDescent="0.2">
      <c r="A12" s="1573" t="s">
        <v>456</v>
      </c>
      <c r="B12" s="1575">
        <v>1000</v>
      </c>
      <c r="C12" s="1739">
        <f>'Expenditures 15-22'!K33</f>
        <v>9008107</v>
      </c>
      <c r="D12" s="517" t="s">
        <v>1169</v>
      </c>
      <c r="E12" s="468" t="s">
        <v>1169</v>
      </c>
      <c r="F12" s="468" t="s">
        <v>1169</v>
      </c>
      <c r="G12" s="1739">
        <f>'Expenditures 15-22'!K229</f>
        <v>121315</v>
      </c>
      <c r="H12" s="518"/>
      <c r="I12" s="468" t="s">
        <v>1169</v>
      </c>
      <c r="J12" s="468" t="s">
        <v>1169</v>
      </c>
      <c r="K12" s="518" t="s">
        <v>1169</v>
      </c>
      <c r="L12" s="347"/>
    </row>
    <row r="13" spans="1:13" ht="15.75" customHeight="1" x14ac:dyDescent="0.2">
      <c r="A13" s="1573" t="s">
        <v>457</v>
      </c>
      <c r="B13" s="1575">
        <v>2000</v>
      </c>
      <c r="C13" s="1740">
        <f>'Expenditures 15-22'!K74</f>
        <v>3094831</v>
      </c>
      <c r="D13" s="1740">
        <f>'Expenditures 15-22'!K129</f>
        <v>614976</v>
      </c>
      <c r="E13" s="469" t="s">
        <v>1169</v>
      </c>
      <c r="F13" s="1740">
        <f>'Expenditures 15-22'!K184</f>
        <v>1080987</v>
      </c>
      <c r="G13" s="1740">
        <f>'Expenditures 15-22'!K279</f>
        <v>275477</v>
      </c>
      <c r="H13" s="1740">
        <f>'Expenditures 15-22'!K303</f>
        <v>1407973</v>
      </c>
      <c r="I13" s="468" t="s">
        <v>1169</v>
      </c>
      <c r="J13" s="1740">
        <f>'Expenditures 15-22'!K330</f>
        <v>26734</v>
      </c>
      <c r="K13" s="1744">
        <f>'Expenditures 15-22'!K352</f>
        <v>0</v>
      </c>
      <c r="L13" s="347"/>
    </row>
    <row r="14" spans="1:13" ht="15.75" customHeight="1" x14ac:dyDescent="0.2">
      <c r="A14" s="1573" t="s">
        <v>449</v>
      </c>
      <c r="B14" s="1575">
        <v>3000</v>
      </c>
      <c r="C14" s="1740">
        <f>'Expenditures 15-22'!K75</f>
        <v>38247</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61546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570530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12202731</v>
      </c>
      <c r="D17" s="1685">
        <f t="shared" si="2"/>
        <v>614976</v>
      </c>
      <c r="E17" s="1685">
        <f t="shared" si="2"/>
        <v>570530</v>
      </c>
      <c r="F17" s="1685">
        <f t="shared" si="2"/>
        <v>1080987</v>
      </c>
      <c r="G17" s="1685">
        <f t="shared" si="2"/>
        <v>396792</v>
      </c>
      <c r="H17" s="1685">
        <f t="shared" si="2"/>
        <v>1407973</v>
      </c>
      <c r="I17" s="468"/>
      <c r="J17" s="1685">
        <f>SUM(J12:J16)</f>
        <v>26734</v>
      </c>
      <c r="K17" s="1685">
        <f>SUM(K12:K16)</f>
        <v>0</v>
      </c>
      <c r="L17" s="347"/>
    </row>
    <row r="18" spans="1:12" ht="15" customHeight="1" thickTop="1" x14ac:dyDescent="0.2">
      <c r="A18" s="1741" t="s">
        <v>1654</v>
      </c>
      <c r="B18" s="1742">
        <v>4180</v>
      </c>
      <c r="C18" s="1739">
        <f t="shared" ref="C18:H18" si="3">C9</f>
        <v>4997536</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17200267</v>
      </c>
      <c r="D19" s="1685">
        <f t="shared" si="4"/>
        <v>614976</v>
      </c>
      <c r="E19" s="1685">
        <f t="shared" si="4"/>
        <v>570530</v>
      </c>
      <c r="F19" s="1685">
        <f t="shared" si="4"/>
        <v>1080987</v>
      </c>
      <c r="G19" s="1685">
        <f t="shared" si="4"/>
        <v>396792</v>
      </c>
      <c r="H19" s="1685">
        <f t="shared" si="4"/>
        <v>1407973</v>
      </c>
      <c r="I19" s="468"/>
      <c r="J19" s="1685">
        <f>SUM(J17:J18)</f>
        <v>26734</v>
      </c>
      <c r="K19" s="1685">
        <f>SUM(K17:K18)</f>
        <v>0</v>
      </c>
      <c r="L19" s="347"/>
    </row>
    <row r="20" spans="1:12" ht="16.5" thickTop="1" thickBot="1" x14ac:dyDescent="0.25">
      <c r="A20" s="2315" t="s">
        <v>1655</v>
      </c>
      <c r="B20" s="2316"/>
      <c r="C20" s="1743">
        <f>C8-C17</f>
        <v>66662</v>
      </c>
      <c r="D20" s="1743">
        <f t="shared" ref="D20:K20" si="5">D8-D17</f>
        <v>7329</v>
      </c>
      <c r="E20" s="1743">
        <f t="shared" si="5"/>
        <v>-15820</v>
      </c>
      <c r="F20" s="1743">
        <f t="shared" si="5"/>
        <v>29180</v>
      </c>
      <c r="G20" s="1743">
        <f t="shared" si="5"/>
        <v>4204</v>
      </c>
      <c r="H20" s="1743">
        <f t="shared" si="5"/>
        <v>-911766</v>
      </c>
      <c r="I20" s="1743">
        <f t="shared" si="5"/>
        <v>31302</v>
      </c>
      <c r="J20" s="1743">
        <f t="shared" si="5"/>
        <v>559</v>
      </c>
      <c r="K20" s="1743">
        <f t="shared" si="5"/>
        <v>1448</v>
      </c>
      <c r="L20" s="347"/>
    </row>
    <row r="21" spans="1:12" ht="16.7" customHeight="1" thickTop="1" x14ac:dyDescent="0.2">
      <c r="A21" s="2327" t="s">
        <v>595</v>
      </c>
      <c r="B21" s="2328"/>
      <c r="C21" s="1567"/>
      <c r="D21" s="1568"/>
      <c r="E21" s="1568"/>
      <c r="F21" s="1568"/>
      <c r="G21" s="1568"/>
      <c r="H21" s="1568"/>
      <c r="I21" s="1568"/>
      <c r="J21" s="1568"/>
      <c r="K21" s="1569"/>
      <c r="L21" s="521"/>
    </row>
    <row r="22" spans="1:12" ht="15.75" customHeight="1" collapsed="1" x14ac:dyDescent="0.2">
      <c r="A22" s="2323" t="s">
        <v>596</v>
      </c>
      <c r="B22" s="2324"/>
      <c r="C22" s="475"/>
      <c r="D22" s="475"/>
      <c r="E22" s="475"/>
      <c r="F22" s="475"/>
      <c r="G22" s="475"/>
      <c r="H22" s="475"/>
      <c r="I22" s="475"/>
      <c r="J22" s="475"/>
      <c r="K22" s="475"/>
      <c r="L22" s="347"/>
    </row>
    <row r="23" spans="1:12" s="483" customFormat="1" ht="15.75" customHeight="1" x14ac:dyDescent="0.2">
      <c r="A23" s="2319" t="s">
        <v>293</v>
      </c>
      <c r="B23" s="2320"/>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321" t="s">
        <v>981</v>
      </c>
      <c r="B32" s="2322"/>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999000</v>
      </c>
      <c r="I33" s="467">
        <v>0</v>
      </c>
      <c r="J33" s="467">
        <v>0</v>
      </c>
      <c r="K33" s="467">
        <v>0</v>
      </c>
      <c r="L33" s="521"/>
    </row>
    <row r="34" spans="1:12" s="483" customFormat="1" x14ac:dyDescent="0.2">
      <c r="A34" s="1486" t="s">
        <v>1001</v>
      </c>
      <c r="B34" s="522">
        <v>7220</v>
      </c>
      <c r="C34" s="465">
        <v>0</v>
      </c>
      <c r="D34" s="467">
        <v>0</v>
      </c>
      <c r="E34" s="467">
        <v>0</v>
      </c>
      <c r="F34" s="467">
        <v>0</v>
      </c>
      <c r="G34" s="475"/>
      <c r="H34" s="476">
        <v>21607</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17016</v>
      </c>
      <c r="F39" s="475"/>
      <c r="G39" s="475"/>
      <c r="H39" s="475"/>
      <c r="I39" s="475"/>
      <c r="J39" s="475"/>
      <c r="K39" s="475"/>
      <c r="L39" s="521"/>
    </row>
    <row r="40" spans="1:12" s="483" customFormat="1" ht="13.5" customHeight="1" x14ac:dyDescent="0.2">
      <c r="A40" s="1486" t="s">
        <v>642</v>
      </c>
      <c r="B40" s="481">
        <v>7700</v>
      </c>
      <c r="C40" s="475"/>
      <c r="D40" s="475"/>
      <c r="E40" s="1740">
        <f>SUM(C66:D69)</f>
        <v>173</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329" t="s">
        <v>374</v>
      </c>
      <c r="B44" s="2330"/>
      <c r="C44" s="1700">
        <f>SUM(C24:C43)</f>
        <v>0</v>
      </c>
      <c r="D44" s="1700">
        <f t="shared" ref="D44:K44" si="6">SUM(D24:D43)</f>
        <v>0</v>
      </c>
      <c r="E44" s="1700">
        <f t="shared" si="6"/>
        <v>17189</v>
      </c>
      <c r="F44" s="1700">
        <f t="shared" si="6"/>
        <v>0</v>
      </c>
      <c r="G44" s="1700">
        <f t="shared" si="6"/>
        <v>0</v>
      </c>
      <c r="H44" s="1700">
        <f t="shared" si="6"/>
        <v>1020607</v>
      </c>
      <c r="I44" s="1700">
        <f t="shared" si="6"/>
        <v>0</v>
      </c>
      <c r="J44" s="1700">
        <f t="shared" si="6"/>
        <v>0</v>
      </c>
      <c r="K44" s="1700">
        <f t="shared" si="6"/>
        <v>0</v>
      </c>
      <c r="L44" s="521"/>
    </row>
    <row r="45" spans="1:12" ht="15.75" customHeight="1" thickTop="1" x14ac:dyDescent="0.2">
      <c r="A45" s="2323" t="s">
        <v>108</v>
      </c>
      <c r="B45" s="2324"/>
      <c r="C45" s="525"/>
      <c r="D45" s="525"/>
      <c r="E45" s="525"/>
      <c r="F45" s="525"/>
      <c r="G45" s="525"/>
      <c r="H45" s="525"/>
      <c r="I45" s="525"/>
      <c r="J45" s="525"/>
      <c r="K45" s="525"/>
      <c r="L45" s="347"/>
    </row>
    <row r="46" spans="1:12" s="483" customFormat="1" ht="15.75" customHeight="1" x14ac:dyDescent="0.2">
      <c r="A46" s="2331" t="s">
        <v>109</v>
      </c>
      <c r="B46" s="2332"/>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17016</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173</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305" t="s">
        <v>440</v>
      </c>
      <c r="B76" s="2306"/>
      <c r="C76" s="1700">
        <f t="shared" ref="C76:K76" si="7">SUM(C47:C75)</f>
        <v>17189</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307" t="s">
        <v>1177</v>
      </c>
      <c r="B77" s="2308"/>
      <c r="C77" s="1700">
        <f t="shared" ref="C77:K77" si="8">C44-C76</f>
        <v>-17189</v>
      </c>
      <c r="D77" s="1700">
        <f t="shared" si="8"/>
        <v>0</v>
      </c>
      <c r="E77" s="1700">
        <f t="shared" si="8"/>
        <v>17189</v>
      </c>
      <c r="F77" s="1700">
        <f t="shared" si="8"/>
        <v>0</v>
      </c>
      <c r="G77" s="1700">
        <f t="shared" si="8"/>
        <v>0</v>
      </c>
      <c r="H77" s="1700">
        <f t="shared" si="8"/>
        <v>1020607</v>
      </c>
      <c r="I77" s="1700">
        <f t="shared" si="8"/>
        <v>0</v>
      </c>
      <c r="J77" s="1700">
        <f t="shared" si="8"/>
        <v>0</v>
      </c>
      <c r="K77" s="1700">
        <f t="shared" si="8"/>
        <v>0</v>
      </c>
      <c r="L77" s="347"/>
    </row>
    <row r="78" spans="1:12" ht="21.75" customHeight="1" thickTop="1" thickBot="1" x14ac:dyDescent="0.25">
      <c r="A78" s="2311" t="s">
        <v>597</v>
      </c>
      <c r="B78" s="2312"/>
      <c r="C78" s="1699">
        <f t="shared" ref="C78:K78" si="9">C20+C77</f>
        <v>49473</v>
      </c>
      <c r="D78" s="1699">
        <f t="shared" si="9"/>
        <v>7329</v>
      </c>
      <c r="E78" s="1699">
        <f t="shared" si="9"/>
        <v>1369</v>
      </c>
      <c r="F78" s="1699">
        <f t="shared" si="9"/>
        <v>29180</v>
      </c>
      <c r="G78" s="1699">
        <f t="shared" si="9"/>
        <v>4204</v>
      </c>
      <c r="H78" s="1699">
        <f t="shared" si="9"/>
        <v>108841</v>
      </c>
      <c r="I78" s="1699">
        <f t="shared" si="9"/>
        <v>31302</v>
      </c>
      <c r="J78" s="1699">
        <f t="shared" si="9"/>
        <v>559</v>
      </c>
      <c r="K78" s="1699">
        <f t="shared" si="9"/>
        <v>1448</v>
      </c>
      <c r="L78" s="530"/>
    </row>
    <row r="79" spans="1:12" ht="13.5" thickTop="1" x14ac:dyDescent="0.2">
      <c r="A79" s="1491" t="s">
        <v>1946</v>
      </c>
      <c r="B79" s="531"/>
      <c r="C79" s="476">
        <v>2755173</v>
      </c>
      <c r="D79" s="476">
        <v>467287</v>
      </c>
      <c r="E79" s="476">
        <v>7579</v>
      </c>
      <c r="F79" s="476">
        <v>1770466</v>
      </c>
      <c r="G79" s="476">
        <v>200243</v>
      </c>
      <c r="H79" s="476">
        <v>1148890</v>
      </c>
      <c r="I79" s="476">
        <v>2289147</v>
      </c>
      <c r="J79" s="476">
        <v>164531</v>
      </c>
      <c r="K79" s="476">
        <v>127295</v>
      </c>
      <c r="L79" s="347"/>
    </row>
    <row r="80" spans="1:12" x14ac:dyDescent="0.2">
      <c r="A80" s="2317" t="s">
        <v>1792</v>
      </c>
      <c r="B80" s="2318"/>
      <c r="C80" s="467">
        <v>0</v>
      </c>
      <c r="D80" s="467">
        <v>0</v>
      </c>
      <c r="E80" s="467">
        <v>0</v>
      </c>
      <c r="F80" s="467">
        <v>0</v>
      </c>
      <c r="G80" s="467">
        <v>0</v>
      </c>
      <c r="H80" s="467">
        <v>0</v>
      </c>
      <c r="I80" s="467">
        <v>0</v>
      </c>
      <c r="J80" s="467">
        <v>0</v>
      </c>
      <c r="K80" s="467">
        <v>0</v>
      </c>
      <c r="L80" s="347"/>
    </row>
    <row r="81" spans="1:12" ht="13.5" thickBot="1" x14ac:dyDescent="0.25">
      <c r="A81" s="2309" t="s">
        <v>1947</v>
      </c>
      <c r="B81" s="2310"/>
      <c r="C81" s="1685">
        <f>(SUM(C78:C80))</f>
        <v>2804646</v>
      </c>
      <c r="D81" s="1685">
        <f>SUM(D78:D80)</f>
        <v>474616</v>
      </c>
      <c r="E81" s="1685">
        <f t="shared" ref="E81:K81" si="10">SUM(E78:E80)</f>
        <v>8948</v>
      </c>
      <c r="F81" s="1685">
        <f t="shared" si="10"/>
        <v>1799646</v>
      </c>
      <c r="G81" s="1685">
        <f t="shared" si="10"/>
        <v>204447</v>
      </c>
      <c r="H81" s="1685">
        <f t="shared" si="10"/>
        <v>1257731</v>
      </c>
      <c r="I81" s="1685">
        <f t="shared" si="10"/>
        <v>2320449</v>
      </c>
      <c r="J81" s="1685">
        <f t="shared" si="10"/>
        <v>165090</v>
      </c>
      <c r="K81" s="1685">
        <f t="shared" si="10"/>
        <v>128743</v>
      </c>
      <c r="L81" s="347"/>
    </row>
    <row r="82" spans="1:12" ht="0.75" customHeight="1" thickTop="1" thickBot="1" x14ac:dyDescent="0.25">
      <c r="A82" s="533" t="s">
        <v>343</v>
      </c>
      <c r="B82" s="534"/>
      <c r="C82" s="535">
        <f>(C81-C79)</f>
        <v>49473</v>
      </c>
      <c r="D82" s="535">
        <f t="shared" ref="D82:K82" si="11">(D81-D79)</f>
        <v>7329</v>
      </c>
      <c r="E82" s="535">
        <f t="shared" si="11"/>
        <v>1369</v>
      </c>
      <c r="F82" s="535">
        <f t="shared" si="11"/>
        <v>29180</v>
      </c>
      <c r="G82" s="535">
        <f t="shared" si="11"/>
        <v>4204</v>
      </c>
      <c r="H82" s="535">
        <f t="shared" si="11"/>
        <v>108841</v>
      </c>
      <c r="I82" s="535">
        <f t="shared" si="11"/>
        <v>31302</v>
      </c>
      <c r="J82" s="535">
        <f t="shared" si="11"/>
        <v>559</v>
      </c>
      <c r="K82" s="535">
        <f t="shared" si="11"/>
        <v>1448</v>
      </c>
    </row>
    <row r="83" spans="1:12" ht="14.25" hidden="1" thickTop="1" thickBot="1" x14ac:dyDescent="0.25">
      <c r="A83" s="536" t="s">
        <v>344</v>
      </c>
      <c r="B83" s="464"/>
      <c r="C83" s="537">
        <f>C82/C81</f>
        <v>1.7639659336686341E-2</v>
      </c>
      <c r="D83" s="537">
        <f t="shared" ref="D83:K83" si="12">D82/D81</f>
        <v>1.544195728757564E-2</v>
      </c>
      <c r="E83" s="537">
        <f t="shared" si="12"/>
        <v>0.15299508270004469</v>
      </c>
      <c r="F83" s="537">
        <f t="shared" si="12"/>
        <v>1.6214299923429387E-2</v>
      </c>
      <c r="G83" s="537">
        <f t="shared" si="12"/>
        <v>2.0562786443430327E-2</v>
      </c>
      <c r="H83" s="537">
        <f t="shared" si="12"/>
        <v>8.6537582360616067E-2</v>
      </c>
      <c r="I83" s="537">
        <f t="shared" si="12"/>
        <v>1.3489630670615902E-2</v>
      </c>
      <c r="J83" s="537">
        <f t="shared" si="12"/>
        <v>3.3860318614089284E-3</v>
      </c>
      <c r="K83" s="537">
        <f t="shared" si="12"/>
        <v>1.1247213440730758E-2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1" right="0.2" top="0.61" bottom="0.3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8" sqref="B8"/>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313" t="s">
        <v>1799</v>
      </c>
      <c r="B1" s="452"/>
      <c r="C1" s="453" t="s">
        <v>425</v>
      </c>
      <c r="D1" s="453" t="s">
        <v>426</v>
      </c>
      <c r="E1" s="453" t="s">
        <v>427</v>
      </c>
      <c r="F1" s="453" t="s">
        <v>428</v>
      </c>
      <c r="G1" s="453" t="s">
        <v>429</v>
      </c>
      <c r="H1" s="453" t="s">
        <v>430</v>
      </c>
      <c r="I1" s="453" t="s">
        <v>431</v>
      </c>
      <c r="J1" s="453" t="s">
        <v>432</v>
      </c>
      <c r="K1" s="453" t="s">
        <v>756</v>
      </c>
    </row>
    <row r="2" spans="1:12" ht="36" x14ac:dyDescent="0.2">
      <c r="A2" s="2314"/>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4979772</v>
      </c>
      <c r="D5" s="479">
        <v>542564</v>
      </c>
      <c r="E5" s="466">
        <v>273228</v>
      </c>
      <c r="F5" s="545">
        <v>290678</v>
      </c>
      <c r="G5" s="466">
        <v>125971</v>
      </c>
      <c r="H5" s="466">
        <v>0</v>
      </c>
      <c r="I5" s="466">
        <v>4852</v>
      </c>
      <c r="J5" s="467">
        <v>25208</v>
      </c>
      <c r="K5" s="466">
        <v>0</v>
      </c>
    </row>
    <row r="6" spans="1:12" ht="15" x14ac:dyDescent="0.2">
      <c r="A6" s="463" t="s">
        <v>1662</v>
      </c>
      <c r="B6" s="470">
        <v>1130</v>
      </c>
      <c r="C6" s="466">
        <v>24238</v>
      </c>
      <c r="D6" s="466">
        <v>0</v>
      </c>
      <c r="E6" s="474"/>
      <c r="F6" s="474"/>
      <c r="G6" s="468"/>
      <c r="H6" s="468"/>
      <c r="I6" s="468"/>
      <c r="J6" s="468"/>
      <c r="K6" s="468"/>
    </row>
    <row r="7" spans="1:12" x14ac:dyDescent="0.2">
      <c r="A7" s="463" t="s">
        <v>110</v>
      </c>
      <c r="B7" s="546">
        <v>1140</v>
      </c>
      <c r="C7" s="466">
        <v>33923</v>
      </c>
      <c r="D7" s="466">
        <v>0</v>
      </c>
      <c r="E7" s="468"/>
      <c r="F7" s="467">
        <v>0</v>
      </c>
      <c r="G7" s="467">
        <v>0</v>
      </c>
      <c r="H7" s="467">
        <v>0</v>
      </c>
      <c r="I7" s="468"/>
      <c r="J7" s="468"/>
      <c r="K7" s="468"/>
    </row>
    <row r="8" spans="1:12" x14ac:dyDescent="0.2">
      <c r="A8" s="463" t="s">
        <v>413</v>
      </c>
      <c r="B8" s="470">
        <v>1150</v>
      </c>
      <c r="C8" s="474"/>
      <c r="D8" s="474"/>
      <c r="E8" s="475"/>
      <c r="F8" s="475"/>
      <c r="G8" s="479">
        <v>142431</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5037933</v>
      </c>
      <c r="D12" s="1704">
        <f t="shared" si="0"/>
        <v>542564</v>
      </c>
      <c r="E12" s="1704">
        <f t="shared" si="0"/>
        <v>273228</v>
      </c>
      <c r="F12" s="1704">
        <f t="shared" si="0"/>
        <v>290678</v>
      </c>
      <c r="G12" s="1704">
        <f t="shared" si="0"/>
        <v>268402</v>
      </c>
      <c r="H12" s="1704">
        <f t="shared" si="0"/>
        <v>0</v>
      </c>
      <c r="I12" s="1704">
        <f t="shared" si="0"/>
        <v>4852</v>
      </c>
      <c r="J12" s="1704">
        <f t="shared" si="0"/>
        <v>25208</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5489</v>
      </c>
      <c r="D15" s="466">
        <v>595</v>
      </c>
      <c r="E15" s="466">
        <v>3901</v>
      </c>
      <c r="F15" s="466">
        <v>320</v>
      </c>
      <c r="G15" s="466">
        <v>293</v>
      </c>
      <c r="H15" s="466">
        <v>0</v>
      </c>
      <c r="I15" s="466">
        <v>3</v>
      </c>
      <c r="J15" s="467">
        <v>29</v>
      </c>
      <c r="K15" s="466">
        <v>0</v>
      </c>
    </row>
    <row r="16" spans="1:12" ht="15" customHeight="1" x14ac:dyDescent="0.2">
      <c r="A16" s="463" t="s">
        <v>1663</v>
      </c>
      <c r="B16" s="546">
        <v>1230</v>
      </c>
      <c r="C16" s="548">
        <v>374048</v>
      </c>
      <c r="D16" s="466">
        <v>72000</v>
      </c>
      <c r="E16" s="466">
        <v>39514</v>
      </c>
      <c r="F16" s="466">
        <v>0</v>
      </c>
      <c r="G16" s="466">
        <v>70000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379537</v>
      </c>
      <c r="D18" s="1707">
        <f t="shared" ref="D18:K18" si="1">SUM(D14:D17)</f>
        <v>72595</v>
      </c>
      <c r="E18" s="1707">
        <f t="shared" si="1"/>
        <v>43415</v>
      </c>
      <c r="F18" s="1707">
        <f t="shared" si="1"/>
        <v>320</v>
      </c>
      <c r="G18" s="1707">
        <f t="shared" si="1"/>
        <v>70293</v>
      </c>
      <c r="H18" s="1707">
        <f t="shared" si="1"/>
        <v>0</v>
      </c>
      <c r="I18" s="1707">
        <f t="shared" si="1"/>
        <v>3</v>
      </c>
      <c r="J18" s="1707">
        <f t="shared" si="1"/>
        <v>29</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7026</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7026</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429297</v>
      </c>
      <c r="G43" s="468"/>
      <c r="H43" s="468"/>
      <c r="I43" s="468"/>
      <c r="J43" s="468"/>
      <c r="K43" s="468"/>
    </row>
    <row r="44" spans="1:11" ht="12.75" customHeight="1" x14ac:dyDescent="0.2">
      <c r="A44" s="463" t="s">
        <v>384</v>
      </c>
      <c r="B44" s="470">
        <v>1413</v>
      </c>
      <c r="C44" s="468"/>
      <c r="D44" s="468"/>
      <c r="E44" s="468"/>
      <c r="F44" s="466">
        <v>3380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432677</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33670</v>
      </c>
      <c r="D65" s="466">
        <v>7014</v>
      </c>
      <c r="E65" s="466">
        <v>427</v>
      </c>
      <c r="F65" s="467">
        <v>18381</v>
      </c>
      <c r="G65" s="466">
        <v>2301</v>
      </c>
      <c r="H65" s="466">
        <v>8785</v>
      </c>
      <c r="I65" s="466">
        <v>26447</v>
      </c>
      <c r="J65" s="467">
        <v>2056</v>
      </c>
      <c r="K65" s="466">
        <v>1448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33670</v>
      </c>
      <c r="D67" s="1685">
        <f t="shared" ref="D67:K67" si="2">SUM(D65:D66)</f>
        <v>7014</v>
      </c>
      <c r="E67" s="1685">
        <f t="shared" si="2"/>
        <v>427</v>
      </c>
      <c r="F67" s="1685">
        <f t="shared" si="2"/>
        <v>18381</v>
      </c>
      <c r="G67" s="1685">
        <f t="shared" si="2"/>
        <v>2301</v>
      </c>
      <c r="H67" s="1685">
        <f t="shared" si="2"/>
        <v>8785</v>
      </c>
      <c r="I67" s="1685">
        <f t="shared" si="2"/>
        <v>26447</v>
      </c>
      <c r="J67" s="1685">
        <f t="shared" si="2"/>
        <v>2056</v>
      </c>
      <c r="K67" s="1685">
        <f t="shared" si="2"/>
        <v>1448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13732</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16442</v>
      </c>
      <c r="D71" s="468"/>
      <c r="E71" s="468"/>
      <c r="F71" s="468"/>
      <c r="G71" s="468"/>
      <c r="H71" s="468"/>
      <c r="I71" s="468"/>
      <c r="J71" s="468"/>
      <c r="K71" s="468"/>
    </row>
    <row r="72" spans="1:11" ht="12.75" customHeight="1" x14ac:dyDescent="0.2">
      <c r="A72" s="463" t="s">
        <v>24</v>
      </c>
      <c r="B72" s="470">
        <v>1614</v>
      </c>
      <c r="C72" s="548">
        <v>407</v>
      </c>
      <c r="D72" s="468"/>
      <c r="E72" s="468"/>
      <c r="F72" s="468"/>
      <c r="G72" s="468"/>
      <c r="H72" s="468"/>
      <c r="I72" s="468"/>
      <c r="J72" s="468"/>
      <c r="K72" s="468"/>
    </row>
    <row r="73" spans="1:11" ht="12.75" customHeight="1" x14ac:dyDescent="0.2">
      <c r="A73" s="463" t="s">
        <v>998</v>
      </c>
      <c r="B73" s="470">
        <v>1620</v>
      </c>
      <c r="C73" s="548">
        <v>3652</v>
      </c>
      <c r="D73" s="468"/>
      <c r="E73" s="468"/>
      <c r="F73" s="468"/>
      <c r="G73" s="468"/>
      <c r="H73" s="468"/>
      <c r="I73" s="468"/>
      <c r="J73" s="468"/>
      <c r="K73" s="468"/>
    </row>
    <row r="74" spans="1:11" ht="12.75" customHeight="1" x14ac:dyDescent="0.2">
      <c r="A74" s="463" t="s">
        <v>25</v>
      </c>
      <c r="B74" s="470">
        <v>1690</v>
      </c>
      <c r="C74" s="548">
        <v>4242</v>
      </c>
      <c r="D74" s="468"/>
      <c r="E74" s="468"/>
      <c r="F74" s="468"/>
      <c r="G74" s="468"/>
      <c r="H74" s="468"/>
      <c r="I74" s="468"/>
      <c r="J74" s="468"/>
      <c r="K74" s="468"/>
    </row>
    <row r="75" spans="1:11" ht="12.75" customHeight="1" thickBot="1" x14ac:dyDescent="0.25">
      <c r="A75" s="1705" t="s">
        <v>548</v>
      </c>
      <c r="B75" s="1706"/>
      <c r="C75" s="1685">
        <f>SUM(C69:C74)</f>
        <v>38475</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28906</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5244</v>
      </c>
      <c r="D81" s="466">
        <v>0</v>
      </c>
      <c r="E81" s="468"/>
      <c r="F81" s="468"/>
      <c r="G81" s="468"/>
      <c r="H81" s="468"/>
      <c r="I81" s="468"/>
      <c r="J81" s="468"/>
      <c r="K81" s="468"/>
    </row>
    <row r="82" spans="1:11" ht="12.75" customHeight="1" thickBot="1" x14ac:dyDescent="0.25">
      <c r="A82" s="1705" t="s">
        <v>241</v>
      </c>
      <c r="B82" s="1706"/>
      <c r="C82" s="1704">
        <f>SUM(C77:C81)</f>
        <v>34150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100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100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18200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10000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111000</v>
      </c>
      <c r="D100" s="486">
        <v>0</v>
      </c>
      <c r="E100" s="486">
        <v>0</v>
      </c>
      <c r="F100" s="486">
        <v>0</v>
      </c>
      <c r="G100" s="486">
        <v>0</v>
      </c>
      <c r="H100" s="486">
        <v>117983</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237640</v>
      </c>
      <c r="F103" s="468"/>
      <c r="G103" s="468"/>
      <c r="H103" s="486">
        <v>369439</v>
      </c>
      <c r="I103" s="468"/>
      <c r="J103" s="507"/>
      <c r="K103" s="507"/>
    </row>
    <row r="104" spans="1:12" ht="12.75" customHeight="1" x14ac:dyDescent="0.2">
      <c r="A104" s="463" t="s">
        <v>830</v>
      </c>
      <c r="B104" s="470">
        <v>1991</v>
      </c>
      <c r="C104" s="486">
        <v>0</v>
      </c>
      <c r="D104" s="466">
        <v>0</v>
      </c>
      <c r="E104" s="479">
        <v>0</v>
      </c>
      <c r="F104" s="467">
        <v>0</v>
      </c>
      <c r="G104" s="467">
        <v>60000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3017</v>
      </c>
      <c r="D107" s="466">
        <v>132</v>
      </c>
      <c r="E107" s="466">
        <v>0</v>
      </c>
      <c r="F107" s="466">
        <v>3109</v>
      </c>
      <c r="G107" s="466">
        <v>0</v>
      </c>
      <c r="H107" s="466">
        <v>0</v>
      </c>
      <c r="I107" s="466">
        <v>0</v>
      </c>
      <c r="J107" s="467">
        <v>0</v>
      </c>
      <c r="K107" s="466">
        <v>0</v>
      </c>
    </row>
    <row r="108" spans="1:12" ht="12.75" customHeight="1" thickBot="1" x14ac:dyDescent="0.25">
      <c r="A108" s="1705" t="s">
        <v>487</v>
      </c>
      <c r="B108" s="1709"/>
      <c r="C108" s="1704">
        <f>SUM(C95:C107)</f>
        <v>142217</v>
      </c>
      <c r="D108" s="1704">
        <f t="shared" ref="D108:K108" si="3">SUM(D95:D107)</f>
        <v>132</v>
      </c>
      <c r="E108" s="1704">
        <f t="shared" si="3"/>
        <v>237640</v>
      </c>
      <c r="F108" s="1704">
        <f t="shared" si="3"/>
        <v>3109</v>
      </c>
      <c r="G108" s="1704">
        <f t="shared" si="3"/>
        <v>60000</v>
      </c>
      <c r="H108" s="1704">
        <f t="shared" si="3"/>
        <v>487422</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5673108</v>
      </c>
      <c r="D109" s="1712">
        <f t="shared" si="4"/>
        <v>622305</v>
      </c>
      <c r="E109" s="1712">
        <f t="shared" si="4"/>
        <v>554710</v>
      </c>
      <c r="F109" s="1712">
        <f t="shared" si="4"/>
        <v>745165</v>
      </c>
      <c r="G109" s="1712">
        <f t="shared" si="4"/>
        <v>400996</v>
      </c>
      <c r="H109" s="1712">
        <f t="shared" si="4"/>
        <v>496207</v>
      </c>
      <c r="I109" s="1712">
        <f t="shared" si="4"/>
        <v>31302</v>
      </c>
      <c r="J109" s="1712">
        <f t="shared" si="4"/>
        <v>27293</v>
      </c>
      <c r="K109" s="1699">
        <f t="shared" si="4"/>
        <v>1448</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4195571</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7"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4195571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177431</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25143</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202574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9338</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208202</v>
      </c>
      <c r="G152" s="467">
        <v>0</v>
      </c>
      <c r="H152" s="468"/>
      <c r="I152" s="468"/>
      <c r="J152" s="468"/>
      <c r="K152" s="468"/>
    </row>
    <row r="153" spans="1:11" ht="12.75" customHeight="1" x14ac:dyDescent="0.2">
      <c r="A153" s="463" t="s">
        <v>1057</v>
      </c>
      <c r="B153" s="559">
        <v>3510</v>
      </c>
      <c r="C153" s="548">
        <v>0</v>
      </c>
      <c r="D153" s="466">
        <v>0</v>
      </c>
      <c r="E153" s="558"/>
      <c r="F153" s="466">
        <v>156800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365002</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415947</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333" t="s">
        <v>398</v>
      </c>
      <c r="B169" s="2334"/>
      <c r="C169" s="1719">
        <f t="shared" ref="C169:K169" si="6">SUM(C132,C141,C145,C146:C150,C155,C156:C167,C168)</f>
        <v>627859</v>
      </c>
      <c r="D169" s="1719">
        <f t="shared" si="6"/>
        <v>0</v>
      </c>
      <c r="E169" s="1719">
        <f t="shared" si="6"/>
        <v>0</v>
      </c>
      <c r="F169" s="1719">
        <f t="shared" si="6"/>
        <v>365002</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4823430</v>
      </c>
      <c r="D170" s="1712">
        <f t="shared" si="7"/>
        <v>0</v>
      </c>
      <c r="E170" s="1712">
        <f t="shared" si="7"/>
        <v>0</v>
      </c>
      <c r="F170" s="1712">
        <f t="shared" si="7"/>
        <v>365002</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335" t="s">
        <v>1492</v>
      </c>
      <c r="B172" s="2336"/>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339" t="s">
        <v>1665</v>
      </c>
      <c r="B175" s="234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343" t="s">
        <v>1664</v>
      </c>
      <c r="B176" s="2344"/>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341" t="s">
        <v>785</v>
      </c>
      <c r="B181" s="234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337" t="s">
        <v>1800</v>
      </c>
      <c r="B182" s="2338"/>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20461</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20461</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408939</v>
      </c>
      <c r="D191" s="468"/>
      <c r="E191" s="558"/>
      <c r="F191" s="468"/>
      <c r="G191" s="582">
        <v>0</v>
      </c>
      <c r="H191" s="468"/>
      <c r="I191" s="468"/>
      <c r="J191" s="468"/>
      <c r="K191" s="468"/>
    </row>
    <row r="192" spans="1:11" ht="12.75" customHeight="1" x14ac:dyDescent="0.2">
      <c r="A192" s="463" t="s">
        <v>1047</v>
      </c>
      <c r="B192" s="470">
        <v>4215</v>
      </c>
      <c r="C192" s="548">
        <v>704</v>
      </c>
      <c r="D192" s="468"/>
      <c r="E192" s="558"/>
      <c r="F192" s="468"/>
      <c r="G192" s="582">
        <v>0</v>
      </c>
      <c r="H192" s="468"/>
      <c r="I192" s="468"/>
      <c r="J192" s="468"/>
      <c r="K192" s="468"/>
    </row>
    <row r="193" spans="1:11" ht="12.75" customHeight="1" x14ac:dyDescent="0.2">
      <c r="A193" s="463" t="s">
        <v>1059</v>
      </c>
      <c r="B193" s="470">
        <v>4220</v>
      </c>
      <c r="C193" s="548">
        <v>152934</v>
      </c>
      <c r="D193" s="468"/>
      <c r="E193" s="558"/>
      <c r="F193" s="468"/>
      <c r="G193" s="582">
        <v>0</v>
      </c>
      <c r="H193" s="468"/>
      <c r="I193" s="468"/>
      <c r="J193" s="468"/>
      <c r="K193" s="468"/>
    </row>
    <row r="194" spans="1:11" ht="12.75" customHeight="1" x14ac:dyDescent="0.2">
      <c r="A194" s="463" t="s">
        <v>1451</v>
      </c>
      <c r="B194" s="470">
        <v>4225</v>
      </c>
      <c r="C194" s="548">
        <v>1243</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563820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544626</v>
      </c>
      <c r="D200" s="466">
        <v>0</v>
      </c>
      <c r="E200" s="468"/>
      <c r="F200" s="466">
        <v>0</v>
      </c>
      <c r="G200" s="466">
        <v>0</v>
      </c>
      <c r="H200" s="468"/>
      <c r="I200" s="468"/>
      <c r="J200" s="468"/>
      <c r="K200" s="468"/>
    </row>
    <row r="201" spans="1:11" ht="12.75" customHeight="1" x14ac:dyDescent="0.2">
      <c r="A201" s="463" t="s">
        <v>919</v>
      </c>
      <c r="B201" s="470">
        <v>4305</v>
      </c>
      <c r="C201" s="548">
        <v>12157</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556783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13232</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301477</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314709</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1934</v>
      </c>
      <c r="B261" s="470">
        <v>4981</v>
      </c>
      <c r="C261" s="572">
        <v>0</v>
      </c>
      <c r="D261" s="573">
        <v>0</v>
      </c>
      <c r="E261" s="468"/>
      <c r="F261" s="573">
        <v>0</v>
      </c>
      <c r="G261" s="573">
        <v>0</v>
      </c>
      <c r="H261" s="468"/>
      <c r="I261" s="468"/>
      <c r="J261" s="468"/>
      <c r="K261" s="468"/>
    </row>
    <row r="262" spans="1:11" ht="12.75" customHeight="1" thickTop="1" thickBot="1" x14ac:dyDescent="0.25">
      <c r="A262" s="1928"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30549</v>
      </c>
      <c r="D263" s="573">
        <v>0</v>
      </c>
      <c r="E263" s="468"/>
      <c r="F263" s="573">
        <v>0</v>
      </c>
      <c r="G263" s="573">
        <v>0</v>
      </c>
      <c r="H263" s="468"/>
      <c r="I263" s="468"/>
      <c r="J263" s="468"/>
      <c r="K263" s="468"/>
    </row>
    <row r="264" spans="1:11" ht="12.75" customHeight="1" thickTop="1" thickBot="1" x14ac:dyDescent="0.25">
      <c r="A264" s="463" t="s">
        <v>377</v>
      </c>
      <c r="B264" s="470">
        <v>4992</v>
      </c>
      <c r="C264" s="572">
        <v>286533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1772855</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1772855</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12269393</v>
      </c>
      <c r="D268" s="1712">
        <f t="shared" si="12"/>
        <v>622305</v>
      </c>
      <c r="E268" s="1712">
        <f t="shared" si="12"/>
        <v>554710</v>
      </c>
      <c r="F268" s="1712">
        <f t="shared" si="12"/>
        <v>1110167</v>
      </c>
      <c r="G268" s="1712">
        <f t="shared" si="12"/>
        <v>400996</v>
      </c>
      <c r="H268" s="1712">
        <f t="shared" si="12"/>
        <v>496207</v>
      </c>
      <c r="I268" s="1712">
        <f t="shared" si="12"/>
        <v>31302</v>
      </c>
      <c r="J268" s="1712">
        <f t="shared" si="12"/>
        <v>27293</v>
      </c>
      <c r="K268" s="1699">
        <f t="shared" si="12"/>
        <v>1448</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8" sqref="B8"/>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313"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347"/>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53" t="s">
        <v>297</v>
      </c>
      <c r="B3" s="2354"/>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4578644</v>
      </c>
      <c r="D5" s="466">
        <v>677964</v>
      </c>
      <c r="E5" s="466">
        <v>14177</v>
      </c>
      <c r="F5" s="466">
        <v>143268</v>
      </c>
      <c r="G5" s="466">
        <v>38697</v>
      </c>
      <c r="H5" s="466">
        <v>653</v>
      </c>
      <c r="I5" s="467">
        <v>0</v>
      </c>
      <c r="J5" s="467">
        <v>0</v>
      </c>
      <c r="K5" s="1668">
        <f>SUM(C5:J5)</f>
        <v>5453403</v>
      </c>
      <c r="L5" s="471">
        <v>5447813</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213618</v>
      </c>
      <c r="D7" s="467">
        <v>24188</v>
      </c>
      <c r="E7" s="467">
        <v>1914</v>
      </c>
      <c r="F7" s="467">
        <v>23804</v>
      </c>
      <c r="G7" s="467">
        <v>30000</v>
      </c>
      <c r="H7" s="467">
        <v>0</v>
      </c>
      <c r="I7" s="467">
        <v>0</v>
      </c>
      <c r="J7" s="467">
        <v>0</v>
      </c>
      <c r="K7" s="1668">
        <f t="shared" ref="K7:K32" si="0">SUM(C7:J7)</f>
        <v>293524</v>
      </c>
      <c r="L7" s="471">
        <v>293524</v>
      </c>
    </row>
    <row r="8" spans="1:14" x14ac:dyDescent="0.2">
      <c r="A8" s="1501" t="s">
        <v>164</v>
      </c>
      <c r="B8" s="611">
        <v>1200</v>
      </c>
      <c r="C8" s="466">
        <v>2210062</v>
      </c>
      <c r="D8" s="466">
        <v>346745</v>
      </c>
      <c r="E8" s="466">
        <v>85157</v>
      </c>
      <c r="F8" s="466">
        <v>82174</v>
      </c>
      <c r="G8" s="466">
        <v>0</v>
      </c>
      <c r="H8" s="466">
        <v>0</v>
      </c>
      <c r="I8" s="467">
        <v>0</v>
      </c>
      <c r="J8" s="467">
        <v>0</v>
      </c>
      <c r="K8" s="1668">
        <f t="shared" si="0"/>
        <v>2724138</v>
      </c>
      <c r="L8" s="471">
        <v>2724138</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110884</v>
      </c>
      <c r="D14" s="466">
        <v>2778</v>
      </c>
      <c r="E14" s="466">
        <v>0</v>
      </c>
      <c r="F14" s="466">
        <v>3020</v>
      </c>
      <c r="G14" s="466">
        <v>0</v>
      </c>
      <c r="H14" s="466">
        <v>0</v>
      </c>
      <c r="I14" s="467">
        <v>0</v>
      </c>
      <c r="J14" s="467">
        <v>0</v>
      </c>
      <c r="K14" s="1668">
        <f t="shared" si="0"/>
        <v>116682</v>
      </c>
      <c r="L14" s="471">
        <v>116682</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420360</v>
      </c>
      <c r="I22" s="613"/>
      <c r="J22" s="475"/>
      <c r="K22" s="1668">
        <f t="shared" si="0"/>
        <v>420360</v>
      </c>
      <c r="L22" s="471">
        <v>420360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7113208</v>
      </c>
      <c r="D33" s="1667">
        <f t="shared" ref="D33:L33" si="1">SUM(D5:D32)</f>
        <v>1051675</v>
      </c>
      <c r="E33" s="1667">
        <f t="shared" si="1"/>
        <v>101248</v>
      </c>
      <c r="F33" s="1667">
        <f t="shared" si="1"/>
        <v>252266</v>
      </c>
      <c r="G33" s="1667">
        <f t="shared" si="1"/>
        <v>68697</v>
      </c>
      <c r="H33" s="1667">
        <f t="shared" si="1"/>
        <v>421013</v>
      </c>
      <c r="I33" s="1667">
        <f t="shared" si="1"/>
        <v>0</v>
      </c>
      <c r="J33" s="1667">
        <f t="shared" si="1"/>
        <v>0</v>
      </c>
      <c r="K33" s="1667">
        <f t="shared" si="1"/>
        <v>9008107</v>
      </c>
      <c r="L33" s="1667">
        <f t="shared" si="1"/>
        <v>9002517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186441</v>
      </c>
      <c r="D36" s="479">
        <v>0</v>
      </c>
      <c r="E36" s="479">
        <v>0</v>
      </c>
      <c r="F36" s="479">
        <v>0</v>
      </c>
      <c r="G36" s="479">
        <v>0</v>
      </c>
      <c r="H36" s="479">
        <v>0</v>
      </c>
      <c r="I36" s="467">
        <v>0</v>
      </c>
      <c r="J36" s="467">
        <v>0</v>
      </c>
      <c r="K36" s="1668">
        <f t="shared" ref="K36:K41" si="2">SUM(C36:J36)</f>
        <v>186441</v>
      </c>
      <c r="L36" s="466">
        <v>186441</v>
      </c>
    </row>
    <row r="37" spans="1:14" x14ac:dyDescent="0.2">
      <c r="A37" s="1501" t="s">
        <v>1090</v>
      </c>
      <c r="B37" s="611">
        <v>2120</v>
      </c>
      <c r="C37" s="466">
        <v>69947</v>
      </c>
      <c r="D37" s="466">
        <v>0</v>
      </c>
      <c r="E37" s="466">
        <v>0</v>
      </c>
      <c r="F37" s="466">
        <v>0</v>
      </c>
      <c r="G37" s="466">
        <v>0</v>
      </c>
      <c r="H37" s="466">
        <v>0</v>
      </c>
      <c r="I37" s="467">
        <v>0</v>
      </c>
      <c r="J37" s="467">
        <v>0</v>
      </c>
      <c r="K37" s="1668">
        <f t="shared" si="2"/>
        <v>69947</v>
      </c>
      <c r="L37" s="466">
        <v>69947</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64226</v>
      </c>
      <c r="D39" s="466">
        <v>0</v>
      </c>
      <c r="E39" s="466">
        <v>0</v>
      </c>
      <c r="F39" s="466">
        <v>1007</v>
      </c>
      <c r="G39" s="466">
        <v>0</v>
      </c>
      <c r="H39" s="466">
        <v>0</v>
      </c>
      <c r="I39" s="467">
        <v>0</v>
      </c>
      <c r="J39" s="467">
        <v>0</v>
      </c>
      <c r="K39" s="1668">
        <f t="shared" si="2"/>
        <v>65233</v>
      </c>
      <c r="L39" s="466">
        <v>65233</v>
      </c>
    </row>
    <row r="40" spans="1:14" x14ac:dyDescent="0.2">
      <c r="A40" s="1501" t="s">
        <v>200</v>
      </c>
      <c r="B40" s="611">
        <v>2150</v>
      </c>
      <c r="C40" s="466">
        <v>48524</v>
      </c>
      <c r="D40" s="466">
        <v>418</v>
      </c>
      <c r="E40" s="466">
        <v>3374</v>
      </c>
      <c r="F40" s="466">
        <v>25</v>
      </c>
      <c r="G40" s="466">
        <v>0</v>
      </c>
      <c r="H40" s="466">
        <v>0</v>
      </c>
      <c r="I40" s="467">
        <v>0</v>
      </c>
      <c r="J40" s="467">
        <v>0</v>
      </c>
      <c r="K40" s="1668">
        <f t="shared" si="2"/>
        <v>52341</v>
      </c>
      <c r="L40" s="466">
        <v>52341</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369138</v>
      </c>
      <c r="D42" s="1667">
        <f t="shared" ref="D42:L42" si="3">SUM(D36:D41)</f>
        <v>418</v>
      </c>
      <c r="E42" s="1667">
        <f t="shared" si="3"/>
        <v>3374</v>
      </c>
      <c r="F42" s="1667">
        <f t="shared" si="3"/>
        <v>1032</v>
      </c>
      <c r="G42" s="1667">
        <f t="shared" si="3"/>
        <v>0</v>
      </c>
      <c r="H42" s="1667">
        <f t="shared" si="3"/>
        <v>0</v>
      </c>
      <c r="I42" s="1667">
        <f t="shared" si="3"/>
        <v>0</v>
      </c>
      <c r="J42" s="1667">
        <f t="shared" si="3"/>
        <v>0</v>
      </c>
      <c r="K42" s="1667">
        <f t="shared" si="3"/>
        <v>373962</v>
      </c>
      <c r="L42" s="1667">
        <f t="shared" si="3"/>
        <v>373962</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5912</v>
      </c>
      <c r="D44" s="479">
        <v>23546</v>
      </c>
      <c r="E44" s="479">
        <v>32095</v>
      </c>
      <c r="F44" s="479">
        <v>0</v>
      </c>
      <c r="G44" s="479">
        <v>0</v>
      </c>
      <c r="H44" s="479">
        <v>0</v>
      </c>
      <c r="I44" s="467">
        <v>0</v>
      </c>
      <c r="J44" s="467">
        <v>0</v>
      </c>
      <c r="K44" s="1669">
        <f>SUM(C44:J44)</f>
        <v>61553</v>
      </c>
      <c r="L44" s="479">
        <v>61553</v>
      </c>
    </row>
    <row r="45" spans="1:14" x14ac:dyDescent="0.2">
      <c r="A45" s="1501" t="s">
        <v>815</v>
      </c>
      <c r="B45" s="611">
        <v>2220</v>
      </c>
      <c r="C45" s="466">
        <v>0</v>
      </c>
      <c r="D45" s="466">
        <v>0</v>
      </c>
      <c r="E45" s="466">
        <v>8250</v>
      </c>
      <c r="F45" s="466">
        <v>18843</v>
      </c>
      <c r="G45" s="466">
        <v>6251</v>
      </c>
      <c r="H45" s="466">
        <v>0</v>
      </c>
      <c r="I45" s="467">
        <v>0</v>
      </c>
      <c r="J45" s="467">
        <v>0</v>
      </c>
      <c r="K45" s="1669">
        <f>SUM(C45:J45)</f>
        <v>33344</v>
      </c>
      <c r="L45" s="466">
        <v>33344</v>
      </c>
    </row>
    <row r="46" spans="1:14" x14ac:dyDescent="0.2">
      <c r="A46" s="1501" t="s">
        <v>816</v>
      </c>
      <c r="B46" s="611">
        <v>2230</v>
      </c>
      <c r="C46" s="466">
        <v>4000</v>
      </c>
      <c r="D46" s="466">
        <v>394</v>
      </c>
      <c r="E46" s="466">
        <v>0</v>
      </c>
      <c r="F46" s="466">
        <v>0</v>
      </c>
      <c r="G46" s="466">
        <v>0</v>
      </c>
      <c r="H46" s="466">
        <v>0</v>
      </c>
      <c r="I46" s="467">
        <v>0</v>
      </c>
      <c r="J46" s="467">
        <v>0</v>
      </c>
      <c r="K46" s="1669">
        <f>SUM(C46:J46)</f>
        <v>4394</v>
      </c>
      <c r="L46" s="466">
        <v>3764</v>
      </c>
    </row>
    <row r="47" spans="1:14" ht="12.75" customHeight="1" thickBot="1" x14ac:dyDescent="0.25">
      <c r="A47" s="1665" t="s">
        <v>561</v>
      </c>
      <c r="B47" s="1666" t="s">
        <v>32</v>
      </c>
      <c r="C47" s="1667">
        <f>SUM(C44:C46)</f>
        <v>9912</v>
      </c>
      <c r="D47" s="1667">
        <f t="shared" ref="D47:K47" si="4">SUM(D44:D46)</f>
        <v>23940</v>
      </c>
      <c r="E47" s="1667">
        <f t="shared" si="4"/>
        <v>40345</v>
      </c>
      <c r="F47" s="1667">
        <f t="shared" si="4"/>
        <v>18843</v>
      </c>
      <c r="G47" s="1667">
        <f t="shared" si="4"/>
        <v>6251</v>
      </c>
      <c r="H47" s="1667">
        <f t="shared" si="4"/>
        <v>0</v>
      </c>
      <c r="I47" s="1667">
        <f t="shared" si="4"/>
        <v>0</v>
      </c>
      <c r="J47" s="1667">
        <f t="shared" si="4"/>
        <v>0</v>
      </c>
      <c r="K47" s="1667">
        <f t="shared" si="4"/>
        <v>99291</v>
      </c>
      <c r="L47" s="1667">
        <f>SUM(L44:L46)</f>
        <v>98661</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24833</v>
      </c>
      <c r="F49" s="479">
        <v>16960</v>
      </c>
      <c r="G49" s="479">
        <v>0</v>
      </c>
      <c r="H49" s="479">
        <v>5522</v>
      </c>
      <c r="I49" s="467">
        <v>0</v>
      </c>
      <c r="J49" s="467">
        <v>0</v>
      </c>
      <c r="K49" s="1669">
        <f>SUM(C49:J49)</f>
        <v>47315</v>
      </c>
      <c r="L49" s="479">
        <v>53535</v>
      </c>
    </row>
    <row r="50" spans="1:14" x14ac:dyDescent="0.2">
      <c r="A50" s="1501" t="s">
        <v>818</v>
      </c>
      <c r="B50" s="611">
        <v>2320</v>
      </c>
      <c r="C50" s="467">
        <v>168919</v>
      </c>
      <c r="D50" s="466">
        <v>29632</v>
      </c>
      <c r="E50" s="466">
        <v>5975</v>
      </c>
      <c r="F50" s="466">
        <v>672</v>
      </c>
      <c r="G50" s="466">
        <v>0</v>
      </c>
      <c r="H50" s="466">
        <v>4358</v>
      </c>
      <c r="I50" s="467">
        <v>0</v>
      </c>
      <c r="J50" s="467">
        <v>0</v>
      </c>
      <c r="K50" s="1669">
        <f>SUM(C50:J50)</f>
        <v>209556</v>
      </c>
      <c r="L50" s="466">
        <v>209556</v>
      </c>
    </row>
    <row r="51" spans="1:14" x14ac:dyDescent="0.2">
      <c r="A51" s="1501" t="s">
        <v>42</v>
      </c>
      <c r="B51" s="611">
        <v>2330</v>
      </c>
      <c r="C51" s="466">
        <v>113116</v>
      </c>
      <c r="D51" s="466">
        <v>13749</v>
      </c>
      <c r="E51" s="466">
        <v>96</v>
      </c>
      <c r="F51" s="466">
        <v>982</v>
      </c>
      <c r="G51" s="466">
        <v>0</v>
      </c>
      <c r="H51" s="466">
        <v>550</v>
      </c>
      <c r="I51" s="467">
        <v>0</v>
      </c>
      <c r="J51" s="467">
        <v>0</v>
      </c>
      <c r="K51" s="1669">
        <f>SUM(C51:J51)</f>
        <v>128493</v>
      </c>
      <c r="L51" s="466">
        <v>128493</v>
      </c>
    </row>
    <row r="52" spans="1:14" ht="22.5" x14ac:dyDescent="0.2">
      <c r="A52" s="1502" t="s">
        <v>298</v>
      </c>
      <c r="B52" s="624" t="s">
        <v>366</v>
      </c>
      <c r="C52" s="473">
        <v>122616</v>
      </c>
      <c r="D52" s="473">
        <v>0</v>
      </c>
      <c r="E52" s="473">
        <v>6593</v>
      </c>
      <c r="F52" s="473">
        <v>0</v>
      </c>
      <c r="G52" s="473">
        <v>0</v>
      </c>
      <c r="H52" s="473">
        <v>0</v>
      </c>
      <c r="I52" s="473">
        <v>0</v>
      </c>
      <c r="J52" s="473">
        <v>0</v>
      </c>
      <c r="K52" s="1669">
        <f>SUM(C52:J52)</f>
        <v>129209</v>
      </c>
      <c r="L52" s="473">
        <v>129209</v>
      </c>
    </row>
    <row r="53" spans="1:14" ht="12.75" customHeight="1" thickBot="1" x14ac:dyDescent="0.25">
      <c r="A53" s="1665" t="s">
        <v>717</v>
      </c>
      <c r="B53" s="1666" t="s">
        <v>33</v>
      </c>
      <c r="C53" s="1667">
        <f>SUM(C49:C52)</f>
        <v>404651</v>
      </c>
      <c r="D53" s="1667">
        <f t="shared" ref="D53:L53" si="5">SUM(D49:D52)</f>
        <v>43381</v>
      </c>
      <c r="E53" s="1667">
        <f t="shared" si="5"/>
        <v>37497</v>
      </c>
      <c r="F53" s="1667">
        <f t="shared" si="5"/>
        <v>18614</v>
      </c>
      <c r="G53" s="1667">
        <f t="shared" si="5"/>
        <v>0</v>
      </c>
      <c r="H53" s="1667">
        <f t="shared" si="5"/>
        <v>10430</v>
      </c>
      <c r="I53" s="1667">
        <f t="shared" si="5"/>
        <v>0</v>
      </c>
      <c r="J53" s="1667">
        <f t="shared" si="5"/>
        <v>0</v>
      </c>
      <c r="K53" s="1667">
        <f t="shared" si="5"/>
        <v>514573</v>
      </c>
      <c r="L53" s="1667">
        <f t="shared" si="5"/>
        <v>520793</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567261</v>
      </c>
      <c r="D55" s="479">
        <v>105189</v>
      </c>
      <c r="E55" s="479">
        <v>1333</v>
      </c>
      <c r="F55" s="479">
        <v>15371</v>
      </c>
      <c r="G55" s="479">
        <v>0</v>
      </c>
      <c r="H55" s="479">
        <v>790</v>
      </c>
      <c r="I55" s="467">
        <v>0</v>
      </c>
      <c r="J55" s="467">
        <v>0</v>
      </c>
      <c r="K55" s="1669">
        <f>SUM(C55:J55)</f>
        <v>689944</v>
      </c>
      <c r="L55" s="479">
        <v>689946</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567261</v>
      </c>
      <c r="D57" s="1671">
        <f t="shared" ref="D57:K57" si="6">SUM(D55:D56)</f>
        <v>105189</v>
      </c>
      <c r="E57" s="1671">
        <f t="shared" si="6"/>
        <v>1333</v>
      </c>
      <c r="F57" s="1671">
        <f t="shared" si="6"/>
        <v>15371</v>
      </c>
      <c r="G57" s="1671">
        <f t="shared" si="6"/>
        <v>0</v>
      </c>
      <c r="H57" s="1671">
        <f t="shared" si="6"/>
        <v>790</v>
      </c>
      <c r="I57" s="1671">
        <f t="shared" si="6"/>
        <v>0</v>
      </c>
      <c r="J57" s="1671">
        <f t="shared" si="6"/>
        <v>0</v>
      </c>
      <c r="K57" s="1671">
        <f t="shared" si="6"/>
        <v>689944</v>
      </c>
      <c r="L57" s="1667">
        <f>SUM(L55:L56)</f>
        <v>689946</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63317</v>
      </c>
      <c r="D60" s="466">
        <v>7</v>
      </c>
      <c r="E60" s="466">
        <v>0</v>
      </c>
      <c r="F60" s="466">
        <v>8867</v>
      </c>
      <c r="G60" s="466">
        <v>0</v>
      </c>
      <c r="H60" s="466">
        <v>0</v>
      </c>
      <c r="I60" s="467">
        <v>0</v>
      </c>
      <c r="J60" s="467">
        <v>0</v>
      </c>
      <c r="K60" s="1669">
        <f t="shared" si="7"/>
        <v>72191</v>
      </c>
      <c r="L60" s="466">
        <v>72191</v>
      </c>
      <c r="M60" s="606"/>
      <c r="N60" s="606"/>
    </row>
    <row r="61" spans="1:14" s="343" customFormat="1" x14ac:dyDescent="0.2">
      <c r="A61" s="1501" t="s">
        <v>197</v>
      </c>
      <c r="B61" s="611">
        <v>2540</v>
      </c>
      <c r="C61" s="466">
        <v>365676</v>
      </c>
      <c r="D61" s="466">
        <v>35571</v>
      </c>
      <c r="E61" s="466">
        <v>0</v>
      </c>
      <c r="F61" s="466">
        <v>0</v>
      </c>
      <c r="G61" s="466">
        <v>0</v>
      </c>
      <c r="H61" s="466">
        <v>0</v>
      </c>
      <c r="I61" s="467">
        <v>0</v>
      </c>
      <c r="J61" s="467">
        <v>0</v>
      </c>
      <c r="K61" s="1669">
        <f t="shared" si="7"/>
        <v>401247</v>
      </c>
      <c r="L61" s="466">
        <v>401247</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207720</v>
      </c>
      <c r="D63" s="466">
        <v>41053</v>
      </c>
      <c r="E63" s="466">
        <v>5345</v>
      </c>
      <c r="F63" s="466">
        <v>308200</v>
      </c>
      <c r="G63" s="466">
        <v>0</v>
      </c>
      <c r="H63" s="466">
        <v>0</v>
      </c>
      <c r="I63" s="467">
        <v>0</v>
      </c>
      <c r="J63" s="467">
        <v>0</v>
      </c>
      <c r="K63" s="1669">
        <f t="shared" si="7"/>
        <v>562318</v>
      </c>
      <c r="L63" s="466">
        <v>562318</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636713</v>
      </c>
      <c r="D65" s="1667">
        <f t="shared" ref="D65:L65" si="8">SUM(D59:D64)</f>
        <v>76631</v>
      </c>
      <c r="E65" s="1667">
        <f t="shared" si="8"/>
        <v>5345</v>
      </c>
      <c r="F65" s="1667">
        <f t="shared" si="8"/>
        <v>317067</v>
      </c>
      <c r="G65" s="1667">
        <f t="shared" si="8"/>
        <v>0</v>
      </c>
      <c r="H65" s="1667">
        <f t="shared" si="8"/>
        <v>0</v>
      </c>
      <c r="I65" s="1667">
        <f t="shared" si="8"/>
        <v>0</v>
      </c>
      <c r="J65" s="1667">
        <f t="shared" si="8"/>
        <v>0</v>
      </c>
      <c r="K65" s="1667">
        <f t="shared" si="8"/>
        <v>1035756</v>
      </c>
      <c r="L65" s="1667">
        <f t="shared" si="8"/>
        <v>1035756</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87832</v>
      </c>
      <c r="D68" s="466">
        <v>17296</v>
      </c>
      <c r="E68" s="466">
        <v>682</v>
      </c>
      <c r="F68" s="466">
        <v>486</v>
      </c>
      <c r="G68" s="466">
        <v>0</v>
      </c>
      <c r="H68" s="466">
        <v>405</v>
      </c>
      <c r="I68" s="467">
        <v>0</v>
      </c>
      <c r="J68" s="467">
        <v>0</v>
      </c>
      <c r="K68" s="1669">
        <f>SUM(C68:J68)</f>
        <v>106701</v>
      </c>
      <c r="L68" s="466">
        <v>106701</v>
      </c>
      <c r="M68" s="606"/>
      <c r="N68" s="606"/>
    </row>
    <row r="69" spans="1:14" s="343" customFormat="1" x14ac:dyDescent="0.2">
      <c r="A69" s="1501" t="s">
        <v>1061</v>
      </c>
      <c r="B69" s="611">
        <v>2630</v>
      </c>
      <c r="C69" s="466">
        <v>109940</v>
      </c>
      <c r="D69" s="466">
        <v>7187</v>
      </c>
      <c r="E69" s="466">
        <v>66116</v>
      </c>
      <c r="F69" s="466">
        <v>51347</v>
      </c>
      <c r="G69" s="466">
        <v>0</v>
      </c>
      <c r="H69" s="466">
        <v>38764</v>
      </c>
      <c r="I69" s="467">
        <v>0</v>
      </c>
      <c r="J69" s="467">
        <v>0</v>
      </c>
      <c r="K69" s="1669">
        <f>SUM(C69:J69)</f>
        <v>273354</v>
      </c>
      <c r="L69" s="466">
        <v>290543</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1250</v>
      </c>
      <c r="F71" s="466">
        <v>0</v>
      </c>
      <c r="G71" s="466">
        <v>0</v>
      </c>
      <c r="H71" s="466">
        <v>0</v>
      </c>
      <c r="I71" s="467">
        <v>0</v>
      </c>
      <c r="J71" s="467">
        <v>0</v>
      </c>
      <c r="K71" s="1669">
        <f>SUM(C71:J71)</f>
        <v>1250</v>
      </c>
      <c r="L71" s="466">
        <v>1250</v>
      </c>
      <c r="M71" s="606"/>
      <c r="N71" s="606"/>
    </row>
    <row r="72" spans="1:14" s="343" customFormat="1" ht="12.75" customHeight="1" thickBot="1" x14ac:dyDescent="0.25">
      <c r="A72" s="1665" t="s">
        <v>37</v>
      </c>
      <c r="B72" s="1672" t="s">
        <v>36</v>
      </c>
      <c r="C72" s="1667">
        <f>SUM(C67:C71)</f>
        <v>197772</v>
      </c>
      <c r="D72" s="1667">
        <f t="shared" ref="D72:K72" si="9">SUM(D67:D71)</f>
        <v>24483</v>
      </c>
      <c r="E72" s="1667">
        <f t="shared" si="9"/>
        <v>68048</v>
      </c>
      <c r="F72" s="1667">
        <f t="shared" si="9"/>
        <v>51833</v>
      </c>
      <c r="G72" s="1667">
        <f t="shared" si="9"/>
        <v>0</v>
      </c>
      <c r="H72" s="1667">
        <f t="shared" si="9"/>
        <v>39169</v>
      </c>
      <c r="I72" s="1667">
        <f t="shared" si="9"/>
        <v>0</v>
      </c>
      <c r="J72" s="1667">
        <f t="shared" si="9"/>
        <v>0</v>
      </c>
      <c r="K72" s="1667">
        <f t="shared" si="9"/>
        <v>381305</v>
      </c>
      <c r="L72" s="1667">
        <f>SUM(L67:L71)</f>
        <v>398494</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2185447</v>
      </c>
      <c r="D74" s="1674">
        <f t="shared" ref="D74:K74" si="10">SUM(D42,D47,D53,D57,D65,D72,D73)</f>
        <v>274042</v>
      </c>
      <c r="E74" s="1674">
        <f t="shared" si="10"/>
        <v>155942</v>
      </c>
      <c r="F74" s="1674">
        <f t="shared" si="10"/>
        <v>422760</v>
      </c>
      <c r="G74" s="1674">
        <f t="shared" si="10"/>
        <v>6251</v>
      </c>
      <c r="H74" s="1674">
        <f t="shared" si="10"/>
        <v>50389</v>
      </c>
      <c r="I74" s="1674">
        <f t="shared" si="10"/>
        <v>0</v>
      </c>
      <c r="J74" s="1674">
        <f t="shared" si="10"/>
        <v>0</v>
      </c>
      <c r="K74" s="1674">
        <f t="shared" si="10"/>
        <v>3094831</v>
      </c>
      <c r="L74" s="1674">
        <f>SUM(L42,L47,L53,L57,L65,L72,L73)</f>
        <v>3117612</v>
      </c>
    </row>
    <row r="75" spans="1:14" s="259" customFormat="1" ht="15.75" customHeight="1" thickTop="1" thickBot="1" x14ac:dyDescent="0.25">
      <c r="A75" s="1607" t="s">
        <v>47</v>
      </c>
      <c r="B75" s="1608" t="s">
        <v>575</v>
      </c>
      <c r="C75" s="467">
        <v>22320</v>
      </c>
      <c r="D75" s="467">
        <v>1914</v>
      </c>
      <c r="E75" s="467">
        <v>6610</v>
      </c>
      <c r="F75" s="467">
        <v>7403</v>
      </c>
      <c r="G75" s="467">
        <v>0</v>
      </c>
      <c r="H75" s="467">
        <v>0</v>
      </c>
      <c r="I75" s="467">
        <v>0</v>
      </c>
      <c r="J75" s="467">
        <v>0</v>
      </c>
      <c r="K75" s="1667">
        <f>SUM(C75:J75)</f>
        <v>38247</v>
      </c>
      <c r="L75" s="573">
        <v>38247</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982</v>
      </c>
      <c r="I83" s="475"/>
      <c r="J83" s="475"/>
      <c r="K83" s="1668">
        <f t="shared" si="11"/>
        <v>982</v>
      </c>
      <c r="L83" s="466">
        <v>982</v>
      </c>
    </row>
    <row r="84" spans="1:12" ht="13.5" thickBot="1" x14ac:dyDescent="0.25">
      <c r="A84" s="1665" t="s">
        <v>1485</v>
      </c>
      <c r="B84" s="1675">
        <v>4100</v>
      </c>
      <c r="C84" s="613"/>
      <c r="D84" s="613"/>
      <c r="E84" s="1667">
        <f>SUM(E78:E83)</f>
        <v>0</v>
      </c>
      <c r="F84" s="613"/>
      <c r="G84" s="613"/>
      <c r="H84" s="1667">
        <f>SUM(H78:H83)</f>
        <v>982</v>
      </c>
      <c r="I84" s="475"/>
      <c r="J84" s="475"/>
      <c r="K84" s="1667">
        <f>SUM(K78:K83)</f>
        <v>982</v>
      </c>
      <c r="L84" s="1667">
        <f>SUM(L78:L83)</f>
        <v>982</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60564</v>
      </c>
      <c r="I86" s="475"/>
      <c r="J86" s="475"/>
      <c r="K86" s="1674">
        <f t="shared" ref="K86:K98" si="12">H86</f>
        <v>60564</v>
      </c>
      <c r="L86" s="527">
        <v>60564</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60564</v>
      </c>
      <c r="I92" s="475"/>
      <c r="J92" s="475"/>
      <c r="K92" s="1674">
        <f t="shared" si="12"/>
        <v>60564</v>
      </c>
      <c r="L92" s="1667">
        <f>SUM(L85:L91)</f>
        <v>60564</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61546</v>
      </c>
      <c r="I102" s="475"/>
      <c r="J102" s="475"/>
      <c r="K102" s="1674">
        <f>SUM(K84,K92,K100,K101)</f>
        <v>61546</v>
      </c>
      <c r="L102" s="1674">
        <f>SUM(L84,L92,L100,L101)</f>
        <v>61546</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9320975</v>
      </c>
      <c r="D114" s="1667">
        <f t="shared" ref="D114:K114" si="13">SUM(D33,D74,D75,D102,D112,D113)</f>
        <v>1327631</v>
      </c>
      <c r="E114" s="1667">
        <f t="shared" si="13"/>
        <v>263800</v>
      </c>
      <c r="F114" s="1667">
        <f t="shared" si="13"/>
        <v>682429</v>
      </c>
      <c r="G114" s="1667">
        <f t="shared" si="13"/>
        <v>74948</v>
      </c>
      <c r="H114" s="1667">
        <f>SUM(H33,H74,H75,H102,H112,H113)</f>
        <v>532948</v>
      </c>
      <c r="I114" s="1667">
        <f t="shared" si="13"/>
        <v>0</v>
      </c>
      <c r="J114" s="1667">
        <f t="shared" si="13"/>
        <v>0</v>
      </c>
      <c r="K114" s="1667">
        <f t="shared" si="13"/>
        <v>12202731</v>
      </c>
      <c r="L114" s="1667">
        <f>SUM(L33,L74,L75,L102,L112,L113)</f>
        <v>12219922</v>
      </c>
    </row>
    <row r="115" spans="1:14" ht="13.5" thickTop="1" x14ac:dyDescent="0.2">
      <c r="A115" s="2345" t="s">
        <v>996</v>
      </c>
      <c r="B115" s="2346"/>
      <c r="C115" s="615"/>
      <c r="D115" s="615"/>
      <c r="E115" s="615"/>
      <c r="F115" s="615"/>
      <c r="G115" s="615"/>
      <c r="H115" s="615"/>
      <c r="I115" s="615"/>
      <c r="J115" s="615"/>
      <c r="K115" s="1681">
        <f>'Revenues 9-14'!C268-'Expenditures 15-22'!K114</f>
        <v>66662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50" t="s">
        <v>296</v>
      </c>
      <c r="B117" s="2351"/>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100597</v>
      </c>
      <c r="D124" s="466">
        <v>14220</v>
      </c>
      <c r="E124" s="466">
        <v>250082</v>
      </c>
      <c r="F124" s="466">
        <v>250077</v>
      </c>
      <c r="G124" s="466">
        <v>0</v>
      </c>
      <c r="H124" s="466">
        <v>0</v>
      </c>
      <c r="I124" s="467">
        <v>0</v>
      </c>
      <c r="J124" s="467">
        <v>0</v>
      </c>
      <c r="K124" s="1667">
        <f>SUM(C124:J124)</f>
        <v>614976</v>
      </c>
      <c r="L124" s="466">
        <v>614977</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100597</v>
      </c>
      <c r="D127" s="1667">
        <f t="shared" ref="D127:L127" si="14">SUM(D122:D126)</f>
        <v>14220</v>
      </c>
      <c r="E127" s="1667">
        <f t="shared" si="14"/>
        <v>250082</v>
      </c>
      <c r="F127" s="1667">
        <f t="shared" si="14"/>
        <v>250077</v>
      </c>
      <c r="G127" s="1667">
        <f t="shared" si="14"/>
        <v>0</v>
      </c>
      <c r="H127" s="1667">
        <f t="shared" si="14"/>
        <v>0</v>
      </c>
      <c r="I127" s="1667">
        <f t="shared" si="14"/>
        <v>0</v>
      </c>
      <c r="J127" s="1667">
        <f t="shared" si="14"/>
        <v>0</v>
      </c>
      <c r="K127" s="1667">
        <f t="shared" si="14"/>
        <v>614976</v>
      </c>
      <c r="L127" s="1667">
        <f t="shared" si="14"/>
        <v>614977</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100597</v>
      </c>
      <c r="D129" s="1674">
        <f t="shared" ref="D129:L129" si="15">SUM(D120,D127,D128)</f>
        <v>14220</v>
      </c>
      <c r="E129" s="1674">
        <f t="shared" si="15"/>
        <v>250082</v>
      </c>
      <c r="F129" s="1674">
        <f t="shared" si="15"/>
        <v>250077</v>
      </c>
      <c r="G129" s="1674">
        <f t="shared" si="15"/>
        <v>0</v>
      </c>
      <c r="H129" s="1674">
        <f t="shared" si="15"/>
        <v>0</v>
      </c>
      <c r="I129" s="1674">
        <f t="shared" si="15"/>
        <v>0</v>
      </c>
      <c r="J129" s="1674">
        <f t="shared" si="15"/>
        <v>0</v>
      </c>
      <c r="K129" s="1674">
        <f t="shared" si="15"/>
        <v>614976</v>
      </c>
      <c r="L129" s="1674">
        <f t="shared" si="15"/>
        <v>614977</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362" t="s">
        <v>620</v>
      </c>
      <c r="B151" s="2342"/>
      <c r="C151" s="1667">
        <f>SUM(C129,C130,C139,C149,C150)</f>
        <v>100597</v>
      </c>
      <c r="D151" s="1667">
        <f t="shared" ref="D151:K151" si="16">SUM(D129,D130,D139,D149,D150)</f>
        <v>14220</v>
      </c>
      <c r="E151" s="1667">
        <f t="shared" si="16"/>
        <v>250082</v>
      </c>
      <c r="F151" s="1667">
        <f t="shared" si="16"/>
        <v>250077</v>
      </c>
      <c r="G151" s="1667">
        <f t="shared" si="16"/>
        <v>0</v>
      </c>
      <c r="H151" s="1667">
        <f t="shared" si="16"/>
        <v>0</v>
      </c>
      <c r="I151" s="1667">
        <f t="shared" si="16"/>
        <v>0</v>
      </c>
      <c r="J151" s="1667">
        <f t="shared" si="16"/>
        <v>0</v>
      </c>
      <c r="K151" s="1667">
        <f t="shared" si="16"/>
        <v>614976</v>
      </c>
      <c r="L151" s="1667">
        <f>SUM(L129,L130,L139,L149,L150)</f>
        <v>614977</v>
      </c>
    </row>
    <row r="152" spans="1:14" ht="12.75" customHeight="1" thickTop="1" x14ac:dyDescent="0.2">
      <c r="A152" s="2365" t="s">
        <v>1178</v>
      </c>
      <c r="B152" s="2366"/>
      <c r="C152" s="615"/>
      <c r="D152" s="615"/>
      <c r="E152" s="615"/>
      <c r="F152" s="615"/>
      <c r="G152" s="615"/>
      <c r="H152" s="615"/>
      <c r="I152" s="615"/>
      <c r="J152" s="613"/>
      <c r="K152" s="1681">
        <f>'Revenues 9-14'!D268-'Expenditures 15-22'!K151</f>
        <v>7329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50" t="s">
        <v>621</v>
      </c>
      <c r="B154" s="2352"/>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73164</v>
      </c>
      <c r="I169" s="613"/>
      <c r="J169" s="613"/>
      <c r="K169" s="1668">
        <f>SUM(C169:H169)</f>
        <v>73164</v>
      </c>
      <c r="L169" s="653">
        <v>73341</v>
      </c>
    </row>
    <row r="170" spans="1:14" ht="33.75" customHeight="1" x14ac:dyDescent="0.2">
      <c r="A170" s="666" t="s">
        <v>1670</v>
      </c>
      <c r="B170" s="668" t="s">
        <v>31</v>
      </c>
      <c r="C170" s="613"/>
      <c r="D170" s="613"/>
      <c r="E170" s="613"/>
      <c r="F170" s="613"/>
      <c r="G170" s="613"/>
      <c r="H170" s="566">
        <v>497016</v>
      </c>
      <c r="I170" s="613"/>
      <c r="J170" s="613"/>
      <c r="K170" s="1668">
        <f>SUM(C170:J170)</f>
        <v>497016</v>
      </c>
      <c r="L170" s="566">
        <v>480000</v>
      </c>
    </row>
    <row r="171" spans="1:14" ht="15.75" customHeight="1" x14ac:dyDescent="0.2">
      <c r="A171" s="618" t="s">
        <v>766</v>
      </c>
      <c r="B171" s="669" t="s">
        <v>84</v>
      </c>
      <c r="C171" s="613"/>
      <c r="D171" s="613"/>
      <c r="E171" s="466">
        <v>0</v>
      </c>
      <c r="F171" s="613"/>
      <c r="G171" s="613"/>
      <c r="H171" s="566">
        <v>350</v>
      </c>
      <c r="I171" s="475"/>
      <c r="J171" s="613"/>
      <c r="K171" s="1668">
        <f>SUM(C171:J171)</f>
        <v>350</v>
      </c>
      <c r="L171" s="566">
        <v>0</v>
      </c>
    </row>
    <row r="172" spans="1:14" ht="12.75" customHeight="1" thickBot="1" x14ac:dyDescent="0.25">
      <c r="A172" s="1665" t="s">
        <v>638</v>
      </c>
      <c r="B172" s="1666" t="s">
        <v>492</v>
      </c>
      <c r="C172" s="613"/>
      <c r="D172" s="613"/>
      <c r="E172" s="1674">
        <f>SUM(E168,E169,E170,E171)</f>
        <v>0</v>
      </c>
      <c r="F172" s="613"/>
      <c r="G172" s="613"/>
      <c r="H172" s="1674">
        <f>SUM(H168,H169,H170,H171)</f>
        <v>570530</v>
      </c>
      <c r="I172" s="635"/>
      <c r="J172" s="613"/>
      <c r="K172" s="1674">
        <f>SUM(K168,K169,K170,K171)</f>
        <v>570530</v>
      </c>
      <c r="L172" s="1674">
        <f>SUM(L168,L169,L170,L171)</f>
        <v>553341</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570530</v>
      </c>
      <c r="I174" s="635"/>
      <c r="J174" s="613"/>
      <c r="K174" s="1674">
        <f>SUM(K160,K172,K173)</f>
        <v>570530</v>
      </c>
      <c r="L174" s="1674">
        <f>SUM(L160,L172,L173)</f>
        <v>553341</v>
      </c>
    </row>
    <row r="175" spans="1:14" ht="13.5" thickTop="1" x14ac:dyDescent="0.2">
      <c r="A175" s="2345" t="s">
        <v>996</v>
      </c>
      <c r="B175" s="2346"/>
      <c r="C175" s="613"/>
      <c r="D175" s="613"/>
      <c r="E175" s="613"/>
      <c r="F175" s="613"/>
      <c r="G175" s="613"/>
      <c r="H175" s="615"/>
      <c r="I175" s="613"/>
      <c r="J175" s="613"/>
      <c r="K175" s="1681">
        <f>'Revenues 9-14'!E268-'Expenditures 15-22'!K174</f>
        <v>-15820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9628</v>
      </c>
      <c r="D180" s="466">
        <v>0</v>
      </c>
      <c r="E180" s="466">
        <v>4804</v>
      </c>
      <c r="F180" s="466">
        <v>5551</v>
      </c>
      <c r="G180" s="466">
        <v>0</v>
      </c>
      <c r="H180" s="466">
        <v>0</v>
      </c>
      <c r="I180" s="467">
        <v>0</v>
      </c>
      <c r="J180" s="467">
        <v>0</v>
      </c>
      <c r="K180" s="1668">
        <f>SUM(C180:J180)</f>
        <v>19983</v>
      </c>
      <c r="L180" s="466">
        <v>19983</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521366</v>
      </c>
      <c r="D182" s="466">
        <v>7141</v>
      </c>
      <c r="E182" s="466">
        <v>208995</v>
      </c>
      <c r="F182" s="466">
        <v>22641</v>
      </c>
      <c r="G182" s="466">
        <v>14080</v>
      </c>
      <c r="H182" s="466">
        <v>286781</v>
      </c>
      <c r="I182" s="467">
        <v>0</v>
      </c>
      <c r="J182" s="467">
        <v>0</v>
      </c>
      <c r="K182" s="1668">
        <f>SUM(C182:J182)</f>
        <v>1061004</v>
      </c>
      <c r="L182" s="466">
        <v>1061004</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530994</v>
      </c>
      <c r="D184" s="1674">
        <f t="shared" ref="D184:J184" si="17">SUM(D180,D182,D183)</f>
        <v>7141</v>
      </c>
      <c r="E184" s="1674">
        <f t="shared" si="17"/>
        <v>213799</v>
      </c>
      <c r="F184" s="1674">
        <f t="shared" si="17"/>
        <v>28192</v>
      </c>
      <c r="G184" s="1674">
        <f t="shared" si="17"/>
        <v>14080</v>
      </c>
      <c r="H184" s="1674">
        <f t="shared" si="17"/>
        <v>286781</v>
      </c>
      <c r="I184" s="1674">
        <f t="shared" si="17"/>
        <v>0</v>
      </c>
      <c r="J184" s="1674">
        <f t="shared" si="17"/>
        <v>0</v>
      </c>
      <c r="K184" s="1674">
        <f>SUM(K180,K182,K183)</f>
        <v>1080987</v>
      </c>
      <c r="L184" s="1674">
        <f>SUM(L180, L182:L183)</f>
        <v>1080987</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530994</v>
      </c>
      <c r="D210" s="1667">
        <f>SUM(D184,D185)</f>
        <v>7141</v>
      </c>
      <c r="E210" s="1667">
        <f>SUM(E184,E185,E196)</f>
        <v>213799</v>
      </c>
      <c r="F210" s="1667">
        <f>SUM(F184,F185)</f>
        <v>28192</v>
      </c>
      <c r="G210" s="1667">
        <f>SUM(G184,G185)</f>
        <v>14080</v>
      </c>
      <c r="H210" s="1667">
        <f>SUM(H184,H185,H196,H208,H209)</f>
        <v>286781</v>
      </c>
      <c r="I210" s="1667">
        <f>SUM(I184,I185)</f>
        <v>0</v>
      </c>
      <c r="J210" s="1667">
        <f>SUM(J184,J185)</f>
        <v>0</v>
      </c>
      <c r="K210" s="1668">
        <f>SUM(K184,K185,K196,K208,K209)</f>
        <v>1080987</v>
      </c>
      <c r="L210" s="1667">
        <f>SUM(L184,L185,L196,L208,L209)</f>
        <v>1080987</v>
      </c>
    </row>
    <row r="211" spans="1:14" ht="13.5" thickTop="1" x14ac:dyDescent="0.2">
      <c r="A211" s="2345" t="s">
        <v>996</v>
      </c>
      <c r="B211" s="2346"/>
      <c r="C211" s="615"/>
      <c r="D211" s="615"/>
      <c r="E211" s="615"/>
      <c r="F211" s="615"/>
      <c r="G211" s="615"/>
      <c r="H211" s="615"/>
      <c r="I211" s="613"/>
      <c r="J211" s="613"/>
      <c r="K211" s="1681">
        <f>'Revenues 9-14'!F268-'Expenditures 15-22'!K210</f>
        <v>29180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67" t="s">
        <v>965</v>
      </c>
      <c r="B213" s="2368"/>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135</v>
      </c>
      <c r="E215" s="613"/>
      <c r="F215" s="613"/>
      <c r="G215" s="613"/>
      <c r="H215" s="613"/>
      <c r="I215" s="613"/>
      <c r="J215" s="613"/>
      <c r="K215" s="1668">
        <f>D215</f>
        <v>135</v>
      </c>
      <c r="L215" s="466">
        <v>135</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121180</v>
      </c>
      <c r="E217" s="613"/>
      <c r="F217" s="613"/>
      <c r="G217" s="613"/>
      <c r="H217" s="613"/>
      <c r="I217" s="613"/>
      <c r="J217" s="613"/>
      <c r="K217" s="1668">
        <f t="shared" si="19"/>
        <v>121180</v>
      </c>
      <c r="L217" s="466">
        <v>121180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121315</v>
      </c>
      <c r="E229" s="613"/>
      <c r="F229" s="613"/>
      <c r="G229" s="613"/>
      <c r="H229" s="613"/>
      <c r="I229" s="613"/>
      <c r="J229" s="613"/>
      <c r="K229" s="1667">
        <f>SUM(K215:K228)</f>
        <v>121315</v>
      </c>
      <c r="L229" s="1667">
        <f>SUM(L215:L228)</f>
        <v>121315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7515</v>
      </c>
      <c r="E236" s="613"/>
      <c r="F236" s="613"/>
      <c r="G236" s="613"/>
      <c r="H236" s="613"/>
      <c r="I236" s="613"/>
      <c r="J236" s="613"/>
      <c r="K236" s="1668">
        <f t="shared" si="20"/>
        <v>7515</v>
      </c>
      <c r="L236" s="466">
        <v>7515</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7515</v>
      </c>
      <c r="E238" s="613"/>
      <c r="F238" s="613"/>
      <c r="G238" s="613"/>
      <c r="H238" s="613"/>
      <c r="I238" s="613"/>
      <c r="J238" s="613"/>
      <c r="K238" s="1667">
        <f>SUM(K232:K237)</f>
        <v>7515</v>
      </c>
      <c r="L238" s="1667">
        <f>SUM(L232:L237)</f>
        <v>7515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9921</v>
      </c>
      <c r="E246" s="613"/>
      <c r="F246" s="613"/>
      <c r="G246" s="613"/>
      <c r="H246" s="613"/>
      <c r="I246" s="613"/>
      <c r="J246" s="613"/>
      <c r="K246" s="1669">
        <f t="shared" ref="K246:K256" si="21">D246</f>
        <v>9921</v>
      </c>
      <c r="L246" s="466">
        <v>9921</v>
      </c>
    </row>
    <row r="247" spans="1:12" x14ac:dyDescent="0.2">
      <c r="A247" s="1501" t="s">
        <v>819</v>
      </c>
      <c r="B247" s="611">
        <v>2330</v>
      </c>
      <c r="C247" s="613"/>
      <c r="D247" s="466">
        <v>1642</v>
      </c>
      <c r="E247" s="613"/>
      <c r="F247" s="613"/>
      <c r="G247" s="613"/>
      <c r="H247" s="613"/>
      <c r="I247" s="613"/>
      <c r="J247" s="613"/>
      <c r="K247" s="1669">
        <f t="shared" si="21"/>
        <v>1642</v>
      </c>
      <c r="L247" s="466">
        <v>1642</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22536</v>
      </c>
      <c r="E254" s="613"/>
      <c r="F254" s="613"/>
      <c r="G254" s="613"/>
      <c r="H254" s="613"/>
      <c r="I254" s="613"/>
      <c r="J254" s="613"/>
      <c r="K254" s="1669">
        <f t="shared" si="21"/>
        <v>22536</v>
      </c>
      <c r="L254" s="466">
        <v>22536</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34099</v>
      </c>
      <c r="E257" s="613"/>
      <c r="F257" s="613"/>
      <c r="G257" s="613"/>
      <c r="H257" s="613"/>
      <c r="I257" s="613"/>
      <c r="J257" s="613"/>
      <c r="K257" s="1667">
        <f>SUM(K245:K256)</f>
        <v>34099</v>
      </c>
      <c r="L257" s="1667">
        <f>SUM(L245:L256)</f>
        <v>34099</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35914</v>
      </c>
      <c r="E259" s="613"/>
      <c r="F259" s="613"/>
      <c r="G259" s="613"/>
      <c r="H259" s="613"/>
      <c r="I259" s="613"/>
      <c r="J259" s="613"/>
      <c r="K259" s="1669">
        <f>D259</f>
        <v>35914</v>
      </c>
      <c r="L259" s="479">
        <v>35914</v>
      </c>
    </row>
    <row r="260" spans="1:14" s="594" customFormat="1" x14ac:dyDescent="0.2">
      <c r="A260" s="1519" t="s">
        <v>1801</v>
      </c>
      <c r="B260" s="625">
        <v>2490</v>
      </c>
      <c r="C260" s="613"/>
      <c r="D260" s="466">
        <v>0</v>
      </c>
      <c r="E260" s="613"/>
      <c r="F260" s="613"/>
      <c r="G260" s="613"/>
      <c r="H260" s="613"/>
      <c r="I260" s="613"/>
      <c r="J260" s="613"/>
      <c r="K260" s="1669">
        <f>D260</f>
        <v>0</v>
      </c>
      <c r="L260" s="466">
        <v>1389</v>
      </c>
      <c r="M260" s="210"/>
      <c r="N260" s="210"/>
    </row>
    <row r="261" spans="1:14" ht="12.75" customHeight="1" thickBot="1" x14ac:dyDescent="0.25">
      <c r="A261" s="1689" t="s">
        <v>263</v>
      </c>
      <c r="B261" s="1694" t="s">
        <v>34</v>
      </c>
      <c r="C261" s="613"/>
      <c r="D261" s="1667">
        <f>SUM(D259:D260)</f>
        <v>35914</v>
      </c>
      <c r="E261" s="613"/>
      <c r="F261" s="613"/>
      <c r="G261" s="613"/>
      <c r="H261" s="613"/>
      <c r="I261" s="613"/>
      <c r="J261" s="613"/>
      <c r="K261" s="1667">
        <f>SUM(K259:K260)</f>
        <v>35914</v>
      </c>
      <c r="L261" s="1667">
        <f>SUM(L259:L260)</f>
        <v>37303</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11063</v>
      </c>
      <c r="E264" s="613"/>
      <c r="F264" s="613"/>
      <c r="G264" s="613"/>
      <c r="H264" s="613"/>
      <c r="I264" s="613"/>
      <c r="J264" s="613"/>
      <c r="K264" s="1669">
        <f t="shared" ref="K264:K269" si="22">D264</f>
        <v>11063</v>
      </c>
      <c r="L264" s="466">
        <v>11063</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78111</v>
      </c>
      <c r="E266" s="613"/>
      <c r="F266" s="613"/>
      <c r="G266" s="613"/>
      <c r="H266" s="613"/>
      <c r="I266" s="613"/>
      <c r="J266" s="613"/>
      <c r="K266" s="1669">
        <f t="shared" si="22"/>
        <v>78111</v>
      </c>
      <c r="L266" s="466">
        <v>78111</v>
      </c>
    </row>
    <row r="267" spans="1:14" x14ac:dyDescent="0.2">
      <c r="A267" s="1501" t="s">
        <v>953</v>
      </c>
      <c r="B267" s="611">
        <v>2550</v>
      </c>
      <c r="C267" s="613"/>
      <c r="D267" s="466">
        <v>52229</v>
      </c>
      <c r="E267" s="613"/>
      <c r="F267" s="613"/>
      <c r="G267" s="613"/>
      <c r="H267" s="613"/>
      <c r="I267" s="613"/>
      <c r="J267" s="613"/>
      <c r="K267" s="1669">
        <f t="shared" si="22"/>
        <v>52229</v>
      </c>
      <c r="L267" s="466">
        <v>52229</v>
      </c>
    </row>
    <row r="268" spans="1:14" x14ac:dyDescent="0.2">
      <c r="A268" s="1501" t="s">
        <v>100</v>
      </c>
      <c r="B268" s="611">
        <v>2560</v>
      </c>
      <c r="C268" s="613"/>
      <c r="D268" s="466">
        <v>35640</v>
      </c>
      <c r="E268" s="613"/>
      <c r="F268" s="613"/>
      <c r="G268" s="613"/>
      <c r="H268" s="613"/>
      <c r="I268" s="613"/>
      <c r="J268" s="613"/>
      <c r="K268" s="1669">
        <f t="shared" si="22"/>
        <v>35640</v>
      </c>
      <c r="L268" s="466">
        <v>35640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177043</v>
      </c>
      <c r="E270" s="613"/>
      <c r="F270" s="613"/>
      <c r="G270" s="613"/>
      <c r="H270" s="613"/>
      <c r="I270" s="613"/>
      <c r="J270" s="613"/>
      <c r="K270" s="1667">
        <f>SUM(K263:K269)</f>
        <v>177043</v>
      </c>
      <c r="L270" s="1667">
        <f>SUM(L263:L269)</f>
        <v>177043</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1389</v>
      </c>
      <c r="E273" s="613"/>
      <c r="F273" s="613"/>
      <c r="G273" s="613"/>
      <c r="H273" s="613"/>
      <c r="I273" s="613"/>
      <c r="J273" s="613"/>
      <c r="K273" s="1669">
        <f>D273</f>
        <v>1389</v>
      </c>
      <c r="L273" s="466">
        <v>0</v>
      </c>
    </row>
    <row r="274" spans="1:12" ht="12" customHeight="1" x14ac:dyDescent="0.2">
      <c r="A274" s="1501" t="s">
        <v>1061</v>
      </c>
      <c r="B274" s="611">
        <v>2630</v>
      </c>
      <c r="C274" s="613"/>
      <c r="D274" s="466">
        <v>19517</v>
      </c>
      <c r="E274" s="613"/>
      <c r="F274" s="613"/>
      <c r="G274" s="613"/>
      <c r="H274" s="613"/>
      <c r="I274" s="613"/>
      <c r="J274" s="613"/>
      <c r="K274" s="1669">
        <f>D274</f>
        <v>19517</v>
      </c>
      <c r="L274" s="466">
        <v>19517</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20906</v>
      </c>
      <c r="E277" s="613"/>
      <c r="F277" s="613"/>
      <c r="G277" s="613"/>
      <c r="H277" s="613"/>
      <c r="I277" s="613"/>
      <c r="J277" s="613"/>
      <c r="K277" s="1667">
        <f>SUM(K272:K276)</f>
        <v>20906</v>
      </c>
      <c r="L277" s="1667">
        <f>SUM(L272:L276)</f>
        <v>19517</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275477</v>
      </c>
      <c r="E279" s="613"/>
      <c r="F279" s="613"/>
      <c r="G279" s="613"/>
      <c r="H279" s="613"/>
      <c r="I279" s="613"/>
      <c r="J279" s="613"/>
      <c r="K279" s="1674">
        <f>SUM(K238,K243,K257,K261,K270,K277,K278)</f>
        <v>275477</v>
      </c>
      <c r="L279" s="1674">
        <f>SUM(L238,L243,L257,L261,L270,L277,L278)</f>
        <v>275477</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363" t="s">
        <v>505</v>
      </c>
      <c r="B295" s="2364"/>
      <c r="C295" s="613"/>
      <c r="D295" s="1667">
        <f>SUM(D229,D279,D280,D285)</f>
        <v>396792</v>
      </c>
      <c r="E295" s="613"/>
      <c r="F295" s="613"/>
      <c r="G295" s="613"/>
      <c r="H295" s="1667">
        <f>H293</f>
        <v>0</v>
      </c>
      <c r="I295" s="613"/>
      <c r="J295" s="613"/>
      <c r="K295" s="1667">
        <f>SUM(K229,K279,K280,K285,K293,K294)</f>
        <v>396792</v>
      </c>
      <c r="L295" s="1667">
        <f>SUM(L229,L279,L280,L285,L293,L294)</f>
        <v>396792</v>
      </c>
    </row>
    <row r="296" spans="1:14" ht="13.5" thickTop="1" x14ac:dyDescent="0.2">
      <c r="A296" s="2345" t="s">
        <v>996</v>
      </c>
      <c r="B296" s="2346"/>
      <c r="C296" s="613"/>
      <c r="D296" s="615"/>
      <c r="E296" s="613"/>
      <c r="F296" s="613"/>
      <c r="G296" s="613"/>
      <c r="H296" s="684"/>
      <c r="I296" s="613"/>
      <c r="J296" s="613"/>
      <c r="K296" s="1681">
        <f>'Revenues 9-14'!G268-'Expenditures 15-22'!K295</f>
        <v>4204</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55" t="s">
        <v>143</v>
      </c>
      <c r="B298" s="2349"/>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90319</v>
      </c>
      <c r="F301" s="466">
        <v>280773</v>
      </c>
      <c r="G301" s="466">
        <v>1036881</v>
      </c>
      <c r="H301" s="466">
        <v>0</v>
      </c>
      <c r="I301" s="467">
        <v>0</v>
      </c>
      <c r="J301" s="467">
        <v>0</v>
      </c>
      <c r="K301" s="1668">
        <f>SUM(C301:J301)</f>
        <v>1407973</v>
      </c>
      <c r="L301" s="467">
        <v>1387474</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90319</v>
      </c>
      <c r="F303" s="1674">
        <f t="shared" si="23"/>
        <v>280773</v>
      </c>
      <c r="G303" s="1674">
        <f t="shared" si="23"/>
        <v>1036881</v>
      </c>
      <c r="H303" s="1674">
        <f t="shared" si="23"/>
        <v>0</v>
      </c>
      <c r="I303" s="1674">
        <f t="shared" si="23"/>
        <v>0</v>
      </c>
      <c r="J303" s="1674">
        <f t="shared" si="23"/>
        <v>0</v>
      </c>
      <c r="K303" s="1674">
        <f t="shared" si="23"/>
        <v>1407973</v>
      </c>
      <c r="L303" s="1674">
        <f t="shared" si="23"/>
        <v>1387474</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360" t="s">
        <v>277</v>
      </c>
      <c r="B312" s="2361"/>
      <c r="C312" s="1667">
        <f>SUM(C303)</f>
        <v>0</v>
      </c>
      <c r="D312" s="1667">
        <f>SUM(D303)</f>
        <v>0</v>
      </c>
      <c r="E312" s="1667">
        <f>SUM(E303,E310)</f>
        <v>90319</v>
      </c>
      <c r="F312" s="1667">
        <f>SUM(F303)</f>
        <v>280773</v>
      </c>
      <c r="G312" s="1667">
        <f>SUM(G303)</f>
        <v>1036881</v>
      </c>
      <c r="H312" s="1667">
        <f>SUM(H303,H310)</f>
        <v>0</v>
      </c>
      <c r="I312" s="1667">
        <f>SUM(I303)</f>
        <v>0</v>
      </c>
      <c r="J312" s="1667">
        <f>SUM(J303)</f>
        <v>0</v>
      </c>
      <c r="K312" s="1667">
        <f>SUM(K303,K310,K311)</f>
        <v>1407973</v>
      </c>
      <c r="L312" s="1667">
        <f>SUM(L303,L310,L311)</f>
        <v>1387474</v>
      </c>
      <c r="M312" s="662"/>
      <c r="N312" s="662"/>
    </row>
    <row r="313" spans="1:14" ht="13.5" thickTop="1" x14ac:dyDescent="0.2">
      <c r="A313" s="2356" t="s">
        <v>996</v>
      </c>
      <c r="B313" s="2357"/>
      <c r="C313" s="623"/>
      <c r="D313" s="623"/>
      <c r="E313" s="623"/>
      <c r="F313" s="623"/>
      <c r="G313" s="623"/>
      <c r="H313" s="623"/>
      <c r="I313" s="623"/>
      <c r="J313" s="623"/>
      <c r="K313" s="1682">
        <f>'Revenues 9-14'!H268-'Expenditures 15-22'!K312</f>
        <v>-911766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69" t="s">
        <v>149</v>
      </c>
      <c r="B315" s="2370"/>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71" t="s">
        <v>898</v>
      </c>
      <c r="B317" s="2370"/>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22928</v>
      </c>
      <c r="D325" s="467">
        <v>0</v>
      </c>
      <c r="E325" s="467">
        <v>0</v>
      </c>
      <c r="F325" s="467">
        <v>3806</v>
      </c>
      <c r="G325" s="467">
        <v>0</v>
      </c>
      <c r="H325" s="467">
        <v>0</v>
      </c>
      <c r="I325" s="467">
        <v>0</v>
      </c>
      <c r="J325" s="467">
        <v>0</v>
      </c>
      <c r="K325" s="1668">
        <f t="shared" si="24"/>
        <v>26734</v>
      </c>
      <c r="L325" s="467">
        <v>26734</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22928</v>
      </c>
      <c r="D330" s="1667">
        <f t="shared" ref="D330:J330" si="25">SUM(D319:D329)</f>
        <v>0</v>
      </c>
      <c r="E330" s="1667">
        <f t="shared" si="25"/>
        <v>0</v>
      </c>
      <c r="F330" s="1667">
        <f t="shared" si="25"/>
        <v>3806</v>
      </c>
      <c r="G330" s="1667">
        <f t="shared" si="25"/>
        <v>0</v>
      </c>
      <c r="H330" s="1667">
        <f t="shared" si="25"/>
        <v>0</v>
      </c>
      <c r="I330" s="1667">
        <f t="shared" si="25"/>
        <v>0</v>
      </c>
      <c r="J330" s="1667">
        <f t="shared" si="25"/>
        <v>0</v>
      </c>
      <c r="K330" s="1667">
        <f>SUM(K319:K329)</f>
        <v>26734</v>
      </c>
      <c r="L330" s="1667">
        <f>SUM(L319:L329)</f>
        <v>26734</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22928</v>
      </c>
      <c r="D342" s="1667">
        <f>SUM(D330)</f>
        <v>0</v>
      </c>
      <c r="E342" s="1667">
        <f>SUM(E330)</f>
        <v>0</v>
      </c>
      <c r="F342" s="1667">
        <f>SUM(F330)</f>
        <v>3806</v>
      </c>
      <c r="G342" s="1667">
        <f>SUM(G330)</f>
        <v>0</v>
      </c>
      <c r="H342" s="1667">
        <f>SUM(H330,H334,H340)</f>
        <v>0</v>
      </c>
      <c r="I342" s="1667">
        <f>SUM(I330)</f>
        <v>0</v>
      </c>
      <c r="J342" s="1667">
        <f>SUM(J330)</f>
        <v>0</v>
      </c>
      <c r="K342" s="1667">
        <f>SUM(K330,K334,K340)</f>
        <v>26734</v>
      </c>
      <c r="L342" s="1674">
        <f>SUM(L330,L340,L341)</f>
        <v>26734</v>
      </c>
    </row>
    <row r="343" spans="1:14" ht="12.75" customHeight="1" thickTop="1" x14ac:dyDescent="0.2">
      <c r="A343" s="2358" t="s">
        <v>996</v>
      </c>
      <c r="B343" s="2359"/>
      <c r="C343" s="613"/>
      <c r="D343" s="613"/>
      <c r="E343" s="613"/>
      <c r="F343" s="613"/>
      <c r="G343" s="613"/>
      <c r="H343" s="613"/>
      <c r="I343" s="613"/>
      <c r="J343" s="613"/>
      <c r="K343" s="1681">
        <f>'Revenues 9-14'!J268-'Expenditures 15-22'!K342</f>
        <v>559</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48" t="s">
        <v>966</v>
      </c>
      <c r="B345" s="2349"/>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345" t="s">
        <v>996</v>
      </c>
      <c r="B368" s="2346"/>
      <c r="C368" s="651"/>
      <c r="D368" s="651"/>
      <c r="E368" s="623"/>
      <c r="F368" s="623"/>
      <c r="G368" s="623"/>
      <c r="H368" s="623"/>
      <c r="I368" s="623"/>
      <c r="J368" s="620"/>
      <c r="K368" s="1668">
        <f>'Revenues 9-14'!K268-'Expenditures 15-22'!K367</f>
        <v>1448</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www.w3.org/XML/1998/namespace"/>
    <ds:schemaRef ds:uri="http://schemas.openxmlformats.org/package/2006/metadata/core-properties"/>
    <ds:schemaRef ds:uri="http://purl.org/dc/elements/1.1/"/>
    <ds:schemaRef ds:uri="http://purl.org/dc/terms/"/>
    <ds:schemaRef ds:uri="http://purl.org/dc/dcmitype/"/>
    <ds:schemaRef ds:uri="http://schemas.microsoft.com/office/infopath/2007/PartnerControls"/>
    <ds:schemaRef ds:uri="http://schemas.microsoft.com/office/2006/metadata/propertie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vt:lpstr>
      <vt:lpstr>Finding 2019-001</vt:lpstr>
      <vt:lpstr>SF&amp;QC Sec-3 Finding 2019-002</vt:lpstr>
      <vt:lpstr>SF&amp;QC Sec-3 Finding 2019-003</vt:lpstr>
      <vt:lpstr>SSPAF</vt:lpstr>
      <vt:lpstr>CAP 2019-001</vt:lpstr>
      <vt:lpstr>CAP 2019-002</vt:lpstr>
      <vt:lpstr>CAP 2019-003</vt:lpstr>
      <vt:lpstr>' SEFA'!Print_Area</vt:lpstr>
      <vt:lpstr>'SEFA 19'!Print_Area</vt:lpstr>
      <vt:lpstr>'SEFA NOTES'!Print_Area</vt:lpstr>
      <vt:lpstr>'SEFA Reconcile'!Print_Area</vt:lpstr>
      <vt:lpstr>'SF&amp;QC Sec-1'!Print_Area</vt:lpstr>
      <vt:lpstr>'SF&amp;QC Sec-3 Finding 2019-002'!Print_Area</vt:lpstr>
      <vt:lpstr>'SF&amp;QC Sec-3 Finding 2019-003'!Print_Area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2019-11-15T13:32:13Z</cp:lastPrinted>
  <dcterms:created xsi:type="dcterms:W3CDTF">2003-10-29T19:06:34Z</dcterms:created>
  <dcterms:modified xsi:type="dcterms:W3CDTF">2019-12-23T17:48:49Z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