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19440" windowHeight="151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E27" i="108"/>
  <c r="G27" i="108"/>
  <c r="G28" i="108"/>
  <c r="G29" i="108"/>
  <c r="G30" i="108"/>
  <c r="E31" i="108"/>
  <c r="G31" i="108"/>
  <c r="E33"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C352" i="29" l="1"/>
  <c r="K76" i="4"/>
  <c r="B3586" i="106" s="1"/>
  <c r="D3586" i="106" s="1"/>
  <c r="D36" i="108"/>
  <c r="D31" i="108"/>
  <c r="B6289" i="106"/>
  <c r="D6289" i="106" s="1"/>
  <c r="F77" i="4"/>
  <c r="B3255" i="106" s="1"/>
  <c r="D3255" i="106" s="1"/>
  <c r="F36" i="108"/>
  <c r="E38" i="108"/>
  <c r="F27" i="108"/>
  <c r="F42" i="34"/>
  <c r="G15" i="145"/>
  <c r="H33" i="118"/>
  <c r="B7076" i="106"/>
  <c r="D7076" i="106" s="1"/>
  <c r="B1124" i="106"/>
  <c r="D1124" i="106" s="1"/>
  <c r="F19" i="7"/>
  <c r="B1807" i="106" s="1"/>
  <c r="D1807" i="106" s="1"/>
  <c r="B3647" i="106"/>
  <c r="D3647" i="106" s="1"/>
  <c r="H28" i="118"/>
  <c r="F38" i="34"/>
  <c r="J41" i="3"/>
  <c r="B6216" i="106" s="1"/>
  <c r="D6216" i="106" s="1"/>
  <c r="G35" i="108"/>
  <c r="H76" i="4"/>
  <c r="B3298" i="106" s="1"/>
  <c r="D3298" i="106" s="1"/>
  <c r="L13" i="11"/>
  <c r="B2060" i="106" s="1"/>
  <c r="D2060" i="106" s="1"/>
  <c r="G14" i="4"/>
  <c r="B2609" i="106" s="1"/>
  <c r="D2609" i="106" s="1"/>
  <c r="E34" i="108"/>
  <c r="J129" i="29"/>
  <c r="B7038" i="106" s="1"/>
  <c r="D7038" i="106" s="1"/>
  <c r="E35" i="108"/>
  <c r="F72" i="34"/>
  <c r="C342" i="29"/>
  <c r="B7216" i="106" s="1"/>
  <c r="D7216" i="106" s="1"/>
  <c r="I129" i="29"/>
  <c r="B7037" i="106" s="1"/>
  <c r="D7037" i="106" s="1"/>
  <c r="J210" i="29"/>
  <c r="B7072" i="106" s="1"/>
  <c r="D7072" i="106" s="1"/>
  <c r="D24" i="37"/>
  <c r="B4270" i="106" s="1"/>
  <c r="D4270" i="106" s="1"/>
  <c r="F36" i="34"/>
  <c r="D69" i="36"/>
  <c r="F28" i="108"/>
  <c r="F50" i="34"/>
  <c r="I210" i="29"/>
  <c r="B7071" i="106" s="1"/>
  <c r="D7071" i="106" s="1"/>
  <c r="J77" i="4"/>
  <c r="B6262" i="106" s="1"/>
  <c r="D6262" i="106" s="1"/>
  <c r="K184" i="29"/>
  <c r="F13" i="4" s="1"/>
  <c r="B2596" i="106" s="1"/>
  <c r="D2596" i="106" s="1"/>
  <c r="G210" i="29"/>
  <c r="C129" i="29"/>
  <c r="C151" i="29" s="1"/>
  <c r="B1226" i="106" s="1"/>
  <c r="D1226"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B5527" i="106"/>
  <c r="D5527" i="106" s="1"/>
  <c r="D44" i="36"/>
  <c r="K28" i="118"/>
  <c r="O27" i="118" s="1"/>
  <c r="O29" i="118" s="1"/>
  <c r="D7251" i="106"/>
  <c r="I151" i="29"/>
  <c r="F59" i="34" s="1"/>
  <c r="B7235" i="106"/>
  <c r="D7235" i="106" s="1"/>
  <c r="D7256" i="106"/>
  <c r="J151" i="29"/>
  <c r="B7052" i="106" s="1"/>
  <c r="D7052" i="106" s="1"/>
  <c r="B1225" i="106"/>
  <c r="D1225" i="106" s="1"/>
  <c r="B1328" i="106"/>
  <c r="D1328" i="106" s="1"/>
  <c r="K365" i="29"/>
  <c r="B7243" i="106" s="1"/>
  <c r="D7243" i="106" s="1"/>
  <c r="D41" i="108"/>
  <c r="E43" i="108" s="1"/>
  <c r="L114" i="29"/>
  <c r="F41" i="108"/>
  <c r="G43" i="108" s="1"/>
  <c r="L16" i="11"/>
  <c r="B2061" i="106" s="1"/>
  <c r="D2061" i="106" s="1"/>
  <c r="B2031" i="106"/>
  <c r="D2031" i="106" s="1"/>
  <c r="C114" i="29"/>
  <c r="B757" i="106" s="1"/>
  <c r="D75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F24" i="37"/>
  <c r="K367" i="29"/>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D8" i="146"/>
  <c r="J20" i="4"/>
  <c r="B6227" i="106"/>
  <c r="D6227"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<sst xmlns="http://schemas.openxmlformats.org/spreadsheetml/2006/main" count="5079" uniqueCount="2099">
  <si>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</si>
  <si>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</si>
  <si>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</si>
  <si>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</si>
  <si>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</si>
  <si>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</si>
  <si>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</si>
  <si>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</si>
  <si>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</si>
  <si>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</si>
  <si>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</si>
  <si>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</si>
  <si>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</si>
  <si>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</si>
  <si>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</si>
  <si>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</si>
  <si>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</si>
  <si>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</si>
  <si>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</si>
  <si>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</si>
  <si>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</si>
  <si>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</si>
  <si>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</si>
  <si>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</si>
  <si>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</si>
  <si>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</si>
  <si>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</si>
  <si>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</si>
  <si>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</si>
  <si>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</si>
  <si>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</si>
  <si>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</si>
  <si>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</si>
  <si>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</si>
  <si>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</si>
  <si>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</si>
  <si>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</si>
  <si>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</si>
  <si>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</si>
  <si>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</si>
  <si>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</si>
  <si>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</si>
  <si>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</si>
  <si>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</si>
  <si>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</si>
  <si>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</si>
  <si>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</si>
  <si>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</si>
  <si>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</si>
  <si>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</si>
  <si>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</si>
  <si>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</si>
  <si>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</si>
  <si>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</si>
  <si>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</si>
  <si>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</si>
  <si>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</si>
  <si>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</si>
  <si>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</si>
  <si>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</si>
  <si>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</si>
  <si>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</si>
  <si>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</si>
  <si>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</si>
  <si>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</si>
  <si>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</si>
  <si>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</si>
  <si>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</si>
  <si>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</si>
  <si>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</si>
  <si>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</si>
  <si>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</si>
  <si>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</si>
  <si>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</si>
  <si>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</si>
  <si>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</si>
  <si>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</si>
  <si>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</si>
  <si>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</si>
  <si>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</si>
  <si>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</si>
  <si>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</si>
  <si>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</si>
  <si>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</si>
  <si>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</si>
  <si>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</si>
  <si>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</si>
  <si>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</si>
  <si>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</si>
  <si>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</si>
  <si>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</si>
  <si>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</si>
  <si>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</si>
  <si>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</si>
  <si>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</si>
  <si>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</si>
  <si>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</si>
  <si>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</si>
  <si>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</si>
  <si>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</si>
  <si>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</si>
  <si>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</si>
  <si>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</si>
  <si>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</si>
  <si>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</si>
  <si>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</si>
  <si>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</si>
  <si>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</si>
  <si>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</si>
  <si>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</si>
  <si>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</si>
  <si>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</si>
  <si>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</si>
  <si>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</si>
  <si>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</si>
  <si>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</si>
  <si>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</si>
  <si>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</si>
  <si>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</si>
  <si>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</si>
  <si>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</si>
  <si>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</si>
  <si>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</si>
  <si>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</si>
  <si>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</si>
  <si>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</si>
  <si>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</si>
  <si>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</si>
  <si>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</si>
  <si>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</si>
  <si>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</si>
  <si>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</si>
  <si>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</si>
  <si>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</si>
  <si>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</si>
  <si>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</si>
  <si>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</si>
  <si>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</si>
  <si>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</si>
  <si>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</si>
  <si>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</si>
  <si>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</si>
  <si>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</si>
  <si>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</si>
  <si>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</si>
  <si>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</si>
  <si>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</si>
  <si>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</si>
  <si>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</si>
  <si>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</si>
  <si>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</si>
  <si>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</si>
  <si>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</si>
  <si>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</si>
  <si>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</si>
  <si>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</si>
  <si>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</si>
  <si>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</si>
  <si>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</si>
  <si>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</si>
  <si>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</si>
  <si>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</si>
  <si>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</si>
  <si>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</si>
  <si>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</si>
  <si>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</si>
  <si>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</si>
  <si>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</si>
  <si>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</si>
  <si>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</si>
  <si>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</si>
  <si>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</si>
  <si>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</si>
  <si>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</si>
  <si>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</si>
  <si>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</si>
  <si>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</si>
  <si>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</si>
  <si>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</si>
  <si>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</si>
  <si>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</si>
  <si>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</si>
  <si>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</si>
  <si>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</si>
  <si>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</si>
  <si>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</si>
  <si>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</si>
  <si>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</si>
  <si>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</si>
  <si>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</si>
  <si>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</si>
  <si>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</si>
  <si>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</si>
  <si>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</si>
  <si>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</si>
  <si>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</si>
  <si>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</si>
  <si>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</si>
  <si>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</si>
  <si>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</si>
  <si>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</si>
  <si>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</si>
  <si>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</si>
  <si>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</si>
  <si>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</si>
  <si>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</si>
  <si>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</si>
  <si>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</si>
  <si>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</si>
  <si>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</si>
  <si>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</si>
  <si>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</si>
  <si>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</si>
  <si>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</si>
  <si>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</si>
  <si>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</si>
  <si>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</si>
  <si>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</si>
  <si>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</si>
  <si>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</si>
  <si>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</si>
  <si>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</si>
  <si>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</si>
  <si>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</si>
  <si>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</si>
  <si>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</si>
  <si>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</si>
  <si>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</si>
  <si>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</si>
  <si>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</si>
  <si>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</si>
  <si>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</si>
  <si>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</si>
  <si>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</si>
  <si>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</si>
  <si>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</si>
  <si>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</si>
  <si>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</si>
  <si>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</si>
  <si>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</si>
  <si>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</si>
  <si>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</si>
  <si>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</si>
  <si>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</si>
  <si>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</si>
  <si>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</si>
  <si>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</si>
  <si>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</si>
  <si>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</si>
  <si>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</si>
  <si>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</si>
  <si>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</si>
  <si>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</si>
  <si>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</si>
  <si>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</si>
  <si>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</si>
  <si>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</si>
  <si>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</si>
  <si>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</si>
  <si>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</si>
  <si>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</si>
  <si>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</si>
  <si>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</si>
  <si>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</si>
  <si>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</si>
  <si>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</si>
  <si>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</si>
  <si>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</si>
  <si>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</si>
  <si>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</si>
  <si>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</si>
  <si>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</si>
  <si>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</si>
  <si>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</si>
  <si>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</si>
  <si>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</si>
  <si>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</si>
  <si>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</si>
  <si>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</si>
  <si>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</si>
  <si>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</si>
  <si>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</si>
  <si>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</si>
  <si>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</si>
  <si>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</si>
  <si>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</si>
  <si>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</si>
  <si>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</si>
  <si>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</si>
  <si>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</si>
  <si>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</si>
  <si>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</si>
  <si>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</si>
  <si>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</si>
  <si>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</si>
  <si>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</si>
  <si>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</si>
  <si>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</si>
  <si>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</si>
  <si>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</si>
  <si>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</si>
  <si>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</si>
  <si>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</si>
  <si>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</si>
  <si>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</si>
  <si>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</si>
  <si>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</si>
  <si>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</si>
  <si>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</si>
  <si>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</si>
  <si>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</si>
  <si>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</si>
  <si>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</si>
  <si>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</si>
  <si>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</si>
  <si>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</si>
  <si>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</si>
  <si>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</si>
  <si>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</si>
  <si>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</si>
  <si>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</si>
  <si>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</si>
  <si>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</si>
  <si>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</si>
  <si>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</si>
  <si>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</si>
  <si>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</si>
  <si>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</si>
  <si>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</si>
  <si>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</si>
  <si>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</si>
  <si>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</si>
  <si>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</si>
  <si>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</si>
  <si>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</si>
  <si>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</si>
  <si>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</si>
  <si>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</si>
  <si>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</si>
  <si>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</si>
  <si>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</si>
  <si>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</si>
  <si>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</si>
  <si>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</si>
  <si>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</si>
  <si>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</si>
  <si>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</si>
  <si>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</si>
  <si>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</si>
  <si>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</si>
  <si>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</si>
  <si>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</si>
  <si>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</si>
  <si>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</si>
  <si>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</si>
  <si>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</si>
  <si>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</si>
  <si>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</si>
  <si>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</si>
  <si>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</si>
  <si>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</si>
  <si>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</si>
  <si>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</si>
  <si>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</si>
  <si>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</si>
  <si>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</si>
  <si>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</si>
  <si>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</si>
  <si>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</si>
  <si>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</si>
  <si>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</si>
  <si>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</si>
  <si>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</si>
  <si>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</si>
  <si>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</si>
  <si>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</si>
  <si>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</si>
  <si>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</si>
  <si>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</si>
  <si>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</si>
  <si>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</si>
  <si>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</si>
  <si>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</si>
  <si>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</si>
  <si>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</si>
  <si>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</si>
  <si>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</si>
  <si>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</si>
  <si>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</si>
  <si>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</si>
  <si>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</si>
  <si>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</si>
  <si>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</si>
  <si>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</si>
  <si>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</si>
  <si>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</si>
  <si>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</si>
  <si>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</si>
  <si>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</si>
  <si>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</si>
  <si>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</si>
  <si>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</si>
  <si>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</si>
  <si>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</si>
  <si>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</si>
  <si>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</si>
  <si>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</si>
  <si>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</si>
  <si>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</si>
  <si>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</si>
  <si>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</si>
  <si>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</si>
  <si>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</si>
  <si>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</si>
  <si>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</si>
  <si>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</si>
  <si>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</si>
  <si>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</si>
  <si>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</si>
  <si>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</si>
  <si>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</si>
  <si>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</si>
  <si>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</si>
  <si>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</si>
  <si>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</si>
  <si>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</si>
  <si>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</si>
  <si>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</si>
  <si>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</si>
  <si>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</si>
  <si>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</si>
  <si>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</si>
  <si>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</si>
  <si>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</si>
  <si>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</si>
  <si>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</si>
  <si>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</si>
  <si>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</si>
  <si>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</si>
  <si>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</si>
  <si>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</si>
  <si>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</si>
  <si>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</si>
  <si>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</si>
  <si>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</si>
  <si>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</si>
  <si>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</si>
  <si>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</si>
  <si>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</si>
  <si>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</si>
  <si>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</si>
  <si>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</si>
  <si>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</si>
  <si>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</si>
  <si>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</si>
  <si>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</si>
  <si>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</si>
  <si>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</si>
  <si>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</si>
  <si>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</si>
  <si>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</si>
  <si>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</si>
  <si>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</si>
  <si>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</si>
  <si>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</si>
  <si>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</si>
  <si>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</si>
  <si>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</si>
  <si>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</si>
  <si>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</si>
  <si>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</si>
  <si>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</si>
  <si>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</si>
  <si>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</si>
  <si>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</si>
  <si>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</si>
  <si>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</si>
  <si>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</si>
  <si>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</si>
  <si>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</si>
  <si>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</si>
  <si>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</si>
  <si>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</si>
  <si>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</si>
  <si>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</si>
  <si>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</si>
  <si>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</si>
  <si>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</si>
  <si>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</si>
  <si>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</si>
  <si>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</si>
  <si>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</si>
  <si>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</si>
  <si>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</si>
  <si>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</si>
  <si>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</si>
  <si>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</si>
  <si>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</si>
  <si>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</si>
  <si>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</si>
  <si>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</si>
  <si>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</si>
  <si>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</si>
  <si>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</si>
  <si>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</si>
  <si>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</si>
  <si>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</si>
  <si>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</si>
  <si>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</si>
  <si>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</si>
  <si>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</si>
  <si>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</si>
  <si>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</si>
  <si>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</si>
  <si>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</si>
  <si>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</si>
  <si>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</si>
  <si>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</si>
  <si>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</si>
  <si>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</si>
  <si>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</si>
  <si>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</si>
  <si>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</si>
  <si>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</si>
  <si>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</si>
  <si>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</si>
  <si>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</si>
  <si>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</si>
  <si>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</si>
  <si>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</si>
  <si>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</si>
  <si>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</si>
  <si>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</si>
  <si>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</si>
  <si>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</si>
  <si>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</si>
  <si>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</si>
  <si>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</si>
  <si>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</si>
  <si>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</si>
  <si>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</si>
  <si>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</si>
  <si>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</si>
  <si>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</si>
  <si>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</si>
  <si>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</si>
  <si>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</si>
  <si>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</si>
  <si>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</si>
  <si>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</si>
  <si>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</si>
  <si>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</si>
  <si>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</si>
  <si>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</si>
  <si>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</si>
  <si>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</si>
  <si>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</si>
  <si>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</si>
  <si>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</si>
  <si>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</si>
  <si>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</si>
  <si>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</si>
  <si>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</si>
  <si>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</si>
  <si>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</si>
  <si>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</si>
  <si>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</si>
  <si>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</si>
  <si>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</si>
  <si>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</si>
  <si>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</si>
  <si>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</si>
  <si>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</si>
  <si>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</si>
  <si>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</si>
  <si>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</si>
  <si>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</si>
  <si>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</si>
  <si>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</si>
  <si>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</si>
  <si>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</si>
  <si>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</si>
  <si>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</si>
  <si>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</si>
  <si>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</si>
  <si>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</si>
  <si>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</si>
  <si>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</si>
  <si>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</si>
  <si>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</si>
  <si>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</si>
  <si>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</si>
  <si>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</si>
  <si>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</si>
  <si>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</si>
  <si>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</si>
  <si>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</si>
  <si>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</si>
  <si>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</si>
  <si>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</si>
  <si>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</si>
  <si>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</si>
  <si>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</si>
  <si>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</si>
  <si>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</si>
  <si>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</si>
  <si>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</si>
  <si>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</si>
  <si>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</si>
  <si>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</si>
  <si>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</si>
  <si>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</si>
  <si>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</si>
  <si>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</si>
  <si>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</si>
  <si>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</si>
  <si>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</si>
  <si>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</si>
  <si>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</si>
  <si>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</si>
  <si>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</si>
  <si>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</si>
  <si>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</si>
  <si>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</si>
  <si>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</si>
  <si>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</si>
  <si>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</si>
  <si>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</si>
  <si>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</si>
  <si>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</si>
  <si>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</si>
  <si>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</si>
  <si>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</si>
  <si>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</si>
  <si>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</si>
  <si>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</si>
  <si>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</si>
  <si>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</si>
  <si>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</si>
  <si>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</si>
  <si>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</si>
  <si>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</si>
  <si>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</si>
  <si>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</si>
  <si>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</si>
  <si>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</si>
  <si>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</si>
  <si>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</si>
  <si>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</si>
  <si>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</si>
  <si>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</si>
  <si>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</si>
  <si>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</si>
  <si>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</si>
  <si>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</si>
  <si>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</si>
  <si>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</si>
  <si>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</si>
  <si>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</si>
  <si>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</si>
  <si>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</si>
  <si>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</si>
  <si>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</si>
  <si>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</si>
  <si>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</si>
  <si>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</si>
  <si>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</si>
  <si>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</si>
  <si>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</si>
  <si>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</si>
  <si>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</si>
  <si>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</si>
  <si>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</si>
  <si>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</si>
  <si>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</si>
  <si>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</si>
  <si>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</si>
  <si>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</si>
  <si>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</si>
  <si>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</si>
  <si>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</si>
  <si>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</si>
  <si>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</si>
  <si>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</si>
  <si>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</si>
  <si>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</si>
  <si>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</si>
  <si>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</si>
  <si>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</si>
  <si>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</si>
  <si>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</si>
  <si>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</si>
  <si>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</si>
  <si>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</si>
  <si>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</si>
  <si>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</si>
  <si>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</si>
  <si>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</si>
  <si>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</si>
  <si>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</si>
  <si>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</si>
  <si>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</si>
  <si>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</si>
  <si>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</si>
  <si>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</si>
  <si>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</si>
  <si>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</si>
  <si>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</si>
  <si>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</si>
  <si>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</si>
  <si>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</si>
  <si>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</si>
  <si>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</si>
  <si>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</si>
  <si>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</si>
  <si>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</si>
  <si>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</si>
  <si>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</si>
  <si>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</si>
  <si>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</si>
  <si>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</si>
  <si>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</si>
  <si>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</si>
  <si>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</si>
  <si>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</si>
  <si>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</si>
  <si>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</si>
  <si>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</si>
  <si>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</si>
  <si>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</si>
  <si>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</si>
  <si>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</si>
  <si>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</si>
  <si>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</si>
  <si>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</si>
  <si>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</si>
  <si>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</si>
  <si>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</si>
  <si>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</si>
  <si>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</si>
  <si>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</si>
  <si>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</si>
  <si>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</si>
  <si>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</si>
  <si>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</si>
  <si>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</si>
  <si>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</si>
  <si>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</si>
  <si>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</si>
  <si>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</si>
  <si>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</si>
  <si>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</si>
  <si>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</si>
  <si>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</si>
  <si>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</si>
  <si>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</si>
  <si>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</si>
  <si>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</si>
  <si>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</si>
  <si>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</si>
  <si>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</si>
  <si>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</si>
  <si>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</si>
  <si>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</si>
  <si>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</si>
  <si>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</si>
  <si>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</si>
  <si>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</si>
  <si>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</si>
  <si>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</si>
  <si>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</si>
  <si>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</si>
  <si>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</si>
  <si>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</si>
  <si>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</si>
  <si>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</si>
  <si>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</si>
  <si>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</si>
  <si>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</si>
  <si>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</si>
  <si>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</si>
  <si>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</si>
  <si>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</si>
  <si>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</si>
  <si>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</si>
  <si>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</si>
  <si>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</si>
  <si>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</si>
  <si>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</si>
  <si>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</si>
  <si>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</si>
  <si>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</si>
  <si>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</si>
  <si>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</si>
  <si>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</si>
  <si>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</si>
  <si>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</si>
  <si>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</si>
  <si>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</si>
  <si>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</si>
  <si>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</si>
  <si>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</si>
  <si>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</si>
  <si>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</si>
  <si>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</si>
  <si>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</si>
  <si>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</si>
  <si>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</si>
  <si>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</si>
  <si>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</si>
  <si>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</si>
  <si>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</si>
  <si>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</si>
  <si>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</si>
  <si>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</si>
  <si>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</si>
  <si>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</si>
  <si>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</si>
  <si>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</si>
  <si>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</si>
  <si>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</si>
  <si>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</si>
  <si>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</si>
  <si>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</si>
  <si>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</si>
  <si>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</si>
  <si>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</si>
  <si>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</si>
  <si>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</si>
  <si>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</si>
  <si>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</si>
  <si>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</si>
  <si>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</si>
  <si>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</si>
  <si>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</si>
  <si>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</si>
  <si>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</si>
  <si>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</si>
  <si>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</si>
  <si>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</si>
  <si>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</si>
  <si>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</si>
  <si>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</si>
  <si>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</si>
  <si>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</si>
  <si>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</si>
  <si>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</si>
  <si>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</si>
  <si>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</si>
  <si>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</si>
  <si>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</si>
  <si>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</si>
  <si>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</si>
  <si>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</si>
  <si>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</si>
  <si>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</si>
  <si>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</si>
  <si>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</si>
  <si>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</si>
  <si>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</si>
  <si>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</si>
  <si>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</si>
  <si>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</si>
  <si>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</si>
  <si>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</si>
  <si>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</si>
  <si>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</si>
  <si>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</si>
  <si>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</si>
  <si>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</si>
  <si>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</si>
  <si>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</si>
  <si>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</si>
  <si>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</si>
  <si>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</si>
  <si>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</si>
  <si>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</si>
  <si>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</si>
  <si>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</si>
  <si>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</si>
  <si>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</si>
  <si>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</si>
  <si>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</si>
  <si>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</si>
  <si>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</si>
  <si>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</si>
  <si>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</si>
  <si>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</si>
  <si>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</si>
  <si>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</si>
  <si>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</si>
  <si>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</si>
  <si>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</si>
  <si>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</si>
  <si>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</si>
  <si>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</si>
  <si>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</si>
  <si>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</si>
  <si>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</si>
  <si>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</si>
  <si>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</si>
  <si>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</si>
  <si>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</si>
  <si>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</si>
  <si>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</si>
  <si>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</si>
  <si>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</si>
  <si>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</si>
  <si>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</si>
  <si>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</si>
  <si>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</si>
  <si>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</si>
  <si>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</si>
  <si>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</si>
  <si>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</si>
  <si>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</si>
  <si>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</si>
  <si>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</si>
  <si>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</si>
  <si>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</si>
  <si>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</si>
  <si>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</si>
  <si>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</si>
  <si>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</si>
  <si>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</si>
  <si>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</si>
  <si>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</si>
  <si>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</si>
  <si>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</si>
  <si>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</si>
  <si>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</si>
  <si>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</si>
  <si>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</si>
  <si>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</si>
  <si>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</si>
  <si>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</si>
  <si>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</si>
  <si>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</si>
  <si>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</si>
  <si>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</si>
  <si>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</si>
  <si>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</si>
  <si>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</si>
  <si>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</si>
  <si>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</si>
  <si>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</si>
  <si>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</si>
  <si>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</si>
  <si>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</si>
  <si>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</si>
  <si>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</si>
  <si>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</si>
  <si>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</si>
  <si>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</si>
  <si>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</si>
  <si>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</si>
  <si>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</si>
  <si>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</si>
  <si>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</si>
  <si>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</si>
  <si>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</si>
  <si>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</si>
  <si>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</si>
  <si>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</si>
  <si>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</si>
  <si>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</si>
  <si>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</si>
  <si>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</si>
  <si>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</si>
  <si>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</si>
  <si>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</si>
  <si>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</si>
  <si>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</si>
  <si>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</si>
  <si>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</si>
  <si>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</si>
  <si>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</si>
  <si>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</si>
  <si>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</si>
  <si>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</si>
  <si>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</si>
  <si>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</si>
  <si>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</si>
  <si>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</si>
  <si>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</si>
  <si>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</si>
  <si>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</si>
  <si>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</si>
  <si>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</si>
  <si>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</si>
  <si>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</si>
  <si>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</si>
  <si>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</si>
  <si>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</si>
  <si>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</si>
  <si>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</si>
  <si>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</si>
  <si>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</si>
  <si>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</si>
  <si>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</si>
  <si>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</si>
  <si>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</si>
  <si>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</si>
  <si>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</si>
  <si>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</si>
  <si>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</si>
  <si>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</si>
  <si>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</si>
  <si>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</si>
  <si>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</si>
  <si>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</si>
  <si>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</si>
  <si>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</si>
  <si>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</si>
  <si>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</si>
  <si>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</si>
  <si>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</si>
  <si>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</si>
  <si>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</si>
  <si>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</si>
  <si>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</si>
  <si>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</si>
  <si>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</si>
  <si>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</si>
  <si>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</si>
  <si>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</si>
  <si>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</si>
  <si>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</si>
  <si>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</si>
  <si>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</si>
  <si>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</si>
  <si>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</si>
  <si>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</si>
  <si>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</si>
  <si>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</si>
  <si>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</si>
  <si>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</si>
  <si>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</si>
  <si>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</si>
  <si>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</si>
  <si>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</si>
  <si>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</si>
  <si>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</si>
  <si>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</si>
  <si>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</si>
  <si>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</si>
  <si>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</si>
  <si>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</si>
  <si>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</si>
  <si>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</si>
  <si>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</si>
  <si>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</si>
  <si>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</si>
  <si>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</si>
  <si>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</si>
  <si>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</si>
  <si>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</si>
  <si>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</si>
  <si>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</si>
  <si>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</si>
  <si>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</si>
  <si>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</si>
  <si>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</si>
  <si>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</si>
  <si>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</si>
  <si>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</si>
  <si>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</si>
  <si>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</si>
  <si>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</si>
  <si>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</si>
  <si>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</si>
  <si>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</si>
  <si>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</si>
  <si>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</si>
  <si>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</si>
  <si>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</si>
  <si>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</si>
  <si>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</si>
  <si>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</si>
  <si>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</si>
  <si>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</si>
  <si>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</si>
  <si>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</si>
  <si>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</si>
  <si>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</si>
  <si>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</si>
  <si>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</si>
  <si>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</si>
  <si>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</si>
  <si>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</si>
  <si>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</si>
  <si>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</si>
  <si>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</si>
  <si>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</si>
  <si>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</si>
  <si>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</si>
  <si>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</si>
  <si>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</si>
  <si>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</si>
  <si>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</si>
  <si>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</si>
  <si>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</si>
  <si>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</si>
  <si>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</si>
  <si>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</si>
  <si>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</si>
  <si>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</si>
  <si>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</si>
  <si>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</si>
  <si>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</si>
  <si>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</si>
  <si>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</si>
  <si>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</si>
  <si>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</si>
  <si>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</si>
  <si>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</si>
  <si>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</si>
  <si>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</si>
  <si>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</si>
  <si>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</si>
  <si>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</si>
  <si>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</si>
  <si>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</si>
  <si>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</si>
  <si>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</si>
  <si>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</si>
  <si>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</si>
  <si>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</si>
  <si>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</si>
  <si>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</si>
  <si>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</si>
  <si>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</si>
  <si>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</si>
  <si>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</si>
  <si>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</si>
  <si>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</si>
  <si>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</si>
  <si>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</si>
  <si>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</si>
  <si>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</si>
  <si>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</si>
  <si>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</si>
  <si>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</si>
  <si>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</si>
  <si>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</si>
  <si>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</si>
  <si>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</si>
  <si>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</si>
  <si>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</si>
  <si>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</si>
  <si>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</si>
  <si>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</si>
  <si>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</si>
  <si>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</si>
  <si>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</si>
  <si>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</si>
  <si>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</si>
  <si>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</si>
  <si>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</si>
  <si>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</si>
  <si>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</si>
  <si>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</si>
  <si>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</si>
  <si>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</si>
  <si>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</si>
  <si>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</si>
  <si>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</si>
  <si>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</si>
  <si>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</si>
  <si>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</si>
  <si>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</si>
  <si>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</si>
  <si>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</si>
  <si>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</si>
  <si>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</si>
  <si>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</si>
  <si>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</si>
  <si>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</si>
  <si>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</si>
  <si>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</si>
  <si>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</si>
  <si>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</si>
  <si>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</si>
  <si>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</si>
  <si>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</si>
  <si>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</si>
  <si>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</si>
  <si>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</si>
  <si>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</si>
  <si>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</si>
  <si>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</si>
  <si>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</si>
  <si>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</si>
  <si>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</si>
  <si>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</si>
  <si>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</si>
  <si>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</si>
  <si>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</si>
  <si>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</si>
  <si>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</si>
  <si>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</si>
  <si>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</si>
  <si>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</si>
  <si>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</si>
  <si>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</si>
  <si>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</si>
  <si>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</si>
  <si>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</si>
  <si>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</si>
  <si>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</si>
  <si>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</si>
  <si>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</si>
  <si>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</si>
  <si>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</si>
  <si>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</si>
  <si>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</si>
  <si>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</si>
  <si>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</si>
  <si>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</si>
  <si>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</si>
  <si>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</si>
  <si>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</si>
  <si>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</si>
  <si>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</si>
  <si>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</si>
  <si>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</si>
  <si>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</si>
  <si>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</si>
  <si>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</si>
  <si>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</si>
  <si>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</si>
  <si>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</si>
  <si>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</si>
  <si>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</si>
  <si>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</si>
  <si>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</si>
  <si>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</si>
  <si>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</si>
  <si>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</si>
  <si>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</si>
  <si>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</si>
  <si>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</si>
  <si>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</si>
  <si>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</si>
  <si>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</si>
  <si>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</si>
  <si>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</si>
  <si>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</si>
  <si>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</si>
  <si>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</si>
  <si>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</si>
  <si>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</si>
  <si>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</si>
  <si>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</si>
  <si>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</si>
  <si>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</si>
  <si>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</si>
  <si>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</si>
  <si>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</si>
  <si>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</si>
  <si>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</si>
  <si>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</si>
  <si>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</si>
  <si>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</si>
  <si>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</si>
  <si>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</si>
  <si>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</si>
  <si>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</si>
  <si>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</si>
  <si>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</si>
  <si>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</si>
  <si>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</si>
  <si>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</si>
  <si>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</si>
  <si>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</si>
  <si>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</si>
  <si>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</si>
  <si>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</si>
  <si>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</si>
  <si>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</si>
  <si>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</si>
  <si>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</si>
  <si>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</si>
  <si>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</si>
  <si>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</si>
  <si>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</si>
  <si>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</si>
  <si>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</si>
  <si>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</si>
  <si>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</si>
  <si>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</si>
  <si>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</si>
  <si>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</si>
  <si>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</si>
  <si>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</si>
  <si>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</si>
  <si>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</si>
  <si>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</si>
  <si>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</si>
  <si>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</si>
  <si>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</si>
  <si>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</si>
  <si>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</si>
  <si>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</si>
  <si>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</si>
  <si>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</si>
  <si>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</si>
  <si>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</si>
  <si>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</si>
  <si>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</si>
  <si>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</si>
  <si>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</si>
  <si>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</si>
  <si>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</si>
  <si>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</si>
  <si>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</si>
  <si>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</si>
  <si>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</si>
  <si>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</si>
  <si>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</si>
  <si>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</si>
  <si>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</si>
  <si>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</si>
  <si>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</si>
  <si>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</si>
  <si>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</si>
  <si>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</si>
  <si>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</si>
  <si>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</si>
  <si>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</si>
  <si>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</si>
  <si>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</si>
  <si>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</si>
  <si>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</si>
  <si>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</si>
  <si>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</si>
  <si>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</si>
  <si>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</si>
  <si>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</si>
  <si>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</si>
  <si>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</si>
  <si>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</si>
  <si>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</si>
  <si>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</si>
  <si>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</si>
  <si>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</si>
  <si>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</si>
  <si>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</si>
  <si>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</si>
  <si>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</si>
  <si>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</si>
  <si>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</si>
  <si>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</si>
  <si>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</si>
  <si>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</si>
  <si>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</si>
  <si>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</si>
  <si>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</si>
  <si>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</si>
  <si>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</si>
  <si>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</si>
  <si>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</si>
  <si>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</si>
  <si>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</si>
  <si>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</si>
  <si>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</si>
  <si>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</si>
  <si>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</si>
  <si>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</si>
  <si>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</si>
  <si>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</si>
  <si>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</si>
  <si>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</si>
  <si>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</si>
  <si>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</si>
  <si>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</si>
  <si>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</si>
  <si>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</si>
  <si>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</si>
  <si>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</si>
  <si>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</si>
  <si>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</si>
  <si>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</si>
  <si>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</si>
  <si>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</si>
  <si>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</si>
  <si>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</si>
  <si>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</si>
  <si>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</si>
  <si>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</si>
  <si>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</si>
  <si>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</si>
  <si>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</si>
  <si>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</si>
  <si>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</si>
  <si>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</si>
  <si>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</si>
  <si>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</si>
  <si>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</si>
  <si>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</si>
  <si>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</si>
  <si>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</si>
  <si>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</si>
  <si>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</si>
  <si>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</si>
  <si>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</si>
  <si>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</si>
  <si>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</si>
  <si>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</si>
  <si>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</si>
  <si>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</si>
  <si>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</si>
  <si>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</si>
  <si>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</si>
  <si>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</si>
  <si>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</si>
  <si>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</si>
  <si>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</si>
  <si>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</si>
  <si>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</si>
  <si>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</si>
  <si>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</si>
  <si>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</si>
  <si>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</si>
  <si>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</si>
  <si>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</si>
  <si>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</si>
  <si>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</si>
  <si>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</si>
  <si>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</si>
  <si>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</si>
  <si>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</si>
  <si>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</si>
  <si>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</si>
  <si>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</si>
  <si>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</si>
  <si>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</si>
  <si>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</si>
  <si>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</si>
  <si>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</si>
  <si>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</si>
  <si>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</si>
  <si>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</si>
  <si>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</si>
  <si>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</si>
  <si>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</si>
  <si>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</si>
  <si>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</si>
  <si>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</si>
  <si>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</si>
  <si>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</si>
  <si>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</si>
  <si>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</si>
  <si>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</si>
  <si>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</si>
  <si>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</si>
  <si>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</si>
  <si>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</si>
  <si>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</si>
  <si>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</si>
  <si>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</si>
  <si>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</si>
  <si>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</si>
  <si>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</si>
  <si>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</si>
  <si>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</si>
  <si>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</si>
  <si>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</si>
  <si>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</si>
  <si>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</si>
  <si>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</si>
  <si>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</si>
  <si>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</si>
  <si>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</si>
  <si>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</si>
  <si>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</si>
  <si>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</si>
  <si>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</si>
  <si>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</si>
  <si>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</si>
  <si>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</si>
  <si>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</si>
  <si>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</si>
  <si>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</si>
  <si>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</si>
  <si>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</si>
  <si>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</si>
  <si>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</si>
  <si>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</si>
  <si>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</si>
  <si>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</si>
  <si>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</si>
  <si>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</si>
  <si>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</si>
  <si>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</si>
  <si>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</si>
  <si>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</si>
  <si>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</si>
  <si>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</si>
  <si>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</si>
  <si>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</si>
  <si>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</si>
  <si>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</si>
  <si>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</si>
  <si>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</si>
  <si>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</si>
  <si>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</si>
  <si>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</si>
  <si>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</si>
  <si>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</si>
  <si>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</si>
  <si>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</si>
  <si>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</si>
  <si>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</si>
  <si>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</si>
  <si>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</si>
  <si>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</si>
  <si>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</si>
  <si>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</si>
  <si>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</si>
  <si>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</si>
  <si>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</si>
  <si>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</si>
  <si>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</si>
  <si>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</si>
  <si>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</si>
  <si>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</si>
  <si>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</si>
  <si>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</si>
  <si>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</si>
  <si>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</si>
  <si>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</si>
  <si>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</si>
  <si>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</si>
  <si>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</si>
  <si>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</si>
  <si>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</si>
  <si>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</si>
  <si>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</si>
  <si>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</si>
  <si>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</si>
  <si>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</si>
  <si>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</si>
  <si>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</si>
  <si>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</si>
  <si>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</si>
  <si>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</si>
  <si>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</si>
  <si>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</si>
  <si>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</si>
  <si>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</si>
  <si>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</si>
  <si>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</si>
  <si>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</si>
  <si>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</si>
  <si>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</si>
  <si>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</si>
  <si>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</si>
  <si>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</si>
  <si>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</si>
  <si>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</si>
  <si>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</si>
  <si>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</si>
  <si>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</si>
  <si>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</si>
  <si>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</si>
  <si>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</si>
  <si>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</si>
  <si>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</si>
  <si>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</si>
  <si>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</si>
  <si>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</si>
  <si>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</si>
  <si>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</si>
  <si>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</si>
  <si>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</si>
  <si>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</si>
  <si>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</si>
  <si>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</si>
  <si>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</si>
  <si>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</si>
  <si>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</si>
  <si>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</si>
  <si>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</si>
  <si>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</si>
  <si>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</si>
  <si>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</si>
  <si>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</si>
  <si>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</si>
  <si>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</si>
  <si>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</si>
  <si>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</si>
  <si>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</si>
  <si>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</si>
  <si>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</si>
  <si>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</si>
  <si>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</si>
  <si>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</si>
  <si>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</si>
  <si>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</si>
  <si>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</si>
  <si>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</si>
  <si>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</si>
  <si>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</si>
  <si>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</si>
  <si>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</si>
  <si>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</si>
  <si>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</si>
  <si>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</si>
  <si>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</si>
  <si>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</si>
  <si>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</si>
  <si>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</si>
  <si>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</si>
  <si>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</si>
  <si>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</si>
  <si>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</si>
  <si>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</si>
  <si>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</si>
  <si>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</si>
  <si>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</si>
  <si>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</si>
  <si>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</si>
  <si>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</si>
  <si>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</si>
  <si>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</si>
  <si>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</si>
  <si>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</si>
  <si>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</si>
  <si>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</si>
  <si>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</si>
  <si>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</si>
  <si>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</si>
  <si>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</si>
  <si>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</si>
  <si>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</si>
  <si>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</si>
  <si>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</si>
  <si>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</si>
  <si>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</si>
  <si>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</si>
  <si>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</si>
  <si>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</si>
  <si>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</si>
  <si>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</si>
  <si>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</si>
  <si>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</si>
  <si>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</si>
  <si>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</si>
  <si>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</si>
  <si>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</si>
  <si>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</si>
  <si>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</si>
  <si>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</si>
  <si>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</si>
  <si>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</si>
  <si>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</si>
  <si>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</si>
  <si>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</si>
  <si>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</si>
  <si>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</si>
  <si>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</si>
  <si>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</si>
  <si>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</si>
  <si>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</si>
  <si>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</si>
  <si>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</si>
  <si>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</si>
  <si>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</si>
  <si>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</si>
  <si>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</si>
  <si>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</si>
  <si>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</si>
  <si>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</si>
  <si>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</si>
  <si>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</si>
  <si>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</si>
  <si>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</si>
  <si>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</si>
  <si>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</si>
  <si>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</si>
  <si>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</si>
  <si>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</si>
  <si>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</si>
  <si>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</si>
  <si>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</si>
  <si>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</si>
  <si>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</si>
  <si>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</si>
  <si>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</si>
  <si>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</si>
  <si>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</si>
  <si>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</si>
  <si>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</si>
  <si>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</si>
  <si>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</si>
  <si>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</si>
  <si>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</si>
  <si>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</si>
  <si>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</si>
  <si>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</si>
  <si>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</si>
  <si>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</si>
  <si>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</si>
  <si>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</si>
  <si>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</si>
  <si>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</si>
  <si>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</si>
  <si>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</si>
  <si>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</si>
  <si>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</si>
  <si>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</si>
  <si>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</si>
  <si>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</si>
  <si>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</si>
  <si>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</si>
  <si>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</si>
  <si>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</si>
  <si>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</si>
  <si>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</si>
  <si>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</si>
  <si>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</si>
  <si>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</si>
  <si>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</si>
  <si>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</si>
  <si>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</si>
  <si>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</si>
  <si>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</si>
  <si>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</si>
  <si>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</si>
  <si>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</si>
  <si>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</si>
  <si>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</si>
  <si>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</si>
  <si>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</si>
  <si>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</si>
  <si>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</si>
  <si>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</si>
  <si>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</si>
  <si>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</si>
  <si>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</si>
  <si>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</si>
  <si>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</si>
  <si>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</si>
  <si>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</si>
  <si>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</si>
  <si>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</si>
  <si>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</si>
  <si>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</si>
  <si>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</si>
  <si>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</si>
  <si>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</si>
  <si>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</si>
  <si>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</si>
  <si>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</si>
  <si>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</si>
  <si>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</si>
  <si>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</si>
  <si>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</si>
  <si>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</si>
  <si>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</si>
  <si>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</si>
  <si>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</si>
  <si>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</si>
  <si>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</si>
  <si>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</si>
  <si>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</si>
  <si>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</si>
  <si>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</si>
  <si>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</si>
  <si>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</si>
  <si>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</si>
  <si>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</si>
  <si>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</si>
  <si>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</si>
  <si>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</si>
  <si>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</si>
  <si>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</si>
  <si>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</si>
  <si>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</si>
  <si>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</si>
  <si>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</si>
  <si>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</si>
  <si>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</si>
  <si>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</si>
  <si>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</si>
  <si>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</si>
  <si>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</si>
  <si>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</si>
  <si>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</si>
  <si>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</si>
  <si>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</si>
  <si>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</si>
  <si>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</si>
  <si>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</si>
  <si>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</si>
  <si>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</si>
  <si>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</si>
  <si>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</si>
  <si>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</si>
  <si>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</si>
  <si>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</si>
  <si>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</si>
  <si>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</si>
  <si>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</si>
  <si>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</si>
  <si>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</si>
  <si>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</si>
  <si>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</si>
  <si>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</si>
  <si>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</si>
  <si>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</si>
  <si>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</si>
  <si>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</si>
  <si>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</si>
  <si>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</si>
  <si>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</si>
  <si>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</si>
  <si>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</si>
  <si>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</si>
  <si>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</si>
  <si>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</si>
  <si>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</si>
  <si>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</si>
  <si>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</si>
  <si>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</si>
  <si>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</si>
  <si>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</si>
  <si>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</si>
  <si>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</si>
  <si>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</si>
  <si>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</si>
  <si>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</si>
  <si>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</si>
  <si>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</si>
  <si>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</si>
  <si>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</si>
  <si>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</si>
  <si>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</si>
  <si>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</si>
  <si>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</si>
  <si>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</si>
  <si>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</si>
  <si>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</si>
  <si>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</si>
  <si>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</si>
  <si>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</si>
  <si>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</si>
  <si>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</si>
  <si>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</si>
  <si>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</si>
  <si>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</si>
  <si>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</si>
  <si>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</si>
  <si>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</si>
  <si>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</si>
  <si>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</si>
  <si>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</si>
  <si>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</si>
  <si>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</si>
  <si>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</si>
  <si>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</si>
  <si>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</si>
  <si>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</si>
  <si>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</si>
  <si>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</si>
  <si>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</si>
  <si>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</si>
  <si>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</si>
  <si>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</si>
  <si>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</si>
  <si>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</si>
  <si>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</si>
  <si>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</si>
  <si>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</si>
  <si>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</si>
  <si>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</si>
  <si>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</si>
  <si>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</si>
  <si>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</si>
  <si>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</si>
  <si>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</si>
  <si>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</si>
  <si>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</si>
  <si>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</si>
  <si>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</si>
  <si>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</si>
  <si>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</si>
  <si>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</si>
  <si>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</si>
  <si>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</si>
  <si>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</si>
  <si>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</si>
  <si>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</si>
  <si>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</si>
  <si>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</si>
  <si>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</si>
  <si>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</si>
  <si>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</si>
  <si>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</si>
  <si>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</si>
  <si>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</si>
  <si>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</si>
  <si>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</si>
  <si>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</si>
  <si>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</si>
  <si>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</si>
  <si>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</si>
  <si>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</si>
  <si>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</si>
  <si>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</si>
  <si>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</si>
  <si>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</si>
  <si>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</si>
  <si>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</si>
  <si>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</si>
  <si>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</si>
  <si>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</si>
  <si>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</si>
  <si>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</si>
  <si>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</si>
  <si>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</si>
  <si>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</si>
  <si>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</si>
  <si>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</si>
  <si>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</si>
  <si>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</si>
  <si>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</si>
  <si>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</si>
  <si>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</si>
  <si>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</si>
  <si>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</si>
  <si>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</si>
  <si>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</si>
  <si>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</si>
  <si>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</si>
  <si>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</si>
  <si>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</si>
  <si>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</si>
  <si>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</si>
  <si>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</si>
  <si>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</si>
  <si>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</si>
  <si>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</si>
  <si>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</si>
  <si>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</si>
  <si>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</si>
  <si>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</si>
  <si>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</si>
  <si>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</si>
  <si>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</si>
  <si>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</si>
  <si>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</si>
  <si>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</si>
  <si>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</si>
  <si>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</si>
  <si>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</si>
  <si>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</si>
  <si>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</si>
  <si>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</si>
  <si>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</si>
  <si>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</si>
  <si>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</si>
  <si>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</si>
  <si>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</si>
  <si>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</si>
  <si>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</si>
  <si>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</si>
  <si>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</si>
  <si>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</si>
  <si>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</si>
  <si>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</si>
  <si>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</si>
  <si>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</si>
  <si>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</si>
  <si>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</si>
  <si>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</si>
  <si>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</si>
  <si>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</si>
  <si>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</si>
  <si>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</si>
  <si>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</si>
  <si>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</si>
  <si>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</si>
  <si>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</si>
  <si>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</si>
  <si>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</si>
  <si>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</si>
  <si>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</si>
  <si>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</si>
  <si>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</si>
  <si>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</si>
  <si>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</si>
  <si>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</si>
  <si>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</si>
  <si>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</si>
  <si>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</si>
  <si>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</si>
  <si>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</si>
  <si>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</si>
  <si>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</si>
  <si>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</si>
  <si>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</si>
  <si>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</si>
  <si>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</si>
  <si>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</si>
  <si>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</si>
  <si>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</si>
  <si>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</si>
  <si>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</si>
  <si>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</si>
  <si>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</si>
  <si>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</si>
  <si>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</si>
  <si>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</si>
  <si>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</si>
  <si>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</si>
  <si>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</si>
  <si>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</si>
  <si>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</si>
  <si>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</si>
  <si>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</si>
  <si>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</si>
  <si>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</si>
  <si>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</si>
  <si>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</si>
  <si>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</si>
  <si>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</si>
  <si>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</si>
  <si>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</si>
  <si>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</si>
  <si>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</si>
  <si>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</si>
  <si>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</si>
  <si>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</si>
  <si>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</si>
  <si>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</si>
  <si>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</si>
  <si>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</si>
  <si>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</si>
  <si>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</si>
  <si>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</si>
  <si>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</si>
  <si>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</si>
  <si>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</si>
  <si>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</si>
  <si>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</si>
  <si>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</si>
  <si>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</si>
  <si>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</si>
  <si>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</si>
  <si>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</si>
  <si>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</si>
  <si>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</si>
  <si>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</si>
  <si>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</si>
  <si>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</si>
  <si>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</si>
  <si>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</si>
  <si>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</si>
  <si>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</si>
  <si>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</si>
  <si>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</si>
  <si>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</si>
  <si>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</si>
  <si>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</si>
  <si>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</si>
  <si>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</si>
  <si>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</si>
  <si>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</si>
  <si>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</si>
  <si>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</si>
  <si>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</si>
  <si>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</si>
  <si>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Livingston</t>
  </si>
  <si>
    <t>300 North 7th Street</t>
  </si>
  <si>
    <t>Cornell</t>
  </si>
  <si>
    <t>gschoonover@cornellgradeschool.org</t>
  </si>
  <si>
    <t>Geoff Schoonover</t>
  </si>
  <si>
    <t>815-358-2214</t>
  </si>
  <si>
    <t>815-358-2217</t>
  </si>
  <si>
    <t>PDF in Opinion Page with signature</t>
  </si>
  <si>
    <t>G.O. Alternate Revenue Bonds- 2011</t>
  </si>
  <si>
    <t>G.O. Alternate Revenue Bonds- 2019</t>
  </si>
  <si>
    <t>ROE Job Bank</t>
  </si>
  <si>
    <t>Graymont Grade School; Flanagan-Cornell District 74</t>
  </si>
  <si>
    <t>LCSSU</t>
  </si>
  <si>
    <t>Flanagan-Cornell District 74</t>
  </si>
  <si>
    <t>Page 9, Line 17- Education fund- Other Payments in Lieu of Taxes - CSFT Revenues</t>
  </si>
  <si>
    <t>Page 10, Line 74- Education Fund - Other Food Service - Kitchen Supply Sales</t>
  </si>
  <si>
    <t>Page 18, 171 - Debt Services - Other - Bond Agent Fees</t>
  </si>
  <si>
    <t>Page 10, Line 81- Education Fund- Other supplies sold</t>
  </si>
  <si>
    <t xml:space="preserve">Page 19, Line 237- Municipal Retirement fund- Medicare extra duty </t>
  </si>
  <si>
    <t>QUIK KILL PEST ELIMINATOR</t>
  </si>
  <si>
    <t>20-2540-300</t>
  </si>
  <si>
    <t>O&amp;M - O&amp;M PLANT - PURCHASED SERVICES</t>
  </si>
  <si>
    <t>IDEAL ENVIRON. ENG. INC.</t>
  </si>
  <si>
    <t>Page 10, 107- Education Fund - Other Local Revenue - Reimbursements and Other Miscellaneous</t>
  </si>
  <si>
    <t>Cornell CCSD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</si>
</sst>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9" fillId="0" borderId="0"/>
    <xf numFmtId="0" fontId="1" fillId="0" borderId="0"/>
    <xf numFmtId="0" fontId="1" fillId="0" borderId="0"/>
    <xf numFmtId="0" fontId="1"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19" applyFont="1"/>
    <xf numFmtId="0" fontId="1" fillId="0" borderId="157" xfId="22" applyFont="1" applyBorder="1" applyAlignment="1" applyProtection="1">
      <alignment horizontal="left" vertical="top" wrapText="1"/>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vertical="top"/>
      <protection locked="0"/>
    </xf>
    <xf numFmtId="38" fontId="1" fillId="0" borderId="157" xfId="22" applyNumberFormat="1" applyBorder="1" applyAlignment="1" applyProtection="1">
      <alignment horizontal="righ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_Contracts Paid in CY 29" xfId="21"/>
    <cellStyle name="Normal 3_Contracts Paid in CY 29" xfId="20"/>
    <cellStyle name="Normal 4" xfId="16"/>
    <cellStyle name="Normal 5" xfId="17"/>
    <cellStyle name="Normal 5_Contracts Paid in CY 29"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Itemization 33" xfId="19"/>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7" t="s">
        <v>405</v>
      </c>
      <c r="J1" s="2018"/>
      <c r="K1" s="2018"/>
      <c r="L1" s="2018"/>
      <c r="M1" s="2018"/>
      <c r="N1" s="2018"/>
      <c r="O1" s="2018"/>
      <c r="P1" s="2018"/>
      <c r="Q1" s="2018"/>
      <c r="R1" s="2018"/>
      <c r="S1" s="2018"/>
    </row>
    <row r="2" spans="1:28" ht="12" customHeight="1" x14ac:dyDescent="0.2">
      <c r="A2" s="47" t="s">
        <v>1991</v>
      </c>
      <c r="D2" s="48"/>
      <c r="I2" s="2019" t="s">
        <v>979</v>
      </c>
      <c r="J2" s="2018"/>
      <c r="K2" s="2018"/>
      <c r="L2" s="2018"/>
      <c r="M2" s="2018"/>
      <c r="N2" s="2018"/>
      <c r="O2" s="2018"/>
      <c r="P2" s="2018"/>
      <c r="Q2" s="2018"/>
      <c r="R2" s="2018"/>
      <c r="S2" s="2018"/>
    </row>
    <row r="3" spans="1:28" ht="12" customHeight="1" x14ac:dyDescent="0.2">
      <c r="A3" s="155" t="s">
        <v>1943</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2073</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2073</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17053426004</v>
      </c>
      <c r="B13" s="1988"/>
      <c r="C13" s="1988"/>
      <c r="D13" s="1988"/>
      <c r="E13" s="1988"/>
      <c r="F13" s="1988"/>
      <c r="G13" s="1988"/>
      <c r="H13" s="1989"/>
      <c r="I13" s="31"/>
      <c r="J13" s="30"/>
      <c r="K13" s="28"/>
      <c r="L13" s="30"/>
      <c r="M13" s="30"/>
      <c r="N13" s="30"/>
      <c r="O13" s="30"/>
      <c r="P13" s="30"/>
      <c r="Q13" s="30"/>
      <c r="R13" s="30"/>
      <c r="S13" s="30"/>
      <c r="T13" s="1992" t="s">
        <v>2064</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2074</v>
      </c>
      <c r="B15" s="1990"/>
      <c r="C15" s="1990"/>
      <c r="D15" s="1990"/>
      <c r="E15" s="1990"/>
      <c r="F15" s="1990"/>
      <c r="G15" s="1990"/>
      <c r="H15" s="1991"/>
      <c r="T15" s="1953" t="s">
        <v>2065</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2098</v>
      </c>
      <c r="B17" s="2015"/>
      <c r="C17" s="2015"/>
      <c r="D17" s="2015"/>
      <c r="E17" s="2015"/>
      <c r="F17" s="2015"/>
      <c r="G17" s="2015"/>
      <c r="H17" s="2016"/>
      <c r="T17" s="2002" t="s">
        <v>2066</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2075</v>
      </c>
      <c r="B19" s="1986"/>
      <c r="C19" s="1986"/>
      <c r="D19" s="1986"/>
      <c r="E19" s="1986"/>
      <c r="F19" s="1986"/>
      <c r="G19" s="1986"/>
      <c r="H19" s="1984"/>
      <c r="I19" s="30"/>
      <c r="J19" s="99"/>
      <c r="K19" s="40"/>
      <c r="L19" s="38"/>
      <c r="M19" s="112" t="s">
        <v>315</v>
      </c>
      <c r="P19" s="27"/>
      <c r="Q19" s="27"/>
      <c r="R19" s="27"/>
      <c r="S19" s="31"/>
      <c r="T19" s="1985" t="s">
        <v>2067</v>
      </c>
      <c r="U19" s="1983"/>
      <c r="V19" s="1983"/>
      <c r="W19" s="1984"/>
      <c r="X19" s="2000" t="s">
        <v>2068</v>
      </c>
      <c r="Y19" s="2001"/>
      <c r="Z19" s="1998">
        <v>60450</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2076</v>
      </c>
      <c r="B21" s="1983"/>
      <c r="C21" s="1983"/>
      <c r="D21" s="1983"/>
      <c r="E21" s="1983"/>
      <c r="F21" s="1983"/>
      <c r="G21" s="1983"/>
      <c r="H21" s="1984"/>
      <c r="I21" s="2008" t="s">
        <v>678</v>
      </c>
      <c r="J21" s="1971"/>
      <c r="K21" s="1971"/>
      <c r="L21" s="1971"/>
      <c r="M21" s="1971"/>
      <c r="N21" s="1971"/>
      <c r="O21" s="1971"/>
      <c r="P21" s="1971"/>
      <c r="Q21" s="1971"/>
      <c r="R21" s="1971"/>
      <c r="S21" s="1972"/>
      <c r="T21" s="1950" t="s">
        <v>2069</v>
      </c>
      <c r="U21" s="1951"/>
      <c r="V21" s="1951"/>
      <c r="W21" s="1951"/>
      <c r="X21" s="1964" t="s">
        <v>2070</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t="s">
        <v>2077</v>
      </c>
      <c r="B23" s="2006"/>
      <c r="C23" s="2006"/>
      <c r="D23" s="2006"/>
      <c r="E23" s="2006"/>
      <c r="F23" s="2006"/>
      <c r="G23" s="2006"/>
      <c r="H23" s="2007"/>
      <c r="T23" s="1945" t="s">
        <v>2071</v>
      </c>
      <c r="U23" s="1946"/>
      <c r="V23" s="1946"/>
      <c r="W23" s="1946"/>
      <c r="X23" s="1961">
        <v>44530</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61319</v>
      </c>
      <c r="B25" s="1983"/>
      <c r="C25" s="1983"/>
      <c r="D25" s="1983"/>
      <c r="E25" s="1983"/>
      <c r="F25" s="1983"/>
      <c r="G25" s="1983"/>
      <c r="H25" s="1984"/>
      <c r="I25" s="113"/>
      <c r="J25" s="2049"/>
      <c r="K25" s="2049"/>
      <c r="L25" s="2049"/>
      <c r="M25" s="2049"/>
      <c r="N25" s="2049"/>
      <c r="O25" s="2049"/>
      <c r="P25" s="2049"/>
      <c r="Q25" s="2049"/>
      <c r="R25" s="2049"/>
      <c r="S25" s="2050"/>
      <c r="T25" s="1942" t="s">
        <v>2072</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2078</v>
      </c>
      <c r="B38" s="2015"/>
      <c r="C38" s="2015"/>
      <c r="D38" s="2015"/>
      <c r="E38" s="2015"/>
      <c r="F38" s="1983"/>
      <c r="G38" s="1983"/>
      <c r="H38" s="1984"/>
      <c r="I38" s="2034"/>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2077</v>
      </c>
      <c r="B40" s="2042"/>
      <c r="C40" s="2043"/>
      <c r="D40" s="2043"/>
      <c r="E40" s="2043"/>
      <c r="F40" s="2044"/>
      <c r="G40" s="2044"/>
      <c r="H40" s="2045"/>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2079</v>
      </c>
      <c r="B42" s="2032"/>
      <c r="C42" s="2033"/>
      <c r="D42" s="2046" t="s">
        <v>2080</v>
      </c>
      <c r="E42" s="2032"/>
      <c r="F42" s="2032"/>
      <c r="G42" s="2032"/>
      <c r="H42" s="2033"/>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44" colorId="8" zoomScale="110" zoomScaleNormal="110" workbookViewId="0">
      <selection activeCell="F84" sqref="F8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2073</v>
      </c>
      <c r="C53" s="179">
        <v>22</v>
      </c>
      <c r="D53" s="247" t="s">
        <v>1462</v>
      </c>
      <c r="E53" s="248"/>
      <c r="F53" s="249"/>
      <c r="G53" s="249" t="s">
        <v>1461</v>
      </c>
      <c r="H53" s="250">
        <v>36251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2064</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2081</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M31" sqref="M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22398500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3.1295000000000003E-2</v>
      </c>
      <c r="E10" s="356" t="s">
        <v>1005</v>
      </c>
      <c r="F10" s="355">
        <v>4.8869999999999999E-3</v>
      </c>
      <c r="G10" s="356" t="s">
        <v>1005</v>
      </c>
      <c r="H10" s="355">
        <v>3.604E-3</v>
      </c>
      <c r="I10" s="356" t="s">
        <v>1006</v>
      </c>
      <c r="J10" s="1732">
        <f>ROUND(D10+F10+H10,5)</f>
        <v>3.9789999999999999E-2</v>
      </c>
      <c r="K10" s="222"/>
      <c r="L10" s="355">
        <v>1.54E-4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1395551</v>
      </c>
      <c r="E16" s="356"/>
      <c r="F16" s="1733">
        <f>SUM('Acct Summary 7-8'!C17,'Acct Summary 7-8'!D17,'Acct Summary 7-8'!F17)</f>
        <v>1200118</v>
      </c>
      <c r="G16" s="356"/>
      <c r="H16" s="1733">
        <f>SUM(D16-F16)</f>
        <v>195433</v>
      </c>
      <c r="I16" s="222"/>
      <c r="J16" s="1733">
        <f>SUM('Acct Summary 7-8'!C81,'Acct Summary 7-8'!D81,'Acct Summary 7-8'!F81,'Acct Summary 7-8'!I81)</f>
        <v>1084397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1545496.5000000002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269700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Cornell CCSD 426</v>
      </c>
      <c r="E7" s="391"/>
      <c r="G7" s="252"/>
      <c r="H7" s="387"/>
      <c r="I7" s="387"/>
      <c r="J7" s="387"/>
      <c r="K7" s="387"/>
      <c r="L7" s="329"/>
      <c r="M7" s="329"/>
      <c r="N7" s="329"/>
      <c r="O7" s="329"/>
      <c r="P7" s="329"/>
    </row>
    <row r="8" spans="1:18" ht="12.75" x14ac:dyDescent="0.2">
      <c r="A8" s="329"/>
      <c r="B8" s="329"/>
      <c r="C8" s="389" t="s">
        <v>1125</v>
      </c>
      <c r="D8" s="392">
        <f>COVER!A13</f>
        <v>17053426004</v>
      </c>
      <c r="E8" s="393"/>
      <c r="G8" s="329"/>
      <c r="H8" s="329"/>
      <c r="I8" s="329"/>
      <c r="J8" s="329"/>
      <c r="K8" s="329"/>
      <c r="L8" s="329"/>
      <c r="M8" s="329"/>
      <c r="N8" s="329"/>
      <c r="O8" s="329"/>
      <c r="P8" s="329"/>
    </row>
    <row r="9" spans="1:18" ht="12.75" x14ac:dyDescent="0.2">
      <c r="A9" s="329"/>
      <c r="B9" s="329"/>
      <c r="C9" s="389" t="s">
        <v>713</v>
      </c>
      <c r="D9" s="394" t="str">
        <f>COVER!A15</f>
        <v>Livingston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1084397</v>
      </c>
      <c r="I12" s="404"/>
      <c r="J12" s="404"/>
      <c r="K12" s="405">
        <f>TRUNC((H12/H13*100000),5)/100000</f>
        <v>0.77703860329999996</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1395551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1200118</v>
      </c>
      <c r="I17" s="404"/>
      <c r="J17" s="416"/>
      <c r="K17" s="405">
        <f>TRUNC((H17/H18*100000),5)/100000</f>
        <v>0.85995997270000002</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1395551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1084397</v>
      </c>
      <c r="I24" s="422"/>
      <c r="J24" s="422"/>
      <c r="K24" s="423">
        <f>TRUNC(((H24/H25*100000)/100000),2)</f>
        <v>325.27999999999997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3333.66111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757550.86774999998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269700</v>
      </c>
      <c r="I32" s="420"/>
      <c r="J32" s="420"/>
      <c r="K32" s="423">
        <f>TRUNC(100-((((H32/H33*100))*100)/100),2)</f>
        <v>82.54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1545496.5000000002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80" zoomScaleNormal="80" workbookViewId="0">
      <pane ySplit="2" topLeftCell="A3" activePane="bottomLeft" state="frozen"/>
      <selection pane="bottomLeft" activeCell="G53" sqref="G5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911597</v>
      </c>
      <c r="D4" s="466">
        <v>840</v>
      </c>
      <c r="E4" s="466">
        <v>17539</v>
      </c>
      <c r="F4" s="466">
        <v>171960</v>
      </c>
      <c r="G4" s="466">
        <v>46724</v>
      </c>
      <c r="H4" s="466">
        <v>13503</v>
      </c>
      <c r="I4" s="466"/>
      <c r="J4" s="467">
        <v>40381</v>
      </c>
      <c r="K4" s="466">
        <v>31888</v>
      </c>
      <c r="L4" s="466">
        <v>11304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911597</v>
      </c>
      <c r="D13" s="1737">
        <f t="shared" ref="D13:L13" si="0">SUM(D4:D12)</f>
        <v>840</v>
      </c>
      <c r="E13" s="1737">
        <f t="shared" si="0"/>
        <v>17539</v>
      </c>
      <c r="F13" s="1737">
        <f t="shared" si="0"/>
        <v>171960</v>
      </c>
      <c r="G13" s="1737">
        <f t="shared" si="0"/>
        <v>46724</v>
      </c>
      <c r="H13" s="1737">
        <f t="shared" si="0"/>
        <v>13503</v>
      </c>
      <c r="I13" s="1737">
        <f t="shared" si="0"/>
        <v>0</v>
      </c>
      <c r="J13" s="1737">
        <f t="shared" si="0"/>
        <v>40381</v>
      </c>
      <c r="K13" s="1737">
        <f t="shared" si="0"/>
        <v>31888</v>
      </c>
      <c r="L13" s="1737">
        <f t="shared" si="0"/>
        <v>11304</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8000</v>
      </c>
      <c r="N16" s="484"/>
    </row>
    <row r="17" spans="1:14" s="485" customFormat="1" ht="12.75" customHeight="1" x14ac:dyDescent="0.2">
      <c r="A17" s="482" t="s">
        <v>1403</v>
      </c>
      <c r="B17" s="483">
        <v>230</v>
      </c>
      <c r="C17" s="477"/>
      <c r="D17" s="477"/>
      <c r="E17" s="477"/>
      <c r="F17" s="477"/>
      <c r="G17" s="477"/>
      <c r="H17" s="477"/>
      <c r="I17" s="477"/>
      <c r="J17" s="477"/>
      <c r="K17" s="477"/>
      <c r="L17" s="477"/>
      <c r="M17" s="467">
        <v>711641</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42032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17539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252161</v>
      </c>
    </row>
    <row r="23" spans="1:14" ht="13.5" customHeight="1" thickBot="1" x14ac:dyDescent="0.25">
      <c r="A23" s="1736" t="s">
        <v>643</v>
      </c>
      <c r="B23" s="1741"/>
      <c r="C23" s="468"/>
      <c r="D23" s="468"/>
      <c r="E23" s="468"/>
      <c r="F23" s="468"/>
      <c r="G23" s="468"/>
      <c r="H23" s="468"/>
      <c r="I23" s="468"/>
      <c r="J23" s="468"/>
      <c r="K23" s="468"/>
      <c r="L23" s="468"/>
      <c r="M23" s="1688">
        <f>SUM(M15:M22)</f>
        <v>761673</v>
      </c>
      <c r="N23" s="1688">
        <f>SUM(N21:N22)</f>
        <v>269700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11304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11304</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269700</v>
      </c>
    </row>
    <row r="37" spans="1:14" ht="13.5" thickBot="1" x14ac:dyDescent="0.25">
      <c r="A37" s="1736" t="s">
        <v>653</v>
      </c>
      <c r="B37" s="1741"/>
      <c r="C37" s="477"/>
      <c r="D37" s="477"/>
      <c r="E37" s="477"/>
      <c r="F37" s="477"/>
      <c r="G37" s="477"/>
      <c r="H37" s="477"/>
      <c r="I37" s="477"/>
      <c r="J37" s="477"/>
      <c r="K37" s="477"/>
      <c r="L37" s="480"/>
      <c r="M37" s="468"/>
      <c r="N37" s="1688">
        <f>SUM(N36:N36)</f>
        <v>269700</v>
      </c>
    </row>
    <row r="38" spans="1:14" s="329" customFormat="1" ht="13.5" customHeight="1" thickTop="1" x14ac:dyDescent="0.2">
      <c r="A38" s="496" t="s">
        <v>420</v>
      </c>
      <c r="B38" s="483">
        <v>714</v>
      </c>
      <c r="C38" s="466">
        <v>62604</v>
      </c>
      <c r="D38" s="466"/>
      <c r="E38" s="466"/>
      <c r="F38" s="466"/>
      <c r="G38" s="466">
        <v>30695</v>
      </c>
      <c r="H38" s="466"/>
      <c r="I38" s="466"/>
      <c r="J38" s="467"/>
      <c r="K38" s="466"/>
      <c r="L38" s="481"/>
      <c r="M38" s="497"/>
      <c r="N38" s="497"/>
    </row>
    <row r="39" spans="1:14" s="329" customFormat="1" ht="13.5" customHeight="1" x14ac:dyDescent="0.2">
      <c r="A39" s="496" t="s">
        <v>342</v>
      </c>
      <c r="B39" s="483">
        <v>730</v>
      </c>
      <c r="C39" s="466">
        <v>848993</v>
      </c>
      <c r="D39" s="466">
        <v>840</v>
      </c>
      <c r="E39" s="466">
        <v>17539</v>
      </c>
      <c r="F39" s="466">
        <v>171960</v>
      </c>
      <c r="G39" s="466">
        <v>16029</v>
      </c>
      <c r="H39" s="466">
        <v>13503</v>
      </c>
      <c r="I39" s="466"/>
      <c r="J39" s="467">
        <v>40381</v>
      </c>
      <c r="K39" s="466">
        <v>31888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761673</v>
      </c>
      <c r="N40" s="497"/>
    </row>
    <row r="41" spans="1:14" ht="13.5" customHeight="1" thickBot="1" x14ac:dyDescent="0.25">
      <c r="A41" s="1736" t="s">
        <v>655</v>
      </c>
      <c r="B41" s="1706"/>
      <c r="C41" s="1688">
        <f>(SUM(C34,C37,C38,C39))</f>
        <v>911597</v>
      </c>
      <c r="D41" s="1688">
        <f t="shared" ref="D41:L41" si="2">SUM(D34,D37,D38:D39)</f>
        <v>840</v>
      </c>
      <c r="E41" s="1688">
        <f t="shared" si="2"/>
        <v>17539</v>
      </c>
      <c r="F41" s="1688">
        <f t="shared" si="2"/>
        <v>171960</v>
      </c>
      <c r="G41" s="1688">
        <f t="shared" si="2"/>
        <v>46724</v>
      </c>
      <c r="H41" s="1688">
        <f t="shared" si="2"/>
        <v>13503</v>
      </c>
      <c r="I41" s="1688">
        <f t="shared" si="2"/>
        <v>0</v>
      </c>
      <c r="J41" s="1688">
        <f t="shared" si="2"/>
        <v>40381</v>
      </c>
      <c r="K41" s="1688">
        <f t="shared" si="2"/>
        <v>31888</v>
      </c>
      <c r="L41" s="1688">
        <f t="shared" si="2"/>
        <v>11304</v>
      </c>
      <c r="M41" s="1688">
        <f>SUM(M40)</f>
        <v>761673</v>
      </c>
      <c r="N41" s="1688">
        <f>SUM(N37)</f>
        <v>269700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90" zoomScaleNormal="90" zoomScaleSheetLayoutView="100" workbookViewId="0">
      <pane ySplit="2" topLeftCell="A3" activePane="bottomLeft" state="frozen"/>
      <selection pane="bottomLeft" activeCell="E34" sqref="E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764098</v>
      </c>
      <c r="D4" s="1742">
        <f>'Revenues 9-14'!D109</f>
        <v>109700</v>
      </c>
      <c r="E4" s="1742">
        <f>'Revenues 9-14'!E109</f>
        <v>50296</v>
      </c>
      <c r="F4" s="1742">
        <f>'Revenues 9-14'!F109</f>
        <v>79332</v>
      </c>
      <c r="G4" s="1742">
        <f>'Revenues 9-14'!G109</f>
        <v>50609</v>
      </c>
      <c r="H4" s="1742">
        <f>'Revenues 9-14'!H109</f>
        <v>0</v>
      </c>
      <c r="I4" s="1742">
        <f>'Revenues 9-14'!I109</f>
        <v>3073</v>
      </c>
      <c r="J4" s="1742">
        <f>'Revenues 9-14'!J109</f>
        <v>29385</v>
      </c>
      <c r="K4" s="1742">
        <f>'Revenues 9-14'!K109</f>
        <v>4750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249531</v>
      </c>
      <c r="D6" s="1743">
        <f>'Revenues 9-14'!D170</f>
        <v>0</v>
      </c>
      <c r="E6" s="1743">
        <f>'Revenues 9-14'!E170</f>
        <v>0</v>
      </c>
      <c r="F6" s="1743">
        <f>'Revenues 9-14'!F170</f>
        <v>47511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142306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1155935</v>
      </c>
      <c r="D8" s="1688">
        <f t="shared" ref="D8:K8" si="0">SUM(D4:D7)</f>
        <v>109700</v>
      </c>
      <c r="E8" s="1688">
        <f t="shared" si="0"/>
        <v>50296</v>
      </c>
      <c r="F8" s="1688">
        <f t="shared" si="0"/>
        <v>126843</v>
      </c>
      <c r="G8" s="1688">
        <f t="shared" si="0"/>
        <v>50609</v>
      </c>
      <c r="H8" s="1688">
        <f t="shared" si="0"/>
        <v>0</v>
      </c>
      <c r="I8" s="1688">
        <f t="shared" si="0"/>
        <v>3073</v>
      </c>
      <c r="J8" s="1688">
        <f t="shared" si="0"/>
        <v>29385</v>
      </c>
      <c r="K8" s="1688">
        <f t="shared" si="0"/>
        <v>4750</v>
      </c>
      <c r="L8" s="347"/>
    </row>
    <row r="9" spans="1:13" ht="15.75" thickTop="1" x14ac:dyDescent="0.2">
      <c r="A9" s="514" t="s">
        <v>1653</v>
      </c>
      <c r="B9" s="515">
        <v>3998</v>
      </c>
      <c r="C9" s="481">
        <v>62036</v>
      </c>
      <c r="D9" s="516"/>
      <c r="E9" s="481"/>
      <c r="F9" s="481"/>
      <c r="G9" s="517"/>
      <c r="H9" s="481"/>
      <c r="I9" s="509" t="s">
        <v>1169</v>
      </c>
      <c r="J9" s="478"/>
      <c r="K9" s="481"/>
      <c r="L9" s="347"/>
    </row>
    <row r="10" spans="1:13" s="519" customFormat="1" ht="13.5" thickBot="1" x14ac:dyDescent="0.25">
      <c r="A10" s="1736" t="s">
        <v>1173</v>
      </c>
      <c r="B10" s="1709"/>
      <c r="C10" s="1688">
        <f>SUM(C8:C9)</f>
        <v>1217971</v>
      </c>
      <c r="D10" s="1688">
        <f t="shared" ref="D10:K10" si="1">SUM(D8:D9)</f>
        <v>109700</v>
      </c>
      <c r="E10" s="1688">
        <f t="shared" si="1"/>
        <v>50296</v>
      </c>
      <c r="F10" s="1688">
        <f t="shared" si="1"/>
        <v>126843</v>
      </c>
      <c r="G10" s="1688">
        <f t="shared" si="1"/>
        <v>50609</v>
      </c>
      <c r="H10" s="1688">
        <f t="shared" si="1"/>
        <v>0</v>
      </c>
      <c r="I10" s="1688">
        <f t="shared" si="1"/>
        <v>3073</v>
      </c>
      <c r="J10" s="1688">
        <f t="shared" si="1"/>
        <v>29385</v>
      </c>
      <c r="K10" s="1688">
        <f t="shared" si="1"/>
        <v>4750</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698310</v>
      </c>
      <c r="D12" s="520" t="s">
        <v>1169</v>
      </c>
      <c r="E12" s="468" t="s">
        <v>1169</v>
      </c>
      <c r="F12" s="468" t="s">
        <v>1169</v>
      </c>
      <c r="G12" s="1742">
        <f>'Expenditures 15-22'!K229</f>
        <v>15697</v>
      </c>
      <c r="H12" s="521"/>
      <c r="I12" s="468" t="s">
        <v>1169</v>
      </c>
      <c r="J12" s="468" t="s">
        <v>1169</v>
      </c>
      <c r="K12" s="521" t="s">
        <v>1169</v>
      </c>
      <c r="L12" s="347"/>
    </row>
    <row r="13" spans="1:13" ht="15.75" customHeight="1" x14ac:dyDescent="0.2">
      <c r="A13" s="1576" t="s">
        <v>457</v>
      </c>
      <c r="B13" s="1578">
        <v>2000</v>
      </c>
      <c r="C13" s="1743">
        <f>'Expenditures 15-22'!K74</f>
        <v>269005</v>
      </c>
      <c r="D13" s="1743">
        <f>'Expenditures 15-22'!K129</f>
        <v>127568</v>
      </c>
      <c r="E13" s="469" t="s">
        <v>1169</v>
      </c>
      <c r="F13" s="1743">
        <f>'Expenditures 15-22'!K184</f>
        <v>76601</v>
      </c>
      <c r="G13" s="1743">
        <f>'Expenditures 15-22'!K279</f>
        <v>23818</v>
      </c>
      <c r="H13" s="1743">
        <f>'Expenditures 15-22'!K303</f>
        <v>1081</v>
      </c>
      <c r="I13" s="468" t="s">
        <v>1169</v>
      </c>
      <c r="J13" s="1743">
        <f>'Expenditures 15-22'!K330</f>
        <v>30296</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28634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283763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995949</v>
      </c>
      <c r="D17" s="1688">
        <f t="shared" si="2"/>
        <v>127568</v>
      </c>
      <c r="E17" s="1688">
        <f t="shared" si="2"/>
        <v>283763</v>
      </c>
      <c r="F17" s="1688">
        <f t="shared" si="2"/>
        <v>76601</v>
      </c>
      <c r="G17" s="1688">
        <f t="shared" si="2"/>
        <v>39515</v>
      </c>
      <c r="H17" s="1688">
        <f t="shared" si="2"/>
        <v>1081</v>
      </c>
      <c r="I17" s="468"/>
      <c r="J17" s="1688">
        <f>SUM(J12:J16)</f>
        <v>30296</v>
      </c>
      <c r="K17" s="1688">
        <f>SUM(K12:K16)</f>
        <v>0</v>
      </c>
      <c r="L17" s="347"/>
    </row>
    <row r="18" spans="1:12" ht="15" customHeight="1" thickTop="1" x14ac:dyDescent="0.2">
      <c r="A18" s="1744" t="s">
        <v>1654</v>
      </c>
      <c r="B18" s="1745">
        <v>4180</v>
      </c>
      <c r="C18" s="1742">
        <f t="shared" ref="C18:H18" si="3">C9</f>
        <v>62036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1057985</v>
      </c>
      <c r="D19" s="1688">
        <f t="shared" si="4"/>
        <v>127568</v>
      </c>
      <c r="E19" s="1688">
        <f t="shared" si="4"/>
        <v>283763</v>
      </c>
      <c r="F19" s="1688">
        <f t="shared" si="4"/>
        <v>76601</v>
      </c>
      <c r="G19" s="1688">
        <f t="shared" si="4"/>
        <v>39515</v>
      </c>
      <c r="H19" s="1688">
        <f t="shared" si="4"/>
        <v>1081</v>
      </c>
      <c r="I19" s="468"/>
      <c r="J19" s="1688">
        <f>SUM(J17:J18)</f>
        <v>30296</v>
      </c>
      <c r="K19" s="1688">
        <f>SUM(K17:K18)</f>
        <v>0</v>
      </c>
      <c r="L19" s="347"/>
    </row>
    <row r="20" spans="1:12" ht="16.5" thickTop="1" thickBot="1" x14ac:dyDescent="0.25">
      <c r="A20" s="2127" t="s">
        <v>1655</v>
      </c>
      <c r="B20" s="2128"/>
      <c r="C20" s="1746">
        <f>C8-C17</f>
        <v>159986</v>
      </c>
      <c r="D20" s="1746">
        <f t="shared" ref="D20:K20" si="5">D8-D17</f>
        <v>-17868</v>
      </c>
      <c r="E20" s="1746">
        <f t="shared" si="5"/>
        <v>-233467</v>
      </c>
      <c r="F20" s="1746">
        <f t="shared" si="5"/>
        <v>50242</v>
      </c>
      <c r="G20" s="1746">
        <f t="shared" si="5"/>
        <v>11094</v>
      </c>
      <c r="H20" s="1746">
        <f t="shared" si="5"/>
        <v>-1081</v>
      </c>
      <c r="I20" s="1746">
        <f t="shared" si="5"/>
        <v>3073</v>
      </c>
      <c r="J20" s="1746">
        <f t="shared" si="5"/>
        <v>-911</v>
      </c>
      <c r="K20" s="1746">
        <f t="shared" si="5"/>
        <v>4750</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3073</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v>239700</v>
      </c>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3">
        <f>SUM(C24:C43)</f>
        <v>0</v>
      </c>
      <c r="D44" s="1703">
        <f t="shared" ref="D44:K44" si="6">SUM(D24:D43)</f>
        <v>3073</v>
      </c>
      <c r="E44" s="1703">
        <f t="shared" si="6"/>
        <v>239700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3073</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3">
        <f t="shared" ref="C76:K76" si="7">SUM(C47:C75)</f>
        <v>0</v>
      </c>
      <c r="D76" s="1703">
        <f t="shared" si="7"/>
        <v>0</v>
      </c>
      <c r="E76" s="1703">
        <f t="shared" si="7"/>
        <v>0</v>
      </c>
      <c r="F76" s="1703">
        <f t="shared" si="7"/>
        <v>0</v>
      </c>
      <c r="G76" s="1703">
        <f t="shared" si="7"/>
        <v>0</v>
      </c>
      <c r="H76" s="1703">
        <f t="shared" si="7"/>
        <v>0</v>
      </c>
      <c r="I76" s="1703">
        <f t="shared" si="7"/>
        <v>3073</v>
      </c>
      <c r="J76" s="1703">
        <f t="shared" si="7"/>
        <v>0</v>
      </c>
      <c r="K76" s="1703">
        <f t="shared" si="7"/>
        <v>0</v>
      </c>
      <c r="L76" s="524"/>
    </row>
    <row r="77" spans="1:12" ht="14.25" thickTop="1" thickBot="1" x14ac:dyDescent="0.25">
      <c r="A77" s="2119" t="s">
        <v>1177</v>
      </c>
      <c r="B77" s="2120"/>
      <c r="C77" s="1703">
        <f t="shared" ref="C77:K77" si="8">C44-C76</f>
        <v>0</v>
      </c>
      <c r="D77" s="1703">
        <f t="shared" si="8"/>
        <v>3073</v>
      </c>
      <c r="E77" s="1703">
        <f t="shared" si="8"/>
        <v>239700</v>
      </c>
      <c r="F77" s="1703">
        <f t="shared" si="8"/>
        <v>0</v>
      </c>
      <c r="G77" s="1703">
        <f t="shared" si="8"/>
        <v>0</v>
      </c>
      <c r="H77" s="1703">
        <f t="shared" si="8"/>
        <v>0</v>
      </c>
      <c r="I77" s="1703">
        <f t="shared" si="8"/>
        <v>-3073</v>
      </c>
      <c r="J77" s="1703">
        <f t="shared" si="8"/>
        <v>0</v>
      </c>
      <c r="K77" s="1703">
        <f t="shared" si="8"/>
        <v>0</v>
      </c>
      <c r="L77" s="347"/>
    </row>
    <row r="78" spans="1:12" ht="21.75" customHeight="1" thickTop="1" thickBot="1" x14ac:dyDescent="0.25">
      <c r="A78" s="2123" t="s">
        <v>597</v>
      </c>
      <c r="B78" s="2124"/>
      <c r="C78" s="1702">
        <f t="shared" ref="C78:K78" si="9">C20+C77</f>
        <v>159986</v>
      </c>
      <c r="D78" s="1702">
        <f t="shared" si="9"/>
        <v>-14795</v>
      </c>
      <c r="E78" s="1702">
        <f t="shared" si="9"/>
        <v>6233</v>
      </c>
      <c r="F78" s="1702">
        <f t="shared" si="9"/>
        <v>50242</v>
      </c>
      <c r="G78" s="1702">
        <f t="shared" si="9"/>
        <v>11094</v>
      </c>
      <c r="H78" s="1702">
        <f t="shared" si="9"/>
        <v>-1081</v>
      </c>
      <c r="I78" s="1702">
        <f t="shared" si="9"/>
        <v>0</v>
      </c>
      <c r="J78" s="1702">
        <f t="shared" si="9"/>
        <v>-911</v>
      </c>
      <c r="K78" s="1702">
        <f t="shared" si="9"/>
        <v>4750</v>
      </c>
      <c r="L78" s="533"/>
    </row>
    <row r="79" spans="1:12" ht="13.5" thickTop="1" x14ac:dyDescent="0.2">
      <c r="A79" s="1494" t="s">
        <v>1947</v>
      </c>
      <c r="B79" s="534"/>
      <c r="C79" s="478">
        <v>751611</v>
      </c>
      <c r="D79" s="535">
        <v>15635</v>
      </c>
      <c r="E79" s="535">
        <v>11306</v>
      </c>
      <c r="F79" s="535">
        <v>121718</v>
      </c>
      <c r="G79" s="535">
        <v>35630</v>
      </c>
      <c r="H79" s="535">
        <v>14584</v>
      </c>
      <c r="I79" s="535">
        <v>0</v>
      </c>
      <c r="J79" s="535">
        <v>41292</v>
      </c>
      <c r="K79" s="535">
        <v>27138</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8">
        <f>(SUM(C78:C80))</f>
        <v>911597</v>
      </c>
      <c r="D81" s="1688">
        <f>SUM(D78:D80)</f>
        <v>840</v>
      </c>
      <c r="E81" s="1688">
        <f t="shared" ref="E81:K81" si="10">SUM(E78:E80)</f>
        <v>17539</v>
      </c>
      <c r="F81" s="1688">
        <f t="shared" si="10"/>
        <v>171960</v>
      </c>
      <c r="G81" s="1688">
        <f t="shared" si="10"/>
        <v>46724</v>
      </c>
      <c r="H81" s="1688">
        <f t="shared" si="10"/>
        <v>13503</v>
      </c>
      <c r="I81" s="1688">
        <f t="shared" si="10"/>
        <v>0</v>
      </c>
      <c r="J81" s="1688">
        <f t="shared" si="10"/>
        <v>40381</v>
      </c>
      <c r="K81" s="1688">
        <f t="shared" si="10"/>
        <v>31888</v>
      </c>
      <c r="L81" s="347"/>
    </row>
    <row r="82" spans="1:12" ht="0.75" customHeight="1" thickTop="1" thickBot="1" x14ac:dyDescent="0.25">
      <c r="A82" s="536" t="s">
        <v>343</v>
      </c>
      <c r="B82" s="537"/>
      <c r="C82" s="538">
        <f>(C81-C79)</f>
        <v>159986</v>
      </c>
      <c r="D82" s="538">
        <f t="shared" ref="D82:K82" si="11">(D81-D79)</f>
        <v>-14795</v>
      </c>
      <c r="E82" s="538">
        <f t="shared" si="11"/>
        <v>6233</v>
      </c>
      <c r="F82" s="538">
        <f t="shared" si="11"/>
        <v>50242</v>
      </c>
      <c r="G82" s="538">
        <f t="shared" si="11"/>
        <v>11094</v>
      </c>
      <c r="H82" s="538">
        <f t="shared" si="11"/>
        <v>-1081</v>
      </c>
      <c r="I82" s="538">
        <f t="shared" si="11"/>
        <v>0</v>
      </c>
      <c r="J82" s="538">
        <f t="shared" si="11"/>
        <v>-911</v>
      </c>
      <c r="K82" s="538">
        <f t="shared" si="11"/>
        <v>4750</v>
      </c>
    </row>
    <row r="83" spans="1:12" ht="14.25" hidden="1" thickTop="1" thickBot="1" x14ac:dyDescent="0.25">
      <c r="A83" s="539" t="s">
        <v>344</v>
      </c>
      <c r="B83" s="464"/>
      <c r="C83" s="540">
        <f>C82/C81</f>
        <v>0.17550079695303955</v>
      </c>
      <c r="D83" s="540">
        <f t="shared" ref="D83:K83" si="12">D82/D81</f>
        <v>-17.613095238095237</v>
      </c>
      <c r="E83" s="540">
        <f t="shared" si="12"/>
        <v>0.35537944010490907</v>
      </c>
      <c r="F83" s="540">
        <f t="shared" si="12"/>
        <v>0.29217259827866948</v>
      </c>
      <c r="G83" s="540">
        <f t="shared" si="12"/>
        <v>0.23743686328225322</v>
      </c>
      <c r="H83" s="540">
        <f t="shared" si="12"/>
        <v>-8.005628378878768E-2</v>
      </c>
      <c r="I83" s="540" t="e">
        <f t="shared" si="12"/>
        <v>#DIV/0!</v>
      </c>
      <c r="J83" s="540">
        <f t="shared" si="12"/>
        <v>-2.2560114905524876E-2</v>
      </c>
      <c r="K83" s="540">
        <f t="shared" si="12"/>
        <v>0.14895885599598596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90" zoomScaleNormal="90" zoomScaleSheetLayoutView="75" workbookViewId="0">
      <pane ySplit="2" topLeftCell="A66" activePane="bottomLeft" state="frozen"/>
      <selection pane="bottomLeft" activeCell="C107" sqref="C10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683601</v>
      </c>
      <c r="D5" s="481">
        <v>109694</v>
      </c>
      <c r="E5" s="466"/>
      <c r="F5" s="548">
        <v>79332</v>
      </c>
      <c r="G5" s="466">
        <v>26444</v>
      </c>
      <c r="H5" s="466"/>
      <c r="I5" s="466">
        <v>3073</v>
      </c>
      <c r="J5" s="467">
        <v>29385</v>
      </c>
      <c r="K5" s="466">
        <v>4750</v>
      </c>
    </row>
    <row r="6" spans="1:12" ht="15" x14ac:dyDescent="0.2">
      <c r="A6" s="463" t="s">
        <v>1662</v>
      </c>
      <c r="B6" s="470">
        <v>1130</v>
      </c>
      <c r="C6" s="466">
        <v>3800</v>
      </c>
      <c r="D6" s="466"/>
      <c r="E6" s="475"/>
      <c r="F6" s="475"/>
      <c r="G6" s="468"/>
      <c r="H6" s="468"/>
      <c r="I6" s="468"/>
      <c r="J6" s="468"/>
      <c r="K6" s="468"/>
    </row>
    <row r="7" spans="1:12" x14ac:dyDescent="0.2">
      <c r="A7" s="463" t="s">
        <v>110</v>
      </c>
      <c r="B7" s="549">
        <v>1140</v>
      </c>
      <c r="C7" s="466">
        <v>2851</v>
      </c>
      <c r="D7" s="466"/>
      <c r="E7" s="468"/>
      <c r="F7" s="467"/>
      <c r="G7" s="467"/>
      <c r="H7" s="467"/>
      <c r="I7" s="468"/>
      <c r="J7" s="468"/>
      <c r="K7" s="468"/>
    </row>
    <row r="8" spans="1:12" x14ac:dyDescent="0.2">
      <c r="A8" s="463" t="s">
        <v>413</v>
      </c>
      <c r="B8" s="470">
        <v>1150</v>
      </c>
      <c r="C8" s="475"/>
      <c r="D8" s="475"/>
      <c r="E8" s="477"/>
      <c r="F8" s="477"/>
      <c r="G8" s="481">
        <v>24165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690252</v>
      </c>
      <c r="D12" s="1707">
        <f t="shared" si="0"/>
        <v>109694</v>
      </c>
      <c r="E12" s="1707">
        <f t="shared" si="0"/>
        <v>0</v>
      </c>
      <c r="F12" s="1707">
        <f t="shared" si="0"/>
        <v>79332</v>
      </c>
      <c r="G12" s="1707">
        <f t="shared" si="0"/>
        <v>50609</v>
      </c>
      <c r="H12" s="1707">
        <f t="shared" si="0"/>
        <v>0</v>
      </c>
      <c r="I12" s="1707">
        <f t="shared" si="0"/>
        <v>3073</v>
      </c>
      <c r="J12" s="1707">
        <f t="shared" si="0"/>
        <v>29385</v>
      </c>
      <c r="K12" s="1688">
        <f t="shared" si="0"/>
        <v>4750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24175</v>
      </c>
      <c r="D16" s="466"/>
      <c r="E16" s="466"/>
      <c r="F16" s="466"/>
      <c r="G16" s="466"/>
      <c r="H16" s="466"/>
      <c r="I16" s="466"/>
      <c r="J16" s="467"/>
      <c r="K16" s="466"/>
    </row>
    <row r="17" spans="1:11" ht="12.75" customHeight="1" x14ac:dyDescent="0.2">
      <c r="A17" s="463" t="s">
        <v>807</v>
      </c>
      <c r="B17" s="470">
        <v>1290</v>
      </c>
      <c r="C17" s="551"/>
      <c r="D17" s="466"/>
      <c r="E17" s="466">
        <v>50296</v>
      </c>
      <c r="F17" s="466"/>
      <c r="G17" s="466"/>
      <c r="H17" s="466"/>
      <c r="I17" s="466"/>
      <c r="J17" s="467"/>
      <c r="K17" s="466"/>
    </row>
    <row r="18" spans="1:11" ht="12.75" customHeight="1" thickBot="1" x14ac:dyDescent="0.25">
      <c r="A18" s="1708" t="s">
        <v>537</v>
      </c>
      <c r="B18" s="1709"/>
      <c r="C18" s="1710">
        <f>SUM(C14:C17)</f>
        <v>24175</v>
      </c>
      <c r="D18" s="1710">
        <f t="shared" ref="D18:K18" si="1">SUM(D14:D17)</f>
        <v>0</v>
      </c>
      <c r="E18" s="1710">
        <f t="shared" si="1"/>
        <v>50296</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4262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4262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3816</v>
      </c>
      <c r="D65" s="466">
        <v>6</v>
      </c>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3816</v>
      </c>
      <c r="D67" s="1688">
        <f t="shared" ref="D67:K67" si="2">SUM(D65:D66)</f>
        <v>6</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20598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684</v>
      </c>
      <c r="D73" s="468"/>
      <c r="E73" s="468"/>
      <c r="F73" s="468"/>
      <c r="G73" s="468"/>
      <c r="H73" s="468"/>
      <c r="I73" s="468"/>
      <c r="J73" s="468"/>
      <c r="K73" s="468"/>
    </row>
    <row r="74" spans="1:11" ht="12.75" customHeight="1" x14ac:dyDescent="0.2">
      <c r="A74" s="463" t="s">
        <v>25</v>
      </c>
      <c r="B74" s="470">
        <v>1690</v>
      </c>
      <c r="C74" s="551">
        <v>270</v>
      </c>
      <c r="D74" s="468"/>
      <c r="E74" s="468"/>
      <c r="F74" s="468"/>
      <c r="G74" s="468"/>
      <c r="H74" s="468"/>
      <c r="I74" s="468"/>
      <c r="J74" s="468"/>
      <c r="K74" s="468"/>
    </row>
    <row r="75" spans="1:11" ht="12.75" customHeight="1" thickBot="1" x14ac:dyDescent="0.25">
      <c r="A75" s="1708" t="s">
        <v>548</v>
      </c>
      <c r="B75" s="1709"/>
      <c r="C75" s="1688">
        <f>SUM(C69:C74)</f>
        <v>21552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17971</v>
      </c>
      <c r="D81" s="466"/>
      <c r="E81" s="468"/>
      <c r="F81" s="468"/>
      <c r="G81" s="468"/>
      <c r="H81" s="468"/>
      <c r="I81" s="468"/>
      <c r="J81" s="468"/>
      <c r="K81" s="468"/>
    </row>
    <row r="82" spans="1:11" ht="12.75" customHeight="1" thickBot="1" x14ac:dyDescent="0.25">
      <c r="A82" s="1708" t="s">
        <v>241</v>
      </c>
      <c r="B82" s="1709"/>
      <c r="C82" s="1707">
        <f>SUM(C77:C81)</f>
        <v>17971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2070</v>
      </c>
      <c r="D107" s="466"/>
      <c r="E107" s="466"/>
      <c r="F107" s="466"/>
      <c r="G107" s="466"/>
      <c r="H107" s="466"/>
      <c r="I107" s="466"/>
      <c r="J107" s="467"/>
      <c r="K107" s="466"/>
    </row>
    <row r="108" spans="1:12" ht="12.75" customHeight="1" thickBot="1" x14ac:dyDescent="0.25">
      <c r="A108" s="1708" t="s">
        <v>487</v>
      </c>
      <c r="B108" s="1712"/>
      <c r="C108" s="1707">
        <f>SUM(C95:C107)</f>
        <v>2070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764098</v>
      </c>
      <c r="D109" s="1715">
        <f t="shared" si="4"/>
        <v>109700</v>
      </c>
      <c r="E109" s="1715">
        <f t="shared" si="4"/>
        <v>50296</v>
      </c>
      <c r="F109" s="1715">
        <f t="shared" si="4"/>
        <v>79332</v>
      </c>
      <c r="G109" s="1715">
        <f t="shared" si="4"/>
        <v>50609</v>
      </c>
      <c r="H109" s="1715">
        <f t="shared" si="4"/>
        <v>0</v>
      </c>
      <c r="I109" s="1715">
        <f t="shared" si="4"/>
        <v>3073</v>
      </c>
      <c r="J109" s="1715">
        <f t="shared" si="4"/>
        <v>29385</v>
      </c>
      <c r="K109" s="1702">
        <f t="shared" si="4"/>
        <v>4750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248944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248944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587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47511</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47511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5" t="s">
        <v>398</v>
      </c>
      <c r="B169" s="2146"/>
      <c r="C169" s="1722">
        <f t="shared" ref="C169:K169" si="6">SUM(C132,C141,C145,C146:C150,C155,C156:C167,C168)</f>
        <v>587</v>
      </c>
      <c r="D169" s="1722">
        <f t="shared" si="6"/>
        <v>0</v>
      </c>
      <c r="E169" s="1722">
        <f t="shared" si="6"/>
        <v>0</v>
      </c>
      <c r="F169" s="1722">
        <f t="shared" si="6"/>
        <v>47511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249531</v>
      </c>
      <c r="D170" s="1715">
        <f t="shared" si="7"/>
        <v>0</v>
      </c>
      <c r="E170" s="1715">
        <f t="shared" si="7"/>
        <v>0</v>
      </c>
      <c r="F170" s="1715">
        <f t="shared" si="7"/>
        <v>47511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39223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39223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25685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6927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32612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60358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60358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6027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2122</v>
      </c>
      <c r="D263" s="576"/>
      <c r="E263" s="468"/>
      <c r="F263" s="576"/>
      <c r="G263" s="576"/>
      <c r="H263" s="468"/>
      <c r="I263" s="468"/>
      <c r="J263" s="468"/>
      <c r="K263" s="468"/>
    </row>
    <row r="264" spans="1:11" ht="12.75" customHeight="1" thickTop="1" thickBot="1" x14ac:dyDescent="0.25">
      <c r="A264" s="463" t="s">
        <v>377</v>
      </c>
      <c r="B264" s="470">
        <v>4992</v>
      </c>
      <c r="C264" s="575">
        <v>1964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142306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142306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1155935</v>
      </c>
      <c r="D268" s="1715">
        <f t="shared" si="12"/>
        <v>109700</v>
      </c>
      <c r="E268" s="1715">
        <f t="shared" si="12"/>
        <v>50296</v>
      </c>
      <c r="F268" s="1715">
        <f t="shared" si="12"/>
        <v>126843</v>
      </c>
      <c r="G268" s="1715">
        <f t="shared" si="12"/>
        <v>50609</v>
      </c>
      <c r="H268" s="1715">
        <f t="shared" si="12"/>
        <v>0</v>
      </c>
      <c r="I268" s="1715">
        <f t="shared" si="12"/>
        <v>3073</v>
      </c>
      <c r="J268" s="1715">
        <f t="shared" si="12"/>
        <v>29385</v>
      </c>
      <c r="K268" s="1702">
        <f t="shared" si="12"/>
        <v>4750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90" zoomScaleNormal="90" workbookViewId="0">
      <pane ySplit="2" topLeftCell="A306" activePane="bottomLeft" state="frozen"/>
      <selection pane="bottomLeft" activeCell="E327" sqref="E32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433825</v>
      </c>
      <c r="D5" s="466">
        <v>60247</v>
      </c>
      <c r="E5" s="466">
        <v>53247</v>
      </c>
      <c r="F5" s="466">
        <v>16665</v>
      </c>
      <c r="G5" s="466"/>
      <c r="H5" s="466"/>
      <c r="I5" s="467"/>
      <c r="J5" s="467"/>
      <c r="K5" s="1671">
        <f>SUM(C5:J5)</f>
        <v>563984</v>
      </c>
      <c r="L5" s="466">
        <v>565523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95335</v>
      </c>
      <c r="D8" s="466">
        <v>16066</v>
      </c>
      <c r="E8" s="466"/>
      <c r="F8" s="466">
        <v>761</v>
      </c>
      <c r="G8" s="466"/>
      <c r="H8" s="466"/>
      <c r="I8" s="467"/>
      <c r="J8" s="467"/>
      <c r="K8" s="1671">
        <f t="shared" si="0"/>
        <v>112162</v>
      </c>
      <c r="L8" s="466">
        <v>119726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v>2942</v>
      </c>
      <c r="E10" s="466"/>
      <c r="F10" s="466"/>
      <c r="G10" s="466"/>
      <c r="H10" s="466"/>
      <c r="I10" s="467"/>
      <c r="J10" s="467"/>
      <c r="K10" s="1671">
        <f t="shared" si="0"/>
        <v>2942</v>
      </c>
      <c r="L10" s="466">
        <v>3000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17482</v>
      </c>
      <c r="D14" s="466">
        <v>189</v>
      </c>
      <c r="E14" s="466">
        <v>802</v>
      </c>
      <c r="F14" s="466"/>
      <c r="G14" s="466"/>
      <c r="H14" s="466">
        <v>749</v>
      </c>
      <c r="I14" s="467"/>
      <c r="J14" s="467"/>
      <c r="K14" s="1671">
        <f t="shared" si="0"/>
        <v>19222</v>
      </c>
      <c r="L14" s="466">
        <v>26050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546642</v>
      </c>
      <c r="D33" s="1670">
        <f t="shared" ref="D33:L33" si="1">SUM(D5:D32)</f>
        <v>79444</v>
      </c>
      <c r="E33" s="1670">
        <f t="shared" si="1"/>
        <v>54049</v>
      </c>
      <c r="F33" s="1670">
        <f t="shared" si="1"/>
        <v>17426</v>
      </c>
      <c r="G33" s="1670">
        <f t="shared" si="1"/>
        <v>0</v>
      </c>
      <c r="H33" s="1670">
        <f t="shared" si="1"/>
        <v>749</v>
      </c>
      <c r="I33" s="1670">
        <f t="shared" si="1"/>
        <v>0</v>
      </c>
      <c r="J33" s="1670">
        <f t="shared" si="1"/>
        <v>0</v>
      </c>
      <c r="K33" s="1670">
        <f t="shared" si="1"/>
        <v>698310</v>
      </c>
      <c r="L33" s="1670">
        <f t="shared" si="1"/>
        <v>714299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693</v>
      </c>
      <c r="F38" s="466"/>
      <c r="G38" s="466"/>
      <c r="H38" s="466"/>
      <c r="I38" s="467"/>
      <c r="J38" s="467"/>
      <c r="K38" s="1671">
        <f t="shared" si="2"/>
        <v>693</v>
      </c>
      <c r="L38" s="466">
        <v>800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13710</v>
      </c>
      <c r="F40" s="466"/>
      <c r="G40" s="466"/>
      <c r="H40" s="466"/>
      <c r="I40" s="467"/>
      <c r="J40" s="467"/>
      <c r="K40" s="1671">
        <f t="shared" si="2"/>
        <v>13710</v>
      </c>
      <c r="L40" s="466">
        <v>14000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14403</v>
      </c>
      <c r="F42" s="1670">
        <f t="shared" si="3"/>
        <v>0</v>
      </c>
      <c r="G42" s="1670">
        <f t="shared" si="3"/>
        <v>0</v>
      </c>
      <c r="H42" s="1670">
        <f t="shared" si="3"/>
        <v>0</v>
      </c>
      <c r="I42" s="1670">
        <f t="shared" si="3"/>
        <v>0</v>
      </c>
      <c r="J42" s="1670">
        <f t="shared" si="3"/>
        <v>0</v>
      </c>
      <c r="K42" s="1670">
        <f t="shared" si="3"/>
        <v>14403</v>
      </c>
      <c r="L42" s="1670">
        <f t="shared" si="3"/>
        <v>14800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284</v>
      </c>
      <c r="F44" s="481"/>
      <c r="G44" s="481"/>
      <c r="H44" s="481"/>
      <c r="I44" s="467"/>
      <c r="J44" s="467"/>
      <c r="K44" s="1672">
        <f>SUM(C44:J44)</f>
        <v>284</v>
      </c>
      <c r="L44" s="481">
        <v>2250</v>
      </c>
    </row>
    <row r="45" spans="1:14" x14ac:dyDescent="0.2">
      <c r="A45" s="1504" t="s">
        <v>815</v>
      </c>
      <c r="B45" s="614">
        <v>2220</v>
      </c>
      <c r="C45" s="466"/>
      <c r="D45" s="466"/>
      <c r="E45" s="466">
        <v>7145</v>
      </c>
      <c r="F45" s="466">
        <v>609</v>
      </c>
      <c r="G45" s="466"/>
      <c r="H45" s="466"/>
      <c r="I45" s="467"/>
      <c r="J45" s="467"/>
      <c r="K45" s="1672">
        <f>SUM(C45:J45)</f>
        <v>7754</v>
      </c>
      <c r="L45" s="466">
        <v>10800</v>
      </c>
    </row>
    <row r="46" spans="1:14" x14ac:dyDescent="0.2">
      <c r="A46" s="1504" t="s">
        <v>816</v>
      </c>
      <c r="B46" s="614">
        <v>2230</v>
      </c>
      <c r="C46" s="466"/>
      <c r="D46" s="466"/>
      <c r="E46" s="466"/>
      <c r="F46" s="466">
        <v>4503</v>
      </c>
      <c r="G46" s="466"/>
      <c r="H46" s="466"/>
      <c r="I46" s="467"/>
      <c r="J46" s="467"/>
      <c r="K46" s="1672">
        <f>SUM(C46:J46)</f>
        <v>4503</v>
      </c>
      <c r="L46" s="466">
        <v>4550</v>
      </c>
    </row>
    <row r="47" spans="1:14" ht="12.75" customHeight="1" thickBot="1" x14ac:dyDescent="0.25">
      <c r="A47" s="1668" t="s">
        <v>561</v>
      </c>
      <c r="B47" s="1669" t="s">
        <v>32</v>
      </c>
      <c r="C47" s="1670">
        <f>SUM(C44:C46)</f>
        <v>0</v>
      </c>
      <c r="D47" s="1670">
        <f t="shared" ref="D47:K47" si="4">SUM(D44:D46)</f>
        <v>0</v>
      </c>
      <c r="E47" s="1670">
        <f t="shared" si="4"/>
        <v>7429</v>
      </c>
      <c r="F47" s="1670">
        <f t="shared" si="4"/>
        <v>5112</v>
      </c>
      <c r="G47" s="1670">
        <f t="shared" si="4"/>
        <v>0</v>
      </c>
      <c r="H47" s="1670">
        <f t="shared" si="4"/>
        <v>0</v>
      </c>
      <c r="I47" s="1670">
        <f t="shared" si="4"/>
        <v>0</v>
      </c>
      <c r="J47" s="1670">
        <f t="shared" si="4"/>
        <v>0</v>
      </c>
      <c r="K47" s="1670">
        <f t="shared" si="4"/>
        <v>12541</v>
      </c>
      <c r="L47" s="1670">
        <f>SUM(L44:L46)</f>
        <v>17600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8250</v>
      </c>
      <c r="F49" s="481">
        <v>155</v>
      </c>
      <c r="G49" s="481"/>
      <c r="H49" s="481">
        <v>3002</v>
      </c>
      <c r="I49" s="467"/>
      <c r="J49" s="467"/>
      <c r="K49" s="1672">
        <f>SUM(C49:J49)</f>
        <v>11407</v>
      </c>
      <c r="L49" s="481">
        <v>14300</v>
      </c>
    </row>
    <row r="50" spans="1:14" x14ac:dyDescent="0.2">
      <c r="A50" s="1504" t="s">
        <v>818</v>
      </c>
      <c r="B50" s="614">
        <v>2320</v>
      </c>
      <c r="C50" s="466">
        <v>57568</v>
      </c>
      <c r="D50" s="466">
        <v>12150</v>
      </c>
      <c r="E50" s="466">
        <v>2336</v>
      </c>
      <c r="F50" s="466">
        <v>995</v>
      </c>
      <c r="G50" s="466">
        <v>1500</v>
      </c>
      <c r="H50" s="466">
        <v>1168</v>
      </c>
      <c r="I50" s="467"/>
      <c r="J50" s="467"/>
      <c r="K50" s="1672">
        <f>SUM(C50:J50)</f>
        <v>75717</v>
      </c>
      <c r="L50" s="466">
        <v>77932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57568</v>
      </c>
      <c r="D53" s="1670">
        <f t="shared" ref="D53:L53" si="5">SUM(D49:D52)</f>
        <v>12150</v>
      </c>
      <c r="E53" s="1670">
        <f t="shared" si="5"/>
        <v>10586</v>
      </c>
      <c r="F53" s="1670">
        <f t="shared" si="5"/>
        <v>1150</v>
      </c>
      <c r="G53" s="1670">
        <f t="shared" si="5"/>
        <v>1500</v>
      </c>
      <c r="H53" s="1670">
        <f t="shared" si="5"/>
        <v>4170</v>
      </c>
      <c r="I53" s="1670">
        <f t="shared" si="5"/>
        <v>0</v>
      </c>
      <c r="J53" s="1670">
        <f t="shared" si="5"/>
        <v>0</v>
      </c>
      <c r="K53" s="1670">
        <f t="shared" si="5"/>
        <v>87124</v>
      </c>
      <c r="L53" s="1670">
        <f t="shared" si="5"/>
        <v>92232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75396</v>
      </c>
      <c r="D55" s="481">
        <v>6300</v>
      </c>
      <c r="E55" s="481">
        <v>298</v>
      </c>
      <c r="F55" s="481">
        <v>358</v>
      </c>
      <c r="G55" s="481"/>
      <c r="H55" s="481"/>
      <c r="I55" s="467"/>
      <c r="J55" s="467"/>
      <c r="K55" s="1672">
        <f>SUM(C55:J55)</f>
        <v>82352</v>
      </c>
      <c r="L55" s="481">
        <v>82870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75396</v>
      </c>
      <c r="D57" s="1674">
        <f t="shared" ref="D57:K57" si="6">SUM(D55:D56)</f>
        <v>6300</v>
      </c>
      <c r="E57" s="1674">
        <f t="shared" si="6"/>
        <v>298</v>
      </c>
      <c r="F57" s="1674">
        <f t="shared" si="6"/>
        <v>358</v>
      </c>
      <c r="G57" s="1674">
        <f t="shared" si="6"/>
        <v>0</v>
      </c>
      <c r="H57" s="1674">
        <f t="shared" si="6"/>
        <v>0</v>
      </c>
      <c r="I57" s="1674">
        <f t="shared" si="6"/>
        <v>0</v>
      </c>
      <c r="J57" s="1674">
        <f t="shared" si="6"/>
        <v>0</v>
      </c>
      <c r="K57" s="1674">
        <f t="shared" si="6"/>
        <v>82352</v>
      </c>
      <c r="L57" s="1670">
        <f>SUM(L55:L56)</f>
        <v>82870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35006</v>
      </c>
      <c r="D63" s="466">
        <v>10729</v>
      </c>
      <c r="E63" s="466">
        <v>1906</v>
      </c>
      <c r="F63" s="466">
        <v>24944</v>
      </c>
      <c r="G63" s="466"/>
      <c r="H63" s="466"/>
      <c r="I63" s="467"/>
      <c r="J63" s="467"/>
      <c r="K63" s="1672">
        <f t="shared" si="7"/>
        <v>72585</v>
      </c>
      <c r="L63" s="466">
        <v>81084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35006</v>
      </c>
      <c r="D65" s="1670">
        <f t="shared" ref="D65:L65" si="8">SUM(D59:D64)</f>
        <v>10729</v>
      </c>
      <c r="E65" s="1670">
        <f t="shared" si="8"/>
        <v>1906</v>
      </c>
      <c r="F65" s="1670">
        <f t="shared" si="8"/>
        <v>24944</v>
      </c>
      <c r="G65" s="1670">
        <f t="shared" si="8"/>
        <v>0</v>
      </c>
      <c r="H65" s="1670">
        <f t="shared" si="8"/>
        <v>0</v>
      </c>
      <c r="I65" s="1670">
        <f t="shared" si="8"/>
        <v>0</v>
      </c>
      <c r="J65" s="1670">
        <f t="shared" si="8"/>
        <v>0</v>
      </c>
      <c r="K65" s="1670">
        <f t="shared" si="8"/>
        <v>72585</v>
      </c>
      <c r="L65" s="1670">
        <f t="shared" si="8"/>
        <v>81084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167970</v>
      </c>
      <c r="D74" s="1677">
        <f t="shared" ref="D74:K74" si="10">SUM(D42,D47,D53,D57,D65,D72,D73)</f>
        <v>29179</v>
      </c>
      <c r="E74" s="1677">
        <f t="shared" si="10"/>
        <v>34622</v>
      </c>
      <c r="F74" s="1677">
        <f t="shared" si="10"/>
        <v>31564</v>
      </c>
      <c r="G74" s="1677">
        <f t="shared" si="10"/>
        <v>1500</v>
      </c>
      <c r="H74" s="1677">
        <f t="shared" si="10"/>
        <v>4170</v>
      </c>
      <c r="I74" s="1677">
        <f t="shared" si="10"/>
        <v>0</v>
      </c>
      <c r="J74" s="1677">
        <f t="shared" si="10"/>
        <v>0</v>
      </c>
      <c r="K74" s="1677">
        <f t="shared" si="10"/>
        <v>269005</v>
      </c>
      <c r="L74" s="1677">
        <f>SUM(L42,L47,L53,L57,L65,L72,L73)</f>
        <v>288586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28634</v>
      </c>
      <c r="F79" s="616"/>
      <c r="G79" s="616"/>
      <c r="H79" s="466"/>
      <c r="I79" s="477"/>
      <c r="J79" s="477"/>
      <c r="K79" s="1671">
        <f t="shared" si="11"/>
        <v>28634</v>
      </c>
      <c r="L79" s="466">
        <v>54680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28634</v>
      </c>
      <c r="F84" s="616"/>
      <c r="G84" s="616"/>
      <c r="H84" s="1670">
        <f>SUM(H78:H83)</f>
        <v>0</v>
      </c>
      <c r="I84" s="477"/>
      <c r="J84" s="477"/>
      <c r="K84" s="1670">
        <f>SUM(K78:K83)</f>
        <v>28634</v>
      </c>
      <c r="L84" s="1670">
        <f>SUM(L78:L83)</f>
        <v>54680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28634</v>
      </c>
      <c r="F102" s="616"/>
      <c r="G102" s="616"/>
      <c r="H102" s="1677">
        <f>SUM(H84,H92,H100,H101)</f>
        <v>0</v>
      </c>
      <c r="I102" s="477"/>
      <c r="J102" s="477"/>
      <c r="K102" s="1677">
        <f>SUM(K84,K92,K100,K101)</f>
        <v>28634</v>
      </c>
      <c r="L102" s="1677">
        <f>SUM(L84,L92,L100,L101)</f>
        <v>54680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714612</v>
      </c>
      <c r="D114" s="1670">
        <f t="shared" ref="D114:K114" si="13">SUM(D33,D74,D75,D102,D112,D113)</f>
        <v>108623</v>
      </c>
      <c r="E114" s="1670">
        <f t="shared" si="13"/>
        <v>117305</v>
      </c>
      <c r="F114" s="1670">
        <f t="shared" si="13"/>
        <v>48990</v>
      </c>
      <c r="G114" s="1670">
        <f t="shared" si="13"/>
        <v>1500</v>
      </c>
      <c r="H114" s="1670">
        <f>SUM(H33,H74,H75,H102,H112,H113)</f>
        <v>4919</v>
      </c>
      <c r="I114" s="1670">
        <f t="shared" si="13"/>
        <v>0</v>
      </c>
      <c r="J114" s="1670">
        <f t="shared" si="13"/>
        <v>0</v>
      </c>
      <c r="K114" s="1670">
        <f t="shared" si="13"/>
        <v>995949</v>
      </c>
      <c r="L114" s="1670">
        <f>SUM(L33,L74,L75,L102,L112,L113)</f>
        <v>1057565</v>
      </c>
    </row>
    <row r="115" spans="1:14" ht="13.5" thickTop="1" x14ac:dyDescent="0.2">
      <c r="A115" s="2182" t="s">
        <v>996</v>
      </c>
      <c r="B115" s="2183"/>
      <c r="C115" s="618"/>
      <c r="D115" s="618"/>
      <c r="E115" s="618"/>
      <c r="F115" s="618"/>
      <c r="G115" s="618"/>
      <c r="H115" s="618"/>
      <c r="I115" s="618"/>
      <c r="J115" s="618"/>
      <c r="K115" s="1684">
        <f>'Revenues 9-14'!C268-'Expenditures 15-22'!K114</f>
        <v>159986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39501</v>
      </c>
      <c r="D124" s="466">
        <v>5440</v>
      </c>
      <c r="E124" s="466">
        <v>43103</v>
      </c>
      <c r="F124" s="466">
        <v>37374</v>
      </c>
      <c r="G124" s="466">
        <v>2150</v>
      </c>
      <c r="H124" s="466"/>
      <c r="I124" s="467"/>
      <c r="J124" s="467"/>
      <c r="K124" s="1670">
        <f>SUM(C124:J124)</f>
        <v>127568</v>
      </c>
      <c r="L124" s="466">
        <v>122455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39501</v>
      </c>
      <c r="D127" s="1670">
        <f t="shared" ref="D127:L127" si="14">SUM(D122:D126)</f>
        <v>5440</v>
      </c>
      <c r="E127" s="1670">
        <f t="shared" si="14"/>
        <v>43103</v>
      </c>
      <c r="F127" s="1670">
        <f t="shared" si="14"/>
        <v>37374</v>
      </c>
      <c r="G127" s="1670">
        <f t="shared" si="14"/>
        <v>2150</v>
      </c>
      <c r="H127" s="1670">
        <f t="shared" si="14"/>
        <v>0</v>
      </c>
      <c r="I127" s="1670">
        <f t="shared" si="14"/>
        <v>0</v>
      </c>
      <c r="J127" s="1670">
        <f t="shared" si="14"/>
        <v>0</v>
      </c>
      <c r="K127" s="1670">
        <f t="shared" si="14"/>
        <v>127568</v>
      </c>
      <c r="L127" s="1670">
        <f t="shared" si="14"/>
        <v>122455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39501</v>
      </c>
      <c r="D129" s="1677">
        <f t="shared" ref="D129:L129" si="15">SUM(D120,D127,D128)</f>
        <v>5440</v>
      </c>
      <c r="E129" s="1677">
        <f t="shared" si="15"/>
        <v>43103</v>
      </c>
      <c r="F129" s="1677">
        <f t="shared" si="15"/>
        <v>37374</v>
      </c>
      <c r="G129" s="1677">
        <f t="shared" si="15"/>
        <v>2150</v>
      </c>
      <c r="H129" s="1677">
        <f t="shared" si="15"/>
        <v>0</v>
      </c>
      <c r="I129" s="1677">
        <f t="shared" si="15"/>
        <v>0</v>
      </c>
      <c r="J129" s="1677">
        <f t="shared" si="15"/>
        <v>0</v>
      </c>
      <c r="K129" s="1677">
        <f t="shared" si="15"/>
        <v>127568</v>
      </c>
      <c r="L129" s="1677">
        <f t="shared" si="15"/>
        <v>122455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70">
        <f>SUM(C129,C130,C139,C149,C150)</f>
        <v>39501</v>
      </c>
      <c r="D151" s="1670">
        <f t="shared" ref="D151:K151" si="16">SUM(D129,D130,D139,D149,D150)</f>
        <v>5440</v>
      </c>
      <c r="E151" s="1670">
        <f t="shared" si="16"/>
        <v>43103</v>
      </c>
      <c r="F151" s="1670">
        <f t="shared" si="16"/>
        <v>37374</v>
      </c>
      <c r="G151" s="1670">
        <f t="shared" si="16"/>
        <v>2150</v>
      </c>
      <c r="H151" s="1670">
        <f t="shared" si="16"/>
        <v>0</v>
      </c>
      <c r="I151" s="1670">
        <f t="shared" si="16"/>
        <v>0</v>
      </c>
      <c r="J151" s="1670">
        <f t="shared" si="16"/>
        <v>0</v>
      </c>
      <c r="K151" s="1670">
        <f t="shared" si="16"/>
        <v>127568</v>
      </c>
      <c r="L151" s="1670">
        <f>SUM(L129,L130,L139,L149,L150)</f>
        <v>122455</v>
      </c>
    </row>
    <row r="152" spans="1:14" ht="12.75" customHeight="1" thickTop="1" x14ac:dyDescent="0.2">
      <c r="A152" s="2175" t="s">
        <v>1178</v>
      </c>
      <c r="B152" s="2176"/>
      <c r="C152" s="618"/>
      <c r="D152" s="618"/>
      <c r="E152" s="618"/>
      <c r="F152" s="618"/>
      <c r="G152" s="618"/>
      <c r="H152" s="618"/>
      <c r="I152" s="618"/>
      <c r="J152" s="616"/>
      <c r="K152" s="1684">
        <f>'Revenues 9-14'!D268-'Expenditures 15-22'!K151</f>
        <v>-17868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15348</v>
      </c>
      <c r="I169" s="616"/>
      <c r="J169" s="616"/>
      <c r="K169" s="1671">
        <f>SUM(C169:H169)</f>
        <v>15348</v>
      </c>
      <c r="L169" s="656">
        <v>13600</v>
      </c>
    </row>
    <row r="170" spans="1:14" ht="33.75" customHeight="1" x14ac:dyDescent="0.2">
      <c r="A170" s="669" t="s">
        <v>1670</v>
      </c>
      <c r="B170" s="671" t="s">
        <v>31</v>
      </c>
      <c r="C170" s="616"/>
      <c r="D170" s="616"/>
      <c r="E170" s="616"/>
      <c r="F170" s="616"/>
      <c r="G170" s="616"/>
      <c r="H170" s="569">
        <v>260000</v>
      </c>
      <c r="I170" s="616"/>
      <c r="J170" s="616"/>
      <c r="K170" s="1671">
        <f>SUM(C170:J170)</f>
        <v>260000</v>
      </c>
      <c r="L170" s="569">
        <v>30000</v>
      </c>
    </row>
    <row r="171" spans="1:14" ht="15.75" customHeight="1" x14ac:dyDescent="0.2">
      <c r="A171" s="621" t="s">
        <v>766</v>
      </c>
      <c r="B171" s="672" t="s">
        <v>84</v>
      </c>
      <c r="C171" s="616"/>
      <c r="D171" s="616"/>
      <c r="E171" s="466"/>
      <c r="F171" s="616"/>
      <c r="G171" s="616"/>
      <c r="H171" s="569">
        <v>8415</v>
      </c>
      <c r="I171" s="477"/>
      <c r="J171" s="616"/>
      <c r="K171" s="1671">
        <f>SUM(C171:J171)</f>
        <v>8415</v>
      </c>
      <c r="L171" s="569">
        <v>500</v>
      </c>
    </row>
    <row r="172" spans="1:14" ht="12.75" customHeight="1" thickBot="1" x14ac:dyDescent="0.25">
      <c r="A172" s="1668" t="s">
        <v>638</v>
      </c>
      <c r="B172" s="1669" t="s">
        <v>492</v>
      </c>
      <c r="C172" s="616"/>
      <c r="D172" s="616"/>
      <c r="E172" s="1677">
        <f>SUM(E168,E169,E170,E171)</f>
        <v>0</v>
      </c>
      <c r="F172" s="616"/>
      <c r="G172" s="616"/>
      <c r="H172" s="1677">
        <f>SUM(H168,H169,H170,H171)</f>
        <v>283763</v>
      </c>
      <c r="I172" s="638"/>
      <c r="J172" s="616"/>
      <c r="K172" s="1677">
        <f>SUM(K168,K169,K170,K171)</f>
        <v>283763</v>
      </c>
      <c r="L172" s="1677">
        <f>SUM(L168,L169,L170,L171)</f>
        <v>44100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283763</v>
      </c>
      <c r="I174" s="638"/>
      <c r="J174" s="616"/>
      <c r="K174" s="1677">
        <f>SUM(K160,K172,K173)</f>
        <v>283763</v>
      </c>
      <c r="L174" s="1677">
        <f>SUM(L160,L172,L173)</f>
        <v>44100</v>
      </c>
    </row>
    <row r="175" spans="1:14" ht="13.5" thickTop="1" x14ac:dyDescent="0.2">
      <c r="A175" s="2182" t="s">
        <v>996</v>
      </c>
      <c r="B175" s="2183"/>
      <c r="C175" s="616"/>
      <c r="D175" s="616"/>
      <c r="E175" s="616"/>
      <c r="F175" s="616"/>
      <c r="G175" s="616"/>
      <c r="H175" s="618"/>
      <c r="I175" s="616"/>
      <c r="J175" s="616"/>
      <c r="K175" s="1684">
        <f>'Revenues 9-14'!E268-'Expenditures 15-22'!K174</f>
        <v>-233467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76601</v>
      </c>
      <c r="F182" s="466"/>
      <c r="G182" s="466"/>
      <c r="H182" s="466"/>
      <c r="I182" s="467"/>
      <c r="J182" s="467"/>
      <c r="K182" s="1671">
        <f>SUM(C182:J182)</f>
        <v>76601</v>
      </c>
      <c r="L182" s="466">
        <v>82000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76601</v>
      </c>
      <c r="F184" s="1677">
        <f t="shared" si="17"/>
        <v>0</v>
      </c>
      <c r="G184" s="1677">
        <f t="shared" si="17"/>
        <v>0</v>
      </c>
      <c r="H184" s="1677">
        <f t="shared" si="17"/>
        <v>0</v>
      </c>
      <c r="I184" s="1677">
        <f t="shared" si="17"/>
        <v>0</v>
      </c>
      <c r="J184" s="1677">
        <f t="shared" si="17"/>
        <v>0</v>
      </c>
      <c r="K184" s="1677">
        <f>SUM(K180,K182,K183)</f>
        <v>76601</v>
      </c>
      <c r="L184" s="1677">
        <f>SUM(L180, L182:L183)</f>
        <v>82000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76601</v>
      </c>
      <c r="F210" s="1670">
        <f>SUM(F184,F185)</f>
        <v>0</v>
      </c>
      <c r="G210" s="1670">
        <f>SUM(G184,G185)</f>
        <v>0</v>
      </c>
      <c r="H210" s="1670">
        <f>SUM(H184,H185,H196,H208,H209)</f>
        <v>0</v>
      </c>
      <c r="I210" s="1670">
        <f>SUM(I184,I185)</f>
        <v>0</v>
      </c>
      <c r="J210" s="1670">
        <f>SUM(J184,J185)</f>
        <v>0</v>
      </c>
      <c r="K210" s="1671">
        <f>SUM(K184,K185,K196,K208,K209)</f>
        <v>76601</v>
      </c>
      <c r="L210" s="1670">
        <f>SUM(L184,L185,L196,L208,L209)</f>
        <v>82000</v>
      </c>
    </row>
    <row r="211" spans="1:14" ht="13.5" thickTop="1" x14ac:dyDescent="0.2">
      <c r="A211" s="2182" t="s">
        <v>996</v>
      </c>
      <c r="B211" s="2183"/>
      <c r="C211" s="618"/>
      <c r="D211" s="618"/>
      <c r="E211" s="618"/>
      <c r="F211" s="618"/>
      <c r="G211" s="618"/>
      <c r="H211" s="618"/>
      <c r="I211" s="616"/>
      <c r="J211" s="616"/>
      <c r="K211" s="1684">
        <f>'Revenues 9-14'!F268-'Expenditures 15-22'!K210</f>
        <v>50242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6820</v>
      </c>
      <c r="E215" s="616"/>
      <c r="F215" s="616"/>
      <c r="G215" s="616"/>
      <c r="H215" s="616"/>
      <c r="I215" s="616"/>
      <c r="J215" s="616"/>
      <c r="K215" s="1671">
        <f>D215</f>
        <v>6820</v>
      </c>
      <c r="L215" s="466">
        <v>6684</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7550</v>
      </c>
      <c r="E217" s="616"/>
      <c r="F217" s="616"/>
      <c r="G217" s="616"/>
      <c r="H217" s="616"/>
      <c r="I217" s="616"/>
      <c r="J217" s="616"/>
      <c r="K217" s="1671">
        <f t="shared" si="19"/>
        <v>7550</v>
      </c>
      <c r="L217" s="466">
        <v>8900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v>200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1327</v>
      </c>
      <c r="E223" s="616"/>
      <c r="F223" s="616"/>
      <c r="G223" s="616"/>
      <c r="H223" s="616"/>
      <c r="I223" s="616"/>
      <c r="J223" s="616"/>
      <c r="K223" s="1671">
        <f t="shared" si="19"/>
        <v>1327</v>
      </c>
      <c r="L223" s="466">
        <v>1377</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15697</v>
      </c>
      <c r="E229" s="616"/>
      <c r="F229" s="616"/>
      <c r="G229" s="616"/>
      <c r="H229" s="616"/>
      <c r="I229" s="616"/>
      <c r="J229" s="616"/>
      <c r="K229" s="1670">
        <f>SUM(K215:K228)</f>
        <v>15697</v>
      </c>
      <c r="L229" s="1670">
        <f>SUM(L215:L228)</f>
        <v>17161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1</v>
      </c>
      <c r="E237" s="616"/>
      <c r="F237" s="616"/>
      <c r="G237" s="616"/>
      <c r="H237" s="616"/>
      <c r="I237" s="616"/>
      <c r="J237" s="616"/>
      <c r="K237" s="1671">
        <f t="shared" si="20"/>
        <v>1</v>
      </c>
      <c r="L237" s="466"/>
    </row>
    <row r="238" spans="1:12" ht="12.75" customHeight="1" thickBot="1" x14ac:dyDescent="0.25">
      <c r="A238" s="1668" t="s">
        <v>560</v>
      </c>
      <c r="B238" s="1675" t="s">
        <v>716</v>
      </c>
      <c r="C238" s="616"/>
      <c r="D238" s="1670">
        <f>SUM(D232:D237)</f>
        <v>1</v>
      </c>
      <c r="E238" s="616"/>
      <c r="F238" s="616"/>
      <c r="G238" s="616"/>
      <c r="H238" s="616"/>
      <c r="I238" s="616"/>
      <c r="J238" s="616"/>
      <c r="K238" s="1670">
        <f>SUM(K232:K237)</f>
        <v>1</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3816</v>
      </c>
      <c r="E246" s="616"/>
      <c r="F246" s="616"/>
      <c r="G246" s="616"/>
      <c r="H246" s="616"/>
      <c r="I246" s="616"/>
      <c r="J246" s="616"/>
      <c r="K246" s="1672">
        <f t="shared" ref="K246:K256" si="21">D246</f>
        <v>3816</v>
      </c>
      <c r="L246" s="466">
        <v>3970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3816</v>
      </c>
      <c r="E257" s="616"/>
      <c r="F257" s="616"/>
      <c r="G257" s="616"/>
      <c r="H257" s="616"/>
      <c r="I257" s="616"/>
      <c r="J257" s="616"/>
      <c r="K257" s="1670">
        <f>SUM(K245:K256)</f>
        <v>3816</v>
      </c>
      <c r="L257" s="1670">
        <f>SUM(L245:L256)</f>
        <v>3970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5808</v>
      </c>
      <c r="E259" s="616"/>
      <c r="F259" s="616"/>
      <c r="G259" s="616"/>
      <c r="H259" s="616"/>
      <c r="I259" s="616"/>
      <c r="J259" s="616"/>
      <c r="K259" s="1672">
        <f>D259</f>
        <v>5808</v>
      </c>
      <c r="L259" s="481">
        <v>6110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5808</v>
      </c>
      <c r="E261" s="616"/>
      <c r="F261" s="616"/>
      <c r="G261" s="616"/>
      <c r="H261" s="616"/>
      <c r="I261" s="616"/>
      <c r="J261" s="616"/>
      <c r="K261" s="1670">
        <f>SUM(K259:K260)</f>
        <v>5808</v>
      </c>
      <c r="L261" s="1670">
        <f>SUM(L259:L260)</f>
        <v>6110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7846</v>
      </c>
      <c r="E266" s="616"/>
      <c r="F266" s="616"/>
      <c r="G266" s="616"/>
      <c r="H266" s="616"/>
      <c r="I266" s="616"/>
      <c r="J266" s="616"/>
      <c r="K266" s="1672">
        <f t="shared" si="22"/>
        <v>7846</v>
      </c>
      <c r="L266" s="466">
        <v>8500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6347</v>
      </c>
      <c r="E268" s="616"/>
      <c r="F268" s="616"/>
      <c r="G268" s="616"/>
      <c r="H268" s="616"/>
      <c r="I268" s="616"/>
      <c r="J268" s="616"/>
      <c r="K268" s="1672">
        <f t="shared" si="22"/>
        <v>6347</v>
      </c>
      <c r="L268" s="466">
        <v>6600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14193</v>
      </c>
      <c r="E270" s="616"/>
      <c r="F270" s="616"/>
      <c r="G270" s="616"/>
      <c r="H270" s="616"/>
      <c r="I270" s="616"/>
      <c r="J270" s="616"/>
      <c r="K270" s="1670">
        <f>SUM(K263:K269)</f>
        <v>14193</v>
      </c>
      <c r="L270" s="1670">
        <f>SUM(L263:L269)</f>
        <v>15100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23818</v>
      </c>
      <c r="E279" s="616"/>
      <c r="F279" s="616"/>
      <c r="G279" s="616"/>
      <c r="H279" s="616"/>
      <c r="I279" s="616"/>
      <c r="J279" s="616"/>
      <c r="K279" s="1677">
        <f>SUM(K238,K243,K257,K261,K270,K277,K278)</f>
        <v>23818</v>
      </c>
      <c r="L279" s="1677">
        <f>SUM(L238,L243,L257,L261,L270,L277,L278)</f>
        <v>25180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39515</v>
      </c>
      <c r="E295" s="616"/>
      <c r="F295" s="616"/>
      <c r="G295" s="616"/>
      <c r="H295" s="1670">
        <f>H293</f>
        <v>0</v>
      </c>
      <c r="I295" s="616"/>
      <c r="J295" s="616"/>
      <c r="K295" s="1670">
        <f>SUM(K229,K279,K280,K285,K293,K294)</f>
        <v>39515</v>
      </c>
      <c r="L295" s="1670">
        <f>SUM(L229,L279,L280,L285,L293,L294)</f>
        <v>42341</v>
      </c>
    </row>
    <row r="296" spans="1:14" ht="13.5" thickTop="1" x14ac:dyDescent="0.2">
      <c r="A296" s="2182" t="s">
        <v>996</v>
      </c>
      <c r="B296" s="2183"/>
      <c r="C296" s="616"/>
      <c r="D296" s="618"/>
      <c r="E296" s="616"/>
      <c r="F296" s="616"/>
      <c r="G296" s="616"/>
      <c r="H296" s="687"/>
      <c r="I296" s="616"/>
      <c r="J296" s="616"/>
      <c r="K296" s="1684">
        <f>'Revenues 9-14'!G268-'Expenditures 15-22'!K295</f>
        <v>11094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1081</v>
      </c>
      <c r="H301" s="466"/>
      <c r="I301" s="467"/>
      <c r="J301" s="467"/>
      <c r="K301" s="1671">
        <f>SUM(C301:J301)</f>
        <v>1081</v>
      </c>
      <c r="L301" s="467">
        <v>14000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1081</v>
      </c>
      <c r="H303" s="1677">
        <f t="shared" si="23"/>
        <v>0</v>
      </c>
      <c r="I303" s="1677">
        <f t="shared" si="23"/>
        <v>0</v>
      </c>
      <c r="J303" s="1677">
        <f t="shared" si="23"/>
        <v>0</v>
      </c>
      <c r="K303" s="1677">
        <f t="shared" si="23"/>
        <v>1081</v>
      </c>
      <c r="L303" s="1677">
        <f t="shared" si="23"/>
        <v>14000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1081</v>
      </c>
      <c r="H312" s="1670">
        <f>SUM(H303,H310)</f>
        <v>0</v>
      </c>
      <c r="I312" s="1670">
        <f>SUM(I303)</f>
        <v>0</v>
      </c>
      <c r="J312" s="1670">
        <f>SUM(J303)</f>
        <v>0</v>
      </c>
      <c r="K312" s="1670">
        <f>SUM(K303,K310,K311)</f>
        <v>1081</v>
      </c>
      <c r="L312" s="1670">
        <f>SUM(L303,L310,L311)</f>
        <v>14000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-1081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14911</v>
      </c>
      <c r="F320" s="467"/>
      <c r="G320" s="467"/>
      <c r="H320" s="467"/>
      <c r="I320" s="467"/>
      <c r="J320" s="467"/>
      <c r="K320" s="1671">
        <f t="shared" ref="K320:K327" si="24">SUM(C320:J320)</f>
        <v>14911</v>
      </c>
      <c r="L320" s="467">
        <v>15000</v>
      </c>
      <c r="M320" s="665"/>
      <c r="N320" s="665"/>
    </row>
    <row r="321" spans="1:14" s="674" customFormat="1" x14ac:dyDescent="0.2">
      <c r="A321" s="1519" t="s">
        <v>300</v>
      </c>
      <c r="B321" s="697" t="s">
        <v>283</v>
      </c>
      <c r="C321" s="467"/>
      <c r="D321" s="467"/>
      <c r="E321" s="467">
        <v>2896</v>
      </c>
      <c r="F321" s="467"/>
      <c r="G321" s="467"/>
      <c r="H321" s="467"/>
      <c r="I321" s="467"/>
      <c r="J321" s="467"/>
      <c r="K321" s="1671">
        <f t="shared" si="24"/>
        <v>2896</v>
      </c>
      <c r="L321" s="467">
        <v>3000</v>
      </c>
      <c r="M321" s="665"/>
      <c r="N321" s="665"/>
    </row>
    <row r="322" spans="1:14" s="674" customFormat="1" x14ac:dyDescent="0.2">
      <c r="A322" s="1519" t="s">
        <v>238</v>
      </c>
      <c r="B322" s="697" t="s">
        <v>284</v>
      </c>
      <c r="C322" s="467"/>
      <c r="D322" s="467"/>
      <c r="E322" s="467">
        <v>12489</v>
      </c>
      <c r="F322" s="467"/>
      <c r="G322" s="467"/>
      <c r="H322" s="467"/>
      <c r="I322" s="467"/>
      <c r="J322" s="467"/>
      <c r="K322" s="1671">
        <f t="shared" si="24"/>
        <v>12489</v>
      </c>
      <c r="L322" s="467">
        <v>12500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30296</v>
      </c>
      <c r="F330" s="1670">
        <f t="shared" si="25"/>
        <v>0</v>
      </c>
      <c r="G330" s="1670">
        <f t="shared" si="25"/>
        <v>0</v>
      </c>
      <c r="H330" s="1670">
        <f t="shared" si="25"/>
        <v>0</v>
      </c>
      <c r="I330" s="1670">
        <f t="shared" si="25"/>
        <v>0</v>
      </c>
      <c r="J330" s="1670">
        <f t="shared" si="25"/>
        <v>0</v>
      </c>
      <c r="K330" s="1670">
        <f>SUM(K319:K329)</f>
        <v>30296</v>
      </c>
      <c r="L330" s="1670">
        <f>SUM(L319:L329)</f>
        <v>30500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30296</v>
      </c>
      <c r="F342" s="1670">
        <f>SUM(F330)</f>
        <v>0</v>
      </c>
      <c r="G342" s="1670">
        <f>SUM(G330)</f>
        <v>0</v>
      </c>
      <c r="H342" s="1670">
        <f>SUM(H330,H334,H340)</f>
        <v>0</v>
      </c>
      <c r="I342" s="1670">
        <f>SUM(I330)</f>
        <v>0</v>
      </c>
      <c r="J342" s="1670">
        <f>SUM(J330)</f>
        <v>0</v>
      </c>
      <c r="K342" s="1670">
        <f>SUM(K330,K334,K340)</f>
        <v>30296</v>
      </c>
      <c r="L342" s="1677">
        <f>SUM(L330,L340,L341)</f>
        <v>30500</v>
      </c>
    </row>
    <row r="343" spans="1:14" ht="12.75" customHeight="1" thickTop="1" x14ac:dyDescent="0.2">
      <c r="A343" s="2168" t="s">
        <v>996</v>
      </c>
      <c r="B343" s="2169"/>
      <c r="C343" s="616"/>
      <c r="D343" s="616"/>
      <c r="E343" s="616"/>
      <c r="F343" s="616"/>
      <c r="G343" s="616"/>
      <c r="H343" s="616"/>
      <c r="I343" s="616"/>
      <c r="J343" s="616"/>
      <c r="K343" s="1684">
        <f>'Revenues 9-14'!J268-'Expenditures 15-22'!K342</f>
        <v>-911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v>4700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4700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4700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4700</v>
      </c>
    </row>
    <row r="368" spans="1:14" ht="13.5" thickTop="1" x14ac:dyDescent="0.2">
      <c r="A368" s="2182" t="s">
        <v>996</v>
      </c>
      <c r="B368" s="2183"/>
      <c r="C368" s="654"/>
      <c r="D368" s="654"/>
      <c r="E368" s="626"/>
      <c r="F368" s="626"/>
      <c r="G368" s="626"/>
      <c r="H368" s="626"/>
      <c r="I368" s="626"/>
      <c r="J368" s="623"/>
      <c r="K368" s="1671">
        <f>'Revenues 9-14'!K268-'Expenditures 15-22'!K367</f>
        <v>4750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1802</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9">
        <f>'Revenues 9-14'!C5</f>
        <v>683601</v>
      </c>
      <c r="C4" s="1524"/>
      <c r="D4" s="1752">
        <f>B4-C4</f>
        <v>683601</v>
      </c>
      <c r="E4" s="1524">
        <v>700968</v>
      </c>
      <c r="F4" s="1752">
        <f>E4-C4</f>
        <v>700968</v>
      </c>
    </row>
    <row r="5" spans="1:6" ht="13.7" customHeight="1" x14ac:dyDescent="0.2">
      <c r="A5" s="715" t="s">
        <v>870</v>
      </c>
      <c r="B5" s="1750">
        <f>'Revenues 9-14'!D5</f>
        <v>109694</v>
      </c>
      <c r="C5" s="585"/>
      <c r="D5" s="1753">
        <f t="shared" ref="D5:D18" si="0">B5-C5</f>
        <v>109694</v>
      </c>
      <c r="E5" s="585">
        <v>109457</v>
      </c>
      <c r="F5" s="1753">
        <f>E5-C5</f>
        <v>109457</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79332</v>
      </c>
      <c r="C7" s="585"/>
      <c r="D7" s="1753">
        <f t="shared" si="0"/>
        <v>79332</v>
      </c>
      <c r="E7" s="585">
        <v>80733</v>
      </c>
      <c r="F7" s="1753">
        <f t="shared" si="1"/>
        <v>80733</v>
      </c>
    </row>
    <row r="8" spans="1:6" ht="13.7" customHeight="1" x14ac:dyDescent="0.2">
      <c r="A8" s="715" t="s">
        <v>1179</v>
      </c>
      <c r="B8" s="1750">
        <f>'Revenues 9-14'!G5</f>
        <v>26444</v>
      </c>
      <c r="C8" s="585"/>
      <c r="D8" s="1753">
        <f t="shared" si="0"/>
        <v>26444</v>
      </c>
      <c r="E8" s="585">
        <v>28554</v>
      </c>
      <c r="F8" s="1753">
        <f t="shared" si="1"/>
        <v>28554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3073</v>
      </c>
      <c r="C10" s="585"/>
      <c r="D10" s="1753">
        <f t="shared" si="0"/>
        <v>3073</v>
      </c>
      <c r="E10" s="585">
        <v>3447</v>
      </c>
      <c r="F10" s="1753">
        <f t="shared" si="1"/>
        <v>3447</v>
      </c>
    </row>
    <row r="11" spans="1:6" x14ac:dyDescent="0.2">
      <c r="A11" s="715" t="s">
        <v>409</v>
      </c>
      <c r="B11" s="1750">
        <f>'Revenues 9-14'!J5</f>
        <v>29385</v>
      </c>
      <c r="C11" s="585"/>
      <c r="D11" s="1753">
        <f t="shared" si="0"/>
        <v>29385</v>
      </c>
      <c r="E11" s="585">
        <v>32491</v>
      </c>
      <c r="F11" s="1753">
        <f t="shared" si="1"/>
        <v>32491</v>
      </c>
    </row>
    <row r="12" spans="1:6" ht="13.7" customHeight="1" x14ac:dyDescent="0.2">
      <c r="A12" s="715" t="s">
        <v>157</v>
      </c>
      <c r="B12" s="1750">
        <f>'Revenues 9-14'!K5</f>
        <v>4750</v>
      </c>
      <c r="C12" s="585"/>
      <c r="D12" s="1753">
        <f t="shared" si="0"/>
        <v>4750</v>
      </c>
      <c r="E12" s="585">
        <v>6894</v>
      </c>
      <c r="F12" s="1753">
        <f t="shared" si="1"/>
        <v>6894</v>
      </c>
    </row>
    <row r="13" spans="1:6" ht="13.7" customHeight="1" x14ac:dyDescent="0.2">
      <c r="A13" s="715" t="s">
        <v>936</v>
      </c>
      <c r="B13" s="1750">
        <f>SUM('Revenues 9-14'!C6:D6)</f>
        <v>3800</v>
      </c>
      <c r="C13" s="585"/>
      <c r="D13" s="1753">
        <f t="shared" si="0"/>
        <v>3800</v>
      </c>
      <c r="E13" s="585">
        <v>4038</v>
      </c>
      <c r="F13" s="1753">
        <f t="shared" si="1"/>
        <v>4038</v>
      </c>
    </row>
    <row r="14" spans="1:6" ht="13.7" customHeight="1" x14ac:dyDescent="0.2">
      <c r="A14" s="715" t="s">
        <v>410</v>
      </c>
      <c r="B14" s="1750">
        <f>SUM('Revenues 9-14'!C7:D7,'Revenues 9-14'!F7:H7)</f>
        <v>2851</v>
      </c>
      <c r="C14" s="585"/>
      <c r="D14" s="1753">
        <f t="shared" si="0"/>
        <v>2851</v>
      </c>
      <c r="E14" s="585">
        <v>3940</v>
      </c>
      <c r="F14" s="1753">
        <f t="shared" si="1"/>
        <v>3940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24165</v>
      </c>
      <c r="C16" s="585"/>
      <c r="D16" s="1753">
        <f t="shared" si="0"/>
        <v>24165</v>
      </c>
      <c r="E16" s="585">
        <v>24616</v>
      </c>
      <c r="F16" s="1753">
        <f t="shared" si="1"/>
        <v>24616</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967095</v>
      </c>
      <c r="C19" s="1751">
        <f>SUM(C4:C18)</f>
        <v>0</v>
      </c>
      <c r="D19" s="1751">
        <f>SUM(D4:D18)</f>
        <v>967095</v>
      </c>
      <c r="E19" s="1751">
        <f>SUM(E4:E18)</f>
        <v>995138</v>
      </c>
      <c r="F19" s="1751">
        <f>SUM(F4:F18)</f>
        <v>995138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B15" colorId="8" zoomScaleNormal="100" workbookViewId="0">
      <selection activeCell="D31" sqref="D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1802</v>
      </c>
      <c r="B2" s="2200"/>
      <c r="C2" s="1884" t="s">
        <v>1954</v>
      </c>
      <c r="D2" s="723" t="s">
        <v>1955</v>
      </c>
      <c r="E2" s="723" t="s">
        <v>1956</v>
      </c>
      <c r="F2" s="1884" t="s">
        <v>1957</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5">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8" t="s">
        <v>631</v>
      </c>
      <c r="B15" s="2189"/>
      <c r="C15" s="1755">
        <f>SUM(C6:C14)</f>
        <v>0</v>
      </c>
      <c r="D15" s="1755">
        <f>SUM(D6:D14)</f>
        <v>0</v>
      </c>
      <c r="E15" s="1755">
        <f>SUM(E6:E14)</f>
        <v>0</v>
      </c>
      <c r="F15" s="1755">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5">
        <f>SUM(C17+D17)-E17</f>
        <v>0</v>
      </c>
    </row>
    <row r="18" spans="1:11" ht="12.75" customHeight="1" thickTop="1" thickBot="1" x14ac:dyDescent="0.25">
      <c r="A18" s="2211" t="s">
        <v>6</v>
      </c>
      <c r="B18" s="2212"/>
      <c r="C18" s="726"/>
      <c r="D18" s="585"/>
      <c r="E18" s="726"/>
      <c r="F18" s="1755">
        <f>SUM(C18+D18)-E18</f>
        <v>0</v>
      </c>
    </row>
    <row r="19" spans="1:11" ht="12.75" customHeight="1" thickTop="1" thickBot="1" x14ac:dyDescent="0.25">
      <c r="A19" s="2211" t="s">
        <v>388</v>
      </c>
      <c r="B19" s="2212"/>
      <c r="C19" s="726"/>
      <c r="D19" s="585"/>
      <c r="E19" s="726"/>
      <c r="F19" s="1755">
        <f>SUM(C19+D19)-E19</f>
        <v>0</v>
      </c>
    </row>
    <row r="20" spans="1:11" ht="12.75" customHeight="1" thickTop="1" thickBot="1" x14ac:dyDescent="0.25">
      <c r="A20" s="2211" t="s">
        <v>448</v>
      </c>
      <c r="B20" s="2212"/>
      <c r="C20" s="726"/>
      <c r="D20" s="585"/>
      <c r="E20" s="726"/>
      <c r="F20" s="1755">
        <f>SUM(C20+D20)-E20</f>
        <v>0</v>
      </c>
    </row>
    <row r="21" spans="1:11" ht="14.25" thickTop="1" thickBot="1" x14ac:dyDescent="0.25">
      <c r="A21" s="2188" t="s">
        <v>632</v>
      </c>
      <c r="B21" s="2189"/>
      <c r="C21" s="1755">
        <f>SUM(C17:C20)</f>
        <v>0</v>
      </c>
      <c r="D21" s="1755">
        <f>SUM(D17:D20)</f>
        <v>0</v>
      </c>
      <c r="E21" s="1755">
        <f>SUM(E17:E20)</f>
        <v>0</v>
      </c>
      <c r="F21" s="1755">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5">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5">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5">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2082</v>
      </c>
      <c r="B31" s="733">
        <v>40664</v>
      </c>
      <c r="C31" s="734">
        <v>450000</v>
      </c>
      <c r="D31" s="735">
        <v>6</v>
      </c>
      <c r="E31" s="734">
        <v>290000</v>
      </c>
      <c r="F31" s="734"/>
      <c r="G31" s="734"/>
      <c r="H31" s="734">
        <v>260000</v>
      </c>
      <c r="I31" s="1756">
        <f>((E31+F31)-H31)+G31</f>
        <v>30000</v>
      </c>
      <c r="J31" s="734">
        <v>30000</v>
      </c>
      <c r="K31" s="736"/>
    </row>
    <row r="32" spans="1:11" ht="12" customHeight="1" x14ac:dyDescent="0.2">
      <c r="A32" s="732" t="s">
        <v>2083</v>
      </c>
      <c r="B32" s="733">
        <v>43565</v>
      </c>
      <c r="C32" s="734">
        <v>239700</v>
      </c>
      <c r="D32" s="735">
        <v>3</v>
      </c>
      <c r="E32" s="734"/>
      <c r="F32" s="734">
        <v>239700</v>
      </c>
      <c r="G32" s="734"/>
      <c r="H32" s="734"/>
      <c r="I32" s="1756">
        <f>((E32+F32)-H32)+G32</f>
        <v>239700</v>
      </c>
      <c r="J32" s="734">
        <v>222161</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689700</v>
      </c>
      <c r="D49" s="745"/>
      <c r="E49" s="1756">
        <f t="shared" ref="E49:J49" si="2">SUM(E31:E48)</f>
        <v>290000</v>
      </c>
      <c r="F49" s="1756">
        <f t="shared" si="2"/>
        <v>239700</v>
      </c>
      <c r="G49" s="1756">
        <f t="shared" si="2"/>
        <v>0</v>
      </c>
      <c r="H49" s="1756">
        <f t="shared" si="2"/>
        <v>260000</v>
      </c>
      <c r="I49" s="1756">
        <f t="shared" si="2"/>
        <v>269700</v>
      </c>
      <c r="J49" s="1756">
        <f t="shared" si="2"/>
        <v>252161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topLeftCell="A13"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1812</v>
      </c>
      <c r="K2" s="762" t="s">
        <v>138</v>
      </c>
    </row>
    <row r="3" spans="1:11" x14ac:dyDescent="0.2">
      <c r="A3" s="2221" t="s">
        <v>1962</v>
      </c>
      <c r="B3" s="2222"/>
      <c r="C3" s="2222"/>
      <c r="D3" s="2222"/>
      <c r="E3" s="2223"/>
      <c r="F3" s="763"/>
      <c r="G3" s="764"/>
      <c r="H3" s="764"/>
      <c r="I3" s="764"/>
      <c r="J3" s="765"/>
      <c r="K3" s="765"/>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2851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2" t="s">
        <v>1813</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7"/>
      <c r="G12" s="1758">
        <f>SUM(G5:G11)</f>
        <v>0</v>
      </c>
      <c r="H12" s="1758">
        <f>SUM(H5:H11)</f>
        <v>2851</v>
      </c>
      <c r="I12" s="1758">
        <f>SUM(I5:I11)</f>
        <v>0</v>
      </c>
      <c r="J12" s="1758">
        <f>SUM(J5:J11)</f>
        <v>0</v>
      </c>
      <c r="K12" s="1758">
        <f>SUM(K5:K11)</f>
        <v>0</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v>2851</v>
      </c>
      <c r="I14" s="771"/>
      <c r="J14" s="773"/>
      <c r="K14" s="765"/>
    </row>
    <row r="15" spans="1:11" x14ac:dyDescent="0.2">
      <c r="A15" s="2215" t="s">
        <v>4</v>
      </c>
      <c r="B15" s="2215"/>
      <c r="C15" s="2215"/>
      <c r="D15" s="2215"/>
      <c r="E15" s="2243"/>
      <c r="F15" s="789" t="s">
        <v>855</v>
      </c>
      <c r="G15" s="771"/>
      <c r="H15" s="764"/>
      <c r="I15" s="764"/>
      <c r="J15" s="765"/>
      <c r="K15" s="765"/>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1809</v>
      </c>
      <c r="B19" s="2250"/>
      <c r="C19" s="2250"/>
      <c r="D19" s="2250"/>
      <c r="E19" s="2251"/>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9"/>
      <c r="G21" s="792"/>
      <c r="H21" s="796"/>
      <c r="I21" s="796"/>
      <c r="J21" s="1760">
        <f>SUM(J18:J20)</f>
        <v>0</v>
      </c>
      <c r="K21" s="793"/>
    </row>
    <row r="22" spans="1:11" ht="13.5" thickTop="1" x14ac:dyDescent="0.2">
      <c r="A22" s="2215" t="s">
        <v>1815</v>
      </c>
      <c r="B22" s="2215"/>
      <c r="C22" s="2215"/>
      <c r="D22" s="2215"/>
      <c r="E22" s="2243"/>
      <c r="F22" s="789" t="s">
        <v>862</v>
      </c>
      <c r="G22" s="782"/>
      <c r="H22" s="764"/>
      <c r="I22" s="764"/>
      <c r="J22" s="797"/>
      <c r="K22" s="765"/>
    </row>
    <row r="23" spans="1:11" ht="13.5" thickBot="1" x14ac:dyDescent="0.25">
      <c r="A23" s="2236" t="s">
        <v>906</v>
      </c>
      <c r="B23" s="2235"/>
      <c r="C23" s="2235"/>
      <c r="D23" s="2235"/>
      <c r="E23" s="2235"/>
      <c r="F23" s="1761"/>
      <c r="G23" s="1758">
        <f>SUM(G14:G16,G21,G22)</f>
        <v>0</v>
      </c>
      <c r="H23" s="1758">
        <f>SUM(H14:H16,H21,H22)</f>
        <v>2851</v>
      </c>
      <c r="I23" s="1758">
        <f>SUM(I14:I16,I21,I22)</f>
        <v>0</v>
      </c>
      <c r="J23" s="1758">
        <f>SUM(J14:J16,J21,J22)</f>
        <v>0</v>
      </c>
      <c r="K23" s="1758">
        <f>SUM(K14:K16,K21,K22)</f>
        <v>0</v>
      </c>
    </row>
    <row r="24" spans="1:11" ht="14.25" thickTop="1" thickBot="1" x14ac:dyDescent="0.25">
      <c r="A24" s="2236" t="s">
        <v>1963</v>
      </c>
      <c r="B24" s="2235"/>
      <c r="C24" s="2235"/>
      <c r="D24" s="2235"/>
      <c r="E24" s="223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B1" colorId="8" zoomScale="110" zoomScaleNormal="110" workbookViewId="0">
      <selection activeCell="M6" sqref="M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8000</v>
      </c>
      <c r="D5" s="841"/>
      <c r="E5" s="841"/>
      <c r="F5" s="1760">
        <f>(C5+D5)-E5</f>
        <v>8000</v>
      </c>
      <c r="G5" s="837"/>
      <c r="H5" s="842"/>
      <c r="I5" s="842"/>
      <c r="J5" s="842"/>
      <c r="K5" s="793"/>
      <c r="L5" s="1769">
        <f>F5-K5</f>
        <v>8000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1398274</v>
      </c>
      <c r="D8" s="844">
        <v>6050</v>
      </c>
      <c r="E8" s="844"/>
      <c r="F8" s="1760">
        <f>(C8+D8)-E8</f>
        <v>1404324</v>
      </c>
      <c r="G8" s="843">
        <v>50</v>
      </c>
      <c r="H8" s="765">
        <v>659606</v>
      </c>
      <c r="I8" s="765">
        <v>33077</v>
      </c>
      <c r="J8" s="765"/>
      <c r="K8" s="1769">
        <f>(H8+I8)-J8</f>
        <v>692683</v>
      </c>
      <c r="L8" s="1769">
        <f>F8-K8</f>
        <v>711641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7104</v>
      </c>
      <c r="D10" s="846"/>
      <c r="E10" s="846"/>
      <c r="F10" s="1764">
        <f>(C10+D10)-E10</f>
        <v>7104</v>
      </c>
      <c r="G10" s="843">
        <v>20</v>
      </c>
      <c r="H10" s="847">
        <v>7104</v>
      </c>
      <c r="I10" s="847"/>
      <c r="J10" s="847"/>
      <c r="K10" s="1769">
        <f>(H10+I10)-J10</f>
        <v>7104</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351020</v>
      </c>
      <c r="D12" s="844"/>
      <c r="E12" s="844"/>
      <c r="F12" s="1760">
        <f>(C12+D12)-E12</f>
        <v>351020</v>
      </c>
      <c r="G12" s="843">
        <v>10</v>
      </c>
      <c r="H12" s="765">
        <v>319014</v>
      </c>
      <c r="I12" s="765">
        <v>7242</v>
      </c>
      <c r="J12" s="765"/>
      <c r="K12" s="1769">
        <f>(H12+I12)-J12</f>
        <v>326256</v>
      </c>
      <c r="L12" s="1769">
        <f>F12-K12</f>
        <v>24764</v>
      </c>
    </row>
    <row r="13" spans="1:14" ht="14.25" thickTop="1" thickBot="1" x14ac:dyDescent="0.25">
      <c r="A13" s="848" t="s">
        <v>1122</v>
      </c>
      <c r="B13" s="840">
        <v>252</v>
      </c>
      <c r="C13" s="844">
        <v>47531</v>
      </c>
      <c r="D13" s="844">
        <v>23960</v>
      </c>
      <c r="E13" s="844"/>
      <c r="F13" s="1760">
        <f>(C13+D13)-E13</f>
        <v>71491</v>
      </c>
      <c r="G13" s="843">
        <v>5</v>
      </c>
      <c r="H13" s="765">
        <v>48087</v>
      </c>
      <c r="I13" s="765">
        <v>6136</v>
      </c>
      <c r="J13" s="765"/>
      <c r="K13" s="1769">
        <f>(H13+I13)-J13</f>
        <v>54223</v>
      </c>
      <c r="L13" s="1769">
        <f>F13-K13</f>
        <v>17268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1811929</v>
      </c>
      <c r="D16" s="1760">
        <f>SUM(D3,D5:D6,D8:D10,D12:D15)</f>
        <v>30010</v>
      </c>
      <c r="E16" s="1760">
        <f>SUM(E3,E5:E6,E8:E10,E12:E15)</f>
        <v>0</v>
      </c>
      <c r="F16" s="1760">
        <f>SUM(F3,F5:F6,F8:F10,F12:F15)</f>
        <v>1841939</v>
      </c>
      <c r="G16" s="843"/>
      <c r="H16" s="1760">
        <f>SUM(H3,H6,H8:H10,H12:H14,)</f>
        <v>1033811</v>
      </c>
      <c r="I16" s="1760">
        <f>SUM(I3,I6,I8:I10,I12:I14,)</f>
        <v>46455</v>
      </c>
      <c r="J16" s="1760">
        <f>SUM(J3,J6,J8:J10,J12:J14,)</f>
        <v>0</v>
      </c>
      <c r="K16" s="1760">
        <f>(H16+I16)-J16</f>
        <v>1080266</v>
      </c>
      <c r="L16" s="1760">
        <f>F16-K16</f>
        <v>761673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46455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72"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995949</v>
      </c>
      <c r="G8" s="865"/>
    </row>
    <row r="9" spans="1:7" x14ac:dyDescent="0.2">
      <c r="A9" s="869" t="s">
        <v>460</v>
      </c>
      <c r="B9" s="870" t="s">
        <v>1876</v>
      </c>
      <c r="C9" s="871"/>
      <c r="D9" s="869" t="s">
        <v>501</v>
      </c>
      <c r="E9" s="868"/>
      <c r="F9" s="1909">
        <f>'Expenditures 15-22'!K151</f>
        <v>127568</v>
      </c>
      <c r="G9" s="872"/>
    </row>
    <row r="10" spans="1:7" x14ac:dyDescent="0.2">
      <c r="A10" s="869" t="s">
        <v>499</v>
      </c>
      <c r="B10" s="870" t="s">
        <v>1877</v>
      </c>
      <c r="C10" s="871"/>
      <c r="D10" s="869" t="s">
        <v>501</v>
      </c>
      <c r="E10" s="868"/>
      <c r="F10" s="1909">
        <f>'Expenditures 15-22'!K174</f>
        <v>283763</v>
      </c>
      <c r="G10" s="872"/>
    </row>
    <row r="11" spans="1:7" x14ac:dyDescent="0.2">
      <c r="A11" s="869" t="s">
        <v>461</v>
      </c>
      <c r="B11" s="870" t="s">
        <v>1878</v>
      </c>
      <c r="C11" s="871"/>
      <c r="D11" s="869" t="s">
        <v>501</v>
      </c>
      <c r="E11" s="868"/>
      <c r="F11" s="1909">
        <f>'Expenditures 15-22'!K210</f>
        <v>76601</v>
      </c>
      <c r="G11" s="872"/>
    </row>
    <row r="12" spans="1:7" x14ac:dyDescent="0.2">
      <c r="A12" s="869" t="s">
        <v>462</v>
      </c>
      <c r="B12" s="870" t="s">
        <v>1879</v>
      </c>
      <c r="C12" s="871"/>
      <c r="D12" s="869" t="s">
        <v>501</v>
      </c>
      <c r="E12" s="868"/>
      <c r="F12" s="1909">
        <f>'Expenditures 15-22'!K295</f>
        <v>39515</v>
      </c>
      <c r="G12" s="872"/>
    </row>
    <row r="13" spans="1:7" x14ac:dyDescent="0.2">
      <c r="A13" s="869" t="s">
        <v>106</v>
      </c>
      <c r="B13" s="870" t="s">
        <v>1880</v>
      </c>
      <c r="C13" s="871"/>
      <c r="D13" s="869" t="s">
        <v>501</v>
      </c>
      <c r="E13" s="868"/>
      <c r="F13" s="1909">
        <f>'Expenditures 15-22'!K342</f>
        <v>30296</v>
      </c>
      <c r="G13" s="873"/>
    </row>
    <row r="14" spans="1:7" ht="12" customHeight="1" thickBot="1" x14ac:dyDescent="0.25">
      <c r="A14" s="1770"/>
      <c r="B14" s="1771"/>
      <c r="C14" s="1772"/>
      <c r="D14" s="1773" t="s">
        <v>501</v>
      </c>
      <c r="E14" s="1774" t="s">
        <v>958</v>
      </c>
      <c r="F14" s="1775">
        <f>SUM(F8:F13)</f>
        <v>1553692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28634</v>
      </c>
      <c r="G53" s="865"/>
    </row>
    <row r="54" spans="1:7" x14ac:dyDescent="0.2">
      <c r="A54" s="869" t="s">
        <v>459</v>
      </c>
      <c r="B54" s="869" t="s">
        <v>1476</v>
      </c>
      <c r="C54" s="889" t="s">
        <v>982</v>
      </c>
      <c r="D54" s="885" t="s">
        <v>1095</v>
      </c>
      <c r="E54" s="868"/>
      <c r="F54" s="1913">
        <f>'Expenditures 15-22'!G114</f>
        <v>1500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2150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260000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292284</v>
      </c>
      <c r="G76" s="865"/>
    </row>
    <row r="77" spans="1:8" s="893" customFormat="1" ht="12" customHeight="1" thickTop="1" thickBot="1" x14ac:dyDescent="0.25">
      <c r="A77" s="1779"/>
      <c r="B77" s="1776"/>
      <c r="C77" s="1772"/>
      <c r="D77" s="1777" t="s">
        <v>1899</v>
      </c>
      <c r="E77" s="1774"/>
      <c r="F77" s="1780">
        <f>(F14-F76)</f>
        <v>1261408</v>
      </c>
      <c r="G77" s="869"/>
    </row>
    <row r="78" spans="1:8" s="893" customFormat="1" ht="12" customHeight="1" thickTop="1" x14ac:dyDescent="0.2">
      <c r="A78" s="1781"/>
      <c r="B78" s="1776"/>
      <c r="C78" s="1772"/>
      <c r="D78" s="1777" t="s">
        <v>2060</v>
      </c>
      <c r="E78" s="1774"/>
      <c r="F78" s="898">
        <v>111.3</v>
      </c>
      <c r="G78" s="899"/>
      <c r="H78" s="869"/>
    </row>
    <row r="79" spans="1:8" s="893" customFormat="1" ht="12" customHeight="1" thickBot="1" x14ac:dyDescent="0.25">
      <c r="A79" s="1782"/>
      <c r="B79" s="1776"/>
      <c r="C79" s="1772"/>
      <c r="D79" s="1777" t="s">
        <v>1900</v>
      </c>
      <c r="E79" s="1774" t="s">
        <v>958</v>
      </c>
      <c r="F79" s="1783">
        <f>IF(F78&gt;0,F77/F78," Complete Line 78")</f>
        <v>11333.40521114106</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21552</v>
      </c>
      <c r="G94" s="912"/>
    </row>
    <row r="95" spans="1:7" x14ac:dyDescent="0.2">
      <c r="A95" s="908" t="s">
        <v>140</v>
      </c>
      <c r="B95" s="908" t="s">
        <v>175</v>
      </c>
      <c r="C95" s="910">
        <v>1700</v>
      </c>
      <c r="D95" s="918" t="str">
        <f>'Revenues 9-14'!A82</f>
        <v>Total District/School Activity Income</v>
      </c>
      <c r="E95" s="906"/>
      <c r="F95" s="1789">
        <f>SUM('Revenues 9-14'!C82,'Revenues 9-14'!D82)</f>
        <v>17971</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587</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47511</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39223</v>
      </c>
      <c r="G124" s="930"/>
    </row>
    <row r="125" spans="1:7" x14ac:dyDescent="0.2">
      <c r="A125" s="927" t="s">
        <v>664</v>
      </c>
      <c r="B125" s="927" t="s">
        <v>2021</v>
      </c>
      <c r="C125" s="932">
        <v>4200</v>
      </c>
      <c r="D125" s="929" t="str">
        <f>'Revenues 9-14'!A198</f>
        <v>Total Food Service</v>
      </c>
      <c r="E125" s="906"/>
      <c r="F125" s="1789">
        <f>SUM('Revenues 9-14'!C198,'Revenues 9-14'!G198)</f>
        <v>32612</v>
      </c>
      <c r="G125" s="930"/>
    </row>
    <row r="126" spans="1:7" x14ac:dyDescent="0.2">
      <c r="A126" s="927" t="s">
        <v>668</v>
      </c>
      <c r="B126" s="927" t="s">
        <v>2022</v>
      </c>
      <c r="C126" s="932">
        <v>4300</v>
      </c>
      <c r="D126" s="933" t="str">
        <f>'Revenues 9-14'!A204</f>
        <v>Total Title I</v>
      </c>
      <c r="E126" s="906"/>
      <c r="F126" s="1789">
        <f>SUM('Revenues 9-14'!C204,'Revenues 9-14'!D204,'Revenues 9-14'!F204,'Revenues 9-14'!G204)</f>
        <v>60358</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6027</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2122</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1964</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229927</v>
      </c>
    </row>
    <row r="175" spans="1:7" ht="12" customHeight="1" x14ac:dyDescent="0.2">
      <c r="A175" s="1770"/>
      <c r="B175" s="1784"/>
      <c r="C175" s="1785"/>
      <c r="D175" s="1786" t="s">
        <v>2055</v>
      </c>
      <c r="E175" s="1787"/>
      <c r="F175" s="1789">
        <f>'PCTC-OEPP 27-28'!F77-F174</f>
        <v>1031481</v>
      </c>
    </row>
    <row r="176" spans="1:7" ht="12" customHeight="1" x14ac:dyDescent="0.2">
      <c r="A176" s="1770"/>
      <c r="B176" s="1784"/>
      <c r="C176" s="1785"/>
      <c r="D176" s="1786" t="s">
        <v>1817</v>
      </c>
      <c r="E176" s="1787"/>
      <c r="F176" s="1789">
        <f>'Cap Outlay Deprec 26'!I18</f>
        <v>46455</v>
      </c>
    </row>
    <row r="177" spans="1:7" ht="12" customHeight="1" x14ac:dyDescent="0.2">
      <c r="A177" s="1770"/>
      <c r="B177" s="1784"/>
      <c r="C177" s="1785"/>
      <c r="D177" s="1786" t="s">
        <v>2056</v>
      </c>
      <c r="E177" s="1787"/>
      <c r="F177" s="1789">
        <f>F175+F176</f>
        <v>1077936</v>
      </c>
    </row>
    <row r="178" spans="1:7" ht="12" customHeight="1" x14ac:dyDescent="0.2">
      <c r="A178" s="1770"/>
      <c r="B178" s="1790"/>
      <c r="C178" s="1785"/>
      <c r="D178" s="1786" t="str">
        <f>D78</f>
        <v>9 Month ADA from District Average Daily Attendance/Prior General State Aid Inquiry 2018-2019</v>
      </c>
      <c r="E178" s="1787"/>
      <c r="F178" s="1791">
        <f>'PCTC-OEPP 27-28'!F78</f>
        <v>111.3</v>
      </c>
      <c r="G178" s="930"/>
    </row>
    <row r="179" spans="1:7" ht="12" customHeight="1" thickBot="1" x14ac:dyDescent="0.25">
      <c r="A179" s="1770"/>
      <c r="B179" s="1790"/>
      <c r="C179" s="1785"/>
      <c r="D179" s="1786" t="s">
        <v>2057</v>
      </c>
      <c r="E179" s="1787" t="s">
        <v>1545</v>
      </c>
      <c r="F179" s="1792">
        <f>F177/F178</f>
        <v>9684.959568733153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topLeftCell="A13" zoomScaleNormal="100" workbookViewId="0">
      <selection activeCell="B43" sqref="B4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534" t="s">
        <v>1819</v>
      </c>
      <c r="B6" s="1535"/>
      <c r="C6" s="1535"/>
      <c r="D6" s="1535"/>
      <c r="E6" s="1535"/>
      <c r="F6" s="1535"/>
      <c r="G6" s="1536"/>
    </row>
    <row r="7" spans="1:7" ht="30.75" customHeight="1" x14ac:dyDescent="0.25">
      <c r="A7" s="2277" t="s">
        <v>1931</v>
      </c>
      <c r="B7" s="2278"/>
      <c r="C7" s="2278"/>
      <c r="D7" s="2278"/>
      <c r="E7" s="2278"/>
      <c r="F7" s="2278"/>
      <c r="G7" s="2279"/>
    </row>
    <row r="8" spans="1:7" ht="15.75" customHeight="1" x14ac:dyDescent="0.25">
      <c r="A8" s="2280" t="s">
        <v>1906</v>
      </c>
      <c r="B8" s="2281"/>
      <c r="C8" s="2281"/>
      <c r="D8" s="2281"/>
      <c r="E8" s="2281"/>
      <c r="F8" s="2281"/>
      <c r="G8" s="2282"/>
    </row>
    <row r="9" spans="1:7" ht="35.25" customHeight="1" x14ac:dyDescent="0.25">
      <c r="A9" s="2277" t="s">
        <v>2063</v>
      </c>
      <c r="B9" s="2278"/>
      <c r="C9" s="2278"/>
      <c r="D9" s="2278"/>
      <c r="E9" s="2278"/>
      <c r="F9" s="2278"/>
      <c r="G9" s="2279"/>
    </row>
    <row r="10" spans="1:7" ht="15" customHeight="1" x14ac:dyDescent="0.25">
      <c r="A10" s="1537" t="s">
        <v>1820</v>
      </c>
      <c r="B10" s="1538"/>
      <c r="C10" s="1538"/>
      <c r="D10" s="1538"/>
      <c r="E10" s="1538"/>
      <c r="F10" s="1538"/>
      <c r="G10" s="1539"/>
    </row>
    <row r="11" spans="1:7" ht="17.25" customHeight="1" x14ac:dyDescent="0.25">
      <c r="A11" s="2277" t="s">
        <v>1933</v>
      </c>
      <c r="B11" s="2278"/>
      <c r="C11" s="2278"/>
      <c r="D11" s="2278"/>
      <c r="E11" s="2278"/>
      <c r="F11" s="2278"/>
      <c r="G11" s="2279"/>
    </row>
    <row r="12" spans="1:7" ht="15" customHeight="1" x14ac:dyDescent="0.25">
      <c r="A12" s="1537" t="s">
        <v>1825</v>
      </c>
      <c r="B12" s="1538"/>
      <c r="C12" s="1538"/>
      <c r="D12" s="1538"/>
      <c r="E12" s="1538"/>
      <c r="F12" s="1538"/>
      <c r="G12" s="1539"/>
    </row>
    <row r="13" spans="1:7" ht="32.25" customHeight="1" x14ac:dyDescent="0.25">
      <c r="A13" s="2268" t="s">
        <v>1974</v>
      </c>
      <c r="B13" s="2269"/>
      <c r="C13" s="2269"/>
      <c r="D13" s="2269"/>
      <c r="E13" s="2269"/>
      <c r="F13" s="2269"/>
      <c r="G13" s="2270"/>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2095</v>
      </c>
      <c r="B17" s="1939" t="s">
        <v>2094</v>
      </c>
      <c r="C17" s="1940" t="s">
        <v>2096</v>
      </c>
      <c r="D17" s="1941">
        <v>955</v>
      </c>
      <c r="E17" s="1540">
        <f t="shared" ref="E17:E141" si="0">IF(D17&lt;=25000,D17,IF(D17&gt;25000,25000,0))</f>
        <v>955</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955</v>
      </c>
      <c r="G17" s="1793">
        <f>IF(F17=0,0,D17-F17)</f>
        <v>0</v>
      </c>
      <c r="H17" s="1647"/>
    </row>
    <row r="18" spans="1:8" x14ac:dyDescent="0.25">
      <c r="A18" s="1938" t="s">
        <v>2095</v>
      </c>
      <c r="B18" s="1939" t="s">
        <v>2094</v>
      </c>
      <c r="C18" s="1940" t="s">
        <v>2093</v>
      </c>
      <c r="D18" s="1941">
        <v>630</v>
      </c>
      <c r="E18" s="1540">
        <f t="shared" ref="E18:E140" si="2">IF(D18&lt;=25000,D18,IF(D18&gt;25000,25000,0))</f>
        <v>630</v>
      </c>
      <c r="F18" s="1932">
        <f t="shared" si="1"/>
        <v>630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1585</v>
      </c>
      <c r="E141" s="1541">
        <f t="shared" si="0"/>
        <v>1585</v>
      </c>
      <c r="F141" s="1933">
        <f>SUM(F17:F140)</f>
        <v>1585</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35006</v>
      </c>
      <c r="F10" s="974"/>
      <c r="G10" s="975"/>
      <c r="H10" s="162"/>
      <c r="I10" s="162"/>
    </row>
    <row r="11" spans="1:9" s="668" customFormat="1" ht="22.5" customHeight="1" x14ac:dyDescent="0.2">
      <c r="A11" s="2288" t="s">
        <v>1975</v>
      </c>
      <c r="B11" s="2289"/>
      <c r="C11" s="2289"/>
      <c r="D11" s="2290"/>
      <c r="E11" s="977">
        <v>5804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714007</v>
      </c>
      <c r="F19" s="1799"/>
      <c r="G19" s="1801">
        <f>'Expenditures 15-22'!K33-SUM('Expenditures 15-22'!G33,'Expenditures 15-22'!I33)+'Expenditures 15-22'!D229</f>
        <v>714007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14404</v>
      </c>
      <c r="F21" s="1802"/>
      <c r="G21" s="1805">
        <f>'Expenditures 15-22'!K42-SUM('Expenditures 15-22'!G42,'Expenditures 15-22'!I42)+'Expenditures 15-22'!K120-SUM('Expenditures 15-22'!G120,'Expenditures 15-22'!I120)+'Expenditures 15-22'!K180-SUM('Expenditures 15-22'!G180,'Expenditures 15-22'!I180)+'Expenditures 15-22'!D238</f>
        <v>14404</v>
      </c>
      <c r="H21" s="987"/>
      <c r="I21" s="162"/>
    </row>
    <row r="22" spans="1:9" s="668" customFormat="1" ht="12" customHeight="1" x14ac:dyDescent="0.2">
      <c r="A22" s="994" t="s">
        <v>564</v>
      </c>
      <c r="B22" s="995"/>
      <c r="C22" s="993">
        <v>2200</v>
      </c>
      <c r="D22" s="1802"/>
      <c r="E22" s="1804">
        <f>'Expenditures 15-22'!K47-SUM('Expenditures 15-22'!G47,'Expenditures 15-22'!I47)+'Expenditures 15-22'!D243</f>
        <v>12541</v>
      </c>
      <c r="F22" s="1802"/>
      <c r="G22" s="1805">
        <f>'Expenditures 15-22'!K47-SUM('Expenditures 15-22'!G47,'Expenditures 15-22'!I47)+'Expenditures 15-22'!D243</f>
        <v>12541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119736</v>
      </c>
      <c r="F23" s="1802"/>
      <c r="G23" s="1804">
        <f>'Expenditures 15-22'!K53-SUM('Expenditures 15-22'!G53,'Expenditures 15-22'!I53)+'Expenditures 15-22'!D257+'Expenditures 15-22'!K330-SUM('Expenditures 15-22'!G330,'Expenditures 15-22'!I330)</f>
        <v>119736</v>
      </c>
      <c r="H23" s="987"/>
      <c r="I23" s="162"/>
    </row>
    <row r="24" spans="1:9" s="668" customFormat="1" ht="12" customHeight="1" x14ac:dyDescent="0.2">
      <c r="A24" s="994" t="s">
        <v>566</v>
      </c>
      <c r="B24" s="995"/>
      <c r="C24" s="993">
        <v>2400</v>
      </c>
      <c r="D24" s="1802"/>
      <c r="E24" s="1804">
        <f>'Expenditures 15-22'!K57-SUM('Expenditures 15-22'!G57,'Expenditures 15-22'!I57)+'Expenditures 15-22'!D261</f>
        <v>88160</v>
      </c>
      <c r="F24" s="1802"/>
      <c r="G24" s="1805">
        <f>'Expenditures 15-22'!K57-SUM('Expenditures 15-22'!G57,'Expenditures 15-22'!I57)+'Expenditures 15-22'!D261</f>
        <v>88160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133264</v>
      </c>
      <c r="F28" s="1806">
        <f>'Expenditures 15-22'!K61-SUM('Expenditures 15-22'!G61,'Expenditures 15-22'!I61)+'Expenditures 15-22'!K124-SUM('Expenditures 15-22'!G124,'Expenditures 15-22'!I124)+'Expenditures 15-22'!D266-E9</f>
        <v>133264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76601</v>
      </c>
      <c r="F29" s="1802"/>
      <c r="G29" s="1805">
        <f>'Expenditures 15-22'!K62-SUM('Expenditures 15-22'!G62,'Expenditures 15-22'!I62)+'Expenditures 15-22'!K125-SUM('Expenditures 15-22'!G125,'Expenditures 15-22'!I125)+'Expenditures 15-22'!K182-SUM('Expenditures 15-22'!G182,'Expenditures 15-22'!I182)+'Expenditures 15-22'!D267</f>
        <v>76601</v>
      </c>
      <c r="H29" s="985"/>
    </row>
    <row r="30" spans="1:9" ht="12" customHeight="1" x14ac:dyDescent="0.2">
      <c r="A30" s="994" t="s">
        <v>100</v>
      </c>
      <c r="B30" s="997"/>
      <c r="C30" s="993">
        <v>2560</v>
      </c>
      <c r="D30" s="1802"/>
      <c r="E30" s="1804">
        <f>'Expenditures 15-22'!K63-SUM('Expenditures 15-22'!G63,'Expenditures 15-22'!I63)+'Expenditures 15-22'!D268-E10</f>
        <v>43926</v>
      </c>
      <c r="F30" s="1802"/>
      <c r="G30" s="1804">
        <f>'Expenditures 15-22'!K63-SUM('Expenditures 15-22'!G63,'Expenditures 15-22'!I63)+'Expenditures 15-22'!D268-E10</f>
        <v>43926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0</v>
      </c>
      <c r="E41" s="1806">
        <f>SUM(E19:E40)</f>
        <v>1202639</v>
      </c>
      <c r="F41" s="1806">
        <f>SUM(F19:F39)</f>
        <v>133264</v>
      </c>
      <c r="G41" s="1806">
        <f>SUM(G19:G40)</f>
        <v>1069375</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0</v>
      </c>
      <c r="F43" s="1807" t="s">
        <v>473</v>
      </c>
      <c r="G43" s="1808">
        <f>F41</f>
        <v>133264</v>
      </c>
    </row>
    <row r="44" spans="1:7" ht="12" customHeight="1" x14ac:dyDescent="0.2">
      <c r="A44" s="987"/>
      <c r="B44" s="162"/>
      <c r="C44" s="1001"/>
      <c r="D44" s="1807" t="s">
        <v>474</v>
      </c>
      <c r="E44" s="1808">
        <f>E41</f>
        <v>1202639</v>
      </c>
      <c r="F44" s="1807" t="s">
        <v>474</v>
      </c>
      <c r="G44" s="1808">
        <f>G41</f>
        <v>1069375</v>
      </c>
    </row>
    <row r="45" spans="1:7" ht="12" customHeight="1" x14ac:dyDescent="0.2">
      <c r="A45" s="987"/>
      <c r="B45" s="162"/>
      <c r="C45" s="162"/>
      <c r="D45" s="1809" t="s">
        <v>1006</v>
      </c>
      <c r="E45" s="1810">
        <f>(E43/E44)</f>
        <v>0</v>
      </c>
      <c r="F45" s="1809" t="s">
        <v>1006</v>
      </c>
      <c r="G45" s="1810">
        <f>(G43/G44)</f>
        <v>0.12461858562244302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7" activePane="bottomLeft" state="frozen"/>
      <selection activeCell="A47" sqref="A47"/>
      <selection pane="bottomLeft" activeCell="E15" sqref="E1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4" t="s">
        <v>1379</v>
      </c>
      <c r="B1" s="2294"/>
      <c r="C1" s="2294"/>
      <c r="D1" s="2294"/>
      <c r="E1" s="2294"/>
      <c r="F1" s="2294"/>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5" t="s">
        <v>1546</v>
      </c>
      <c r="B5" s="2296"/>
      <c r="C5" s="2297"/>
      <c r="D5" s="2297"/>
      <c r="E5" s="2297"/>
      <c r="F5" s="2297"/>
    </row>
    <row r="6" spans="1:10" ht="12" customHeight="1" x14ac:dyDescent="0.25">
      <c r="A6" s="1850"/>
      <c r="B6" s="1851"/>
      <c r="C6" s="2298" t="str">
        <f>COVER!A17</f>
        <v>Cornell CCSD 426</v>
      </c>
      <c r="D6" s="2298"/>
      <c r="E6" s="2298"/>
      <c r="F6" s="1852"/>
    </row>
    <row r="7" spans="1:10" ht="11.25" customHeight="1" thickBot="1" x14ac:dyDescent="0.3">
      <c r="A7" s="1850"/>
      <c r="B7" s="1851"/>
      <c r="C7" s="2299">
        <f>COVER!A13</f>
        <v>17053426004</v>
      </c>
      <c r="D7" s="2299"/>
      <c r="E7" s="2299"/>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t="s">
        <v>2073</v>
      </c>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t="s">
        <v>2073</v>
      </c>
      <c r="D23" s="1865" t="s">
        <v>2073</v>
      </c>
      <c r="E23" s="1868"/>
      <c r="F23" s="1867" t="s">
        <v>2084</v>
      </c>
      <c r="H23" s="1878">
        <f t="shared" si="0"/>
        <v>5</v>
      </c>
      <c r="I23" s="1878">
        <f t="shared" si="1"/>
        <v>5</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2073</v>
      </c>
      <c r="D25" s="1865" t="s">
        <v>2073</v>
      </c>
      <c r="E25" s="1868"/>
      <c r="F25" s="1867" t="s">
        <v>2085</v>
      </c>
      <c r="H25" s="1878">
        <f t="shared" si="0"/>
        <v>5</v>
      </c>
      <c r="I25" s="1878">
        <f t="shared" si="1"/>
        <v>5</v>
      </c>
      <c r="J25" s="1878">
        <f t="shared" si="2"/>
        <v>0</v>
      </c>
    </row>
    <row r="26" spans="1:12" ht="12" customHeight="1" x14ac:dyDescent="0.2">
      <c r="A26" s="1863" t="s">
        <v>1534</v>
      </c>
      <c r="B26" s="1864"/>
      <c r="C26" s="1865" t="s">
        <v>2073</v>
      </c>
      <c r="D26" s="1865" t="s">
        <v>2073</v>
      </c>
      <c r="E26" s="1868"/>
      <c r="F26" s="1867" t="s">
        <v>2086</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c r="F30" s="1867" t="s">
        <v>2087</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302"/>
      <c r="B43" s="2303"/>
      <c r="C43" s="2303"/>
      <c r="D43" s="2303"/>
      <c r="E43" s="2303"/>
      <c r="F43" s="2304"/>
      <c r="H43" s="1879"/>
      <c r="I43" s="1879"/>
      <c r="J43" s="1879"/>
      <c r="K43" s="1879"/>
    </row>
    <row r="44" spans="1:11" s="1870" customFormat="1" ht="12" hidden="1" customHeight="1" x14ac:dyDescent="0.25">
      <c r="A44" s="2302"/>
      <c r="B44" s="2303"/>
      <c r="C44" s="2303"/>
      <c r="D44" s="2303"/>
      <c r="E44" s="2303"/>
      <c r="F44" s="230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B40" sqref="B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Cornell CCSD 426</v>
      </c>
      <c r="J6" s="2319"/>
      <c r="Q6" s="1664"/>
    </row>
    <row r="7" spans="1:17" x14ac:dyDescent="0.2">
      <c r="A7" s="2320" t="s">
        <v>869</v>
      </c>
      <c r="B7" s="2321"/>
      <c r="C7" s="2321"/>
      <c r="D7" s="2321"/>
      <c r="E7" s="2322"/>
      <c r="F7" s="1017"/>
      <c r="G7" s="1009"/>
      <c r="H7" s="1016" t="s">
        <v>372</v>
      </c>
      <c r="I7" s="2323">
        <f>COVER!A13</f>
        <v>17053426004</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75717</v>
      </c>
      <c r="F12" s="1039"/>
      <c r="G12" s="1811">
        <f t="shared" ref="G12:G18" si="0">SUM(E12:F12)</f>
        <v>75717</v>
      </c>
      <c r="H12" s="1040">
        <v>81290</v>
      </c>
      <c r="I12" s="1039"/>
      <c r="J12" s="1811">
        <f t="shared" ref="J12:J18" si="1">SUM(H12:I12)</f>
        <v>81290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75717</v>
      </c>
      <c r="F19" s="1813">
        <f t="shared" si="2"/>
        <v>0</v>
      </c>
      <c r="G19" s="1813">
        <f t="shared" si="2"/>
        <v>75717</v>
      </c>
      <c r="H19" s="1813">
        <f t="shared" si="2"/>
        <v>81290</v>
      </c>
      <c r="I19" s="1813">
        <f t="shared" si="2"/>
        <v>0</v>
      </c>
      <c r="J19" s="1813">
        <f t="shared" si="2"/>
        <v>81290</v>
      </c>
    </row>
    <row r="20" spans="1:10" ht="13.5" thickTop="1" x14ac:dyDescent="0.2">
      <c r="A20" s="1035">
        <v>9</v>
      </c>
      <c r="B20" s="2330" t="s">
        <v>1979</v>
      </c>
      <c r="C20" s="2330"/>
      <c r="D20" s="2331"/>
      <c r="E20" s="1046"/>
      <c r="F20" s="1046"/>
      <c r="G20" s="1046"/>
      <c r="H20" s="1046"/>
      <c r="I20" s="1046"/>
      <c r="J20" s="1814">
        <f>IF(AND(G19&gt;0,J19&gt;0),(((J19-G19)/G19)),"Enter Budget Data")</f>
        <v>7.3603021778464547E-2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t="s">
        <v>2073</v>
      </c>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B8" sqref="B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37" t="s">
        <v>2088</v>
      </c>
    </row>
    <row r="6" spans="1:2" x14ac:dyDescent="0.2">
      <c r="A6" s="1068">
        <v>2</v>
      </c>
      <c r="B6" s="1937" t="s">
        <v>2089</v>
      </c>
    </row>
    <row r="7" spans="1:2" x14ac:dyDescent="0.2">
      <c r="A7" s="1068">
        <v>3</v>
      </c>
      <c r="B7" s="1937" t="s">
        <v>2097</v>
      </c>
    </row>
    <row r="8" spans="1:2" x14ac:dyDescent="0.2">
      <c r="A8" s="1068">
        <v>4</v>
      </c>
      <c r="B8" s="1937" t="s">
        <v>2090</v>
      </c>
    </row>
    <row r="9" spans="1:2" x14ac:dyDescent="0.2">
      <c r="A9" s="1068">
        <v>5</v>
      </c>
      <c r="B9" s="1937" t="s">
        <v>2091</v>
      </c>
    </row>
    <row r="10" spans="1:2" x14ac:dyDescent="0.2">
      <c r="A10" s="1068">
        <v>6</v>
      </c>
      <c r="B10" s="329" t="s">
        <v>2092</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Cornell CCSD 426</v>
      </c>
    </row>
    <row r="65" spans="2:2" x14ac:dyDescent="0.2">
      <c r="B65" s="1070">
        <f>COVER!A13</f>
        <v>17053426004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8:F27"/>
  <sheetViews>
    <sheetView showGridLines="0" zoomScale="110" zoomScaleNormal="110" workbookViewId="0">
      <selection activeCell="C3" sqref="C3"/>
    </sheetView>
  </sheetViews>
  <sheetFormatPr defaultRowHeight="12.75" x14ac:dyDescent="0.2"/>
  <cols>
    <col min="1" max="1" width="1.85546875" style="329" customWidth="1"/>
    <col min="2" max="2" width="59.7109375" style="329" customWidth="1"/>
    <col min="3" max="16384" width="9.140625" style="329"/>
  </cols>
  <sheetData>
    <row r="18" spans="1:6" x14ac:dyDescent="0.2">
      <c r="B18" s="1071"/>
      <c r="C18" s="1071"/>
      <c r="D18" s="1071"/>
      <c r="E18" s="1071"/>
      <c r="F18" s="1071"/>
    </row>
    <row r="22" spans="1:6" x14ac:dyDescent="0.2">
      <c r="A22" s="1072" t="s">
        <v>1493</v>
      </c>
    </row>
    <row r="24" spans="1:6" x14ac:dyDescent="0.2">
      <c r="A24" s="389" t="s">
        <v>857</v>
      </c>
    </row>
    <row r="25" spans="1:6" s="1071" customFormat="1" ht="45" customHeight="1" x14ac:dyDescent="0.2">
      <c r="A25" s="1073"/>
      <c r="B25" s="1073" t="s">
        <v>1684</v>
      </c>
    </row>
    <row r="26" spans="1:6" ht="6" customHeight="1" x14ac:dyDescent="0.2"/>
    <row r="27" spans="1:6" ht="24.75" customHeight="1" x14ac:dyDescent="0.2">
      <c r="A27" s="2337" t="s">
        <v>1685</v>
      </c>
      <c r="B27" s="2337"/>
    </row>
  </sheetData>
  <sheetProtection selectLockedCells="1"/>
  <mergeCells count="1">
    <mergeCell ref="A27:B27"/>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8">
          <objectPr defaultSize="0" r:id="rId7">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8"/>
      </mc:Fallback>
    </mc:AlternateContent>
    <mc:AlternateContent xmlns:mc="http://schemas.openxmlformats.org/markup-compatibility/2006">
      <mc:Choice Requires="x14">
        <oleObject progId="AcroExch.Document.DC" dvAspect="DVASPECT_ICON" shapeId="50180" r:id="rId9">
          <objectPr defaultSize="0" r:id="rId7">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1155935</v>
      </c>
      <c r="C8" s="1815">
        <f>'Acct Summary 7-8'!D8</f>
        <v>109700</v>
      </c>
      <c r="D8" s="1815">
        <f>'Acct Summary 7-8'!F8</f>
        <v>126843</v>
      </c>
      <c r="E8" s="1815">
        <f>'Acct Summary 7-8'!I8</f>
        <v>3073</v>
      </c>
      <c r="F8" s="1815">
        <f>SUM(B8:E8)</f>
        <v>1395551</v>
      </c>
    </row>
    <row r="9" spans="1:8" s="1079" customFormat="1" ht="14.25" customHeight="1" thickBot="1" x14ac:dyDescent="0.25">
      <c r="A9" s="1078" t="s">
        <v>1369</v>
      </c>
      <c r="B9" s="1816">
        <f>'Acct Summary 7-8'!C17</f>
        <v>995949</v>
      </c>
      <c r="C9" s="1816">
        <f>'Acct Summary 7-8'!D17</f>
        <v>127568</v>
      </c>
      <c r="D9" s="1816">
        <f>'Acct Summary 7-8'!F17</f>
        <v>76601</v>
      </c>
      <c r="E9" s="1815"/>
      <c r="F9" s="1815">
        <f>SUM(B9:E9)</f>
        <v>1200118</v>
      </c>
    </row>
    <row r="10" spans="1:8" s="1079" customFormat="1" ht="14.25" thickTop="1" thickBot="1" x14ac:dyDescent="0.25">
      <c r="A10" s="1080" t="s">
        <v>1370</v>
      </c>
      <c r="B10" s="1817">
        <f>(B8-B9)</f>
        <v>159986</v>
      </c>
      <c r="C10" s="1817">
        <f>(C8-C9)</f>
        <v>-17868</v>
      </c>
      <c r="D10" s="1817">
        <f>(D8-D9)</f>
        <v>50242</v>
      </c>
      <c r="E10" s="1816">
        <f>(E8-E9)</f>
        <v>3073</v>
      </c>
      <c r="F10" s="1818">
        <f>SUM(F8-F9)</f>
        <v>195433</v>
      </c>
    </row>
    <row r="11" spans="1:8" s="1079" customFormat="1" ht="14.25" thickTop="1" thickBot="1" x14ac:dyDescent="0.25">
      <c r="A11" s="1081" t="s">
        <v>1983</v>
      </c>
      <c r="B11" s="1819">
        <f>'Acct Summary 7-8'!C81</f>
        <v>911597</v>
      </c>
      <c r="C11" s="1819">
        <f>'Acct Summary 7-8'!D81</f>
        <v>840</v>
      </c>
      <c r="D11" s="1819">
        <f>'Acct Summary 7-8'!F81</f>
        <v>171960</v>
      </c>
      <c r="E11" s="1819">
        <f>'Acct Summary 7-8'!I81</f>
        <v>0</v>
      </c>
      <c r="F11" s="1820">
        <f>SUM(B11:E11)</f>
        <v>1084397</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50"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17053426004</v>
      </c>
    </row>
    <row r="3" spans="1:2" x14ac:dyDescent="0.2">
      <c r="A3" t="s">
        <v>956</v>
      </c>
      <c r="B3" s="138" t="str">
        <f>COVER!A15</f>
        <v>Livingston</v>
      </c>
    </row>
    <row r="4" spans="1:2" x14ac:dyDescent="0.2">
      <c r="A4" t="s">
        <v>1007</v>
      </c>
      <c r="B4" s="138" t="str">
        <f>COVER!A17</f>
        <v>Cornell CCSD 426</v>
      </c>
    </row>
    <row r="5" spans="1:2" x14ac:dyDescent="0.2">
      <c r="A5" t="s">
        <v>704</v>
      </c>
      <c r="B5" s="138" t="str">
        <f>COVER!A38</f>
        <v>Geoff Schoonover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36251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911597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848993</v>
      </c>
      <c r="D92" s="2" t="str">
        <f t="shared" si="0"/>
        <v>Error?</v>
      </c>
    </row>
    <row r="93" spans="1:4" x14ac:dyDescent="0.2">
      <c r="A93" s="5">
        <v>32</v>
      </c>
      <c r="B93" s="138">
        <f>'Assets-Liab 5-6'!C41</f>
        <v>911597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840</v>
      </c>
      <c r="D123" s="2" t="str">
        <f t="shared" si="0"/>
        <v>Error?</v>
      </c>
    </row>
    <row r="124" spans="1:4" x14ac:dyDescent="0.2">
      <c r="A124" s="5">
        <v>63</v>
      </c>
      <c r="B124" s="138">
        <f>'Assets-Liab 5-6'!D41</f>
        <v>840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17539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17539</v>
      </c>
      <c r="D140" s="2" t="str">
        <f t="shared" si="1"/>
        <v>Error?</v>
      </c>
    </row>
    <row r="141" spans="1:4" x14ac:dyDescent="0.2">
      <c r="A141" s="5">
        <v>80</v>
      </c>
      <c r="B141" s="138">
        <f>'Assets-Liab 5-6'!E41</f>
        <v>17539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171960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171960</v>
      </c>
      <c r="D170" s="2" t="str">
        <f t="shared" si="1"/>
        <v>Error?</v>
      </c>
    </row>
    <row r="171" spans="1:4" x14ac:dyDescent="0.2">
      <c r="A171" s="5">
        <v>110</v>
      </c>
      <c r="B171" s="138">
        <f>'Assets-Liab 5-6'!F41</f>
        <v>171960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46724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16029</v>
      </c>
      <c r="D189" s="2" t="str">
        <f t="shared" si="1"/>
        <v>Error?</v>
      </c>
    </row>
    <row r="190" spans="1:4" x14ac:dyDescent="0.2">
      <c r="A190" s="5">
        <v>129</v>
      </c>
      <c r="B190" s="138">
        <f>'Assets-Liab 5-6'!G41</f>
        <v>46724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13503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13503</v>
      </c>
      <c r="D212" s="2" t="str">
        <f t="shared" si="2"/>
        <v>Error?</v>
      </c>
    </row>
    <row r="213" spans="1:4" x14ac:dyDescent="0.2">
      <c r="A213" s="12">
        <v>152</v>
      </c>
      <c r="B213" s="138">
        <f>'Assets-Liab 5-6'!H41</f>
        <v>13503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8000</v>
      </c>
      <c r="D273" s="2" t="str">
        <f t="shared" si="3"/>
        <v>Error?</v>
      </c>
    </row>
    <row r="274" spans="1:4" x14ac:dyDescent="0.2">
      <c r="A274" s="5">
        <v>213</v>
      </c>
      <c r="B274" s="138">
        <f>'Assets-Liab 5-6'!M17</f>
        <v>711641</v>
      </c>
      <c r="D274" s="2" t="str">
        <f t="shared" si="3"/>
        <v>Error?</v>
      </c>
    </row>
    <row r="275" spans="1:4" x14ac:dyDescent="0.2">
      <c r="A275" s="5">
        <v>214</v>
      </c>
      <c r="B275" s="138">
        <f>'Assets-Liab 5-6'!M18</f>
        <v>0</v>
      </c>
      <c r="D275" s="2" t="str">
        <f t="shared" si="3"/>
        <v>Error?</v>
      </c>
    </row>
    <row r="276" spans="1:4" x14ac:dyDescent="0.2">
      <c r="A276" s="5">
        <v>215</v>
      </c>
      <c r="B276" s="138">
        <f>'Assets-Liab 5-6'!M19</f>
        <v>42032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761673</v>
      </c>
      <c r="C279" s="2" t="s">
        <v>573</v>
      </c>
      <c r="D279" s="2" t="str">
        <f t="shared" si="3"/>
        <v>Error?</v>
      </c>
    </row>
    <row r="280" spans="1:4" x14ac:dyDescent="0.2">
      <c r="A280" s="5">
        <v>219</v>
      </c>
      <c r="B280" s="138">
        <f>'Assets-Liab 5-6'!M40</f>
        <v>761673</v>
      </c>
      <c r="D280" s="2" t="str">
        <f t="shared" si="3"/>
        <v>Error?</v>
      </c>
    </row>
    <row r="281" spans="1:4" x14ac:dyDescent="0.2">
      <c r="A281" s="5">
        <v>220</v>
      </c>
      <c r="B281" s="138">
        <f>'Assets-Liab 5-6'!M41</f>
        <v>761673</v>
      </c>
      <c r="C281" s="2" t="s">
        <v>573</v>
      </c>
      <c r="D281" s="2" t="str">
        <f t="shared" si="3"/>
        <v>Error?</v>
      </c>
    </row>
    <row r="282" spans="1:4" x14ac:dyDescent="0.2">
      <c r="A282" s="5">
        <v>221</v>
      </c>
      <c r="B282" s="138">
        <f>'Assets-Liab 5-6'!N21</f>
        <v>17539</v>
      </c>
      <c r="D282" s="2" t="str">
        <f t="shared" si="3"/>
        <v>Error?</v>
      </c>
    </row>
    <row r="283" spans="1:4" x14ac:dyDescent="0.2">
      <c r="A283" s="5">
        <v>222</v>
      </c>
      <c r="B283" s="138">
        <f>'Assets-Liab 5-6'!N22</f>
        <v>252161</v>
      </c>
      <c r="D283" s="2" t="str">
        <f t="shared" si="3"/>
        <v>Error?</v>
      </c>
    </row>
    <row r="284" spans="1:4" x14ac:dyDescent="0.2">
      <c r="A284" s="5">
        <v>223</v>
      </c>
      <c r="B284" s="138">
        <f>'Assets-Liab 5-6'!N23</f>
        <v>269700</v>
      </c>
      <c r="C284" s="2" t="s">
        <v>573</v>
      </c>
      <c r="D284" s="2" t="str">
        <f t="shared" si="3"/>
        <v>Error?</v>
      </c>
    </row>
    <row r="285" spans="1:4" x14ac:dyDescent="0.2">
      <c r="A285" s="5">
        <v>224</v>
      </c>
      <c r="B285" s="138">
        <f>'Assets-Liab 5-6'!N36</f>
        <v>269700</v>
      </c>
      <c r="D285" s="2" t="str">
        <f t="shared" si="3"/>
        <v>Error?</v>
      </c>
    </row>
    <row r="286" spans="1:4" x14ac:dyDescent="0.2">
      <c r="A286" s="10">
        <v>225</v>
      </c>
      <c r="D286" s="2" t="str">
        <f t="shared" si="3"/>
        <v>OK</v>
      </c>
    </row>
    <row r="287" spans="1:4" x14ac:dyDescent="0.2">
      <c r="A287" s="5">
        <v>226</v>
      </c>
      <c r="B287" s="138">
        <f>'Assets-Liab 5-6'!N37</f>
        <v>269700</v>
      </c>
      <c r="C287" s="2" t="s">
        <v>573</v>
      </c>
      <c r="D287" s="2" t="str">
        <f t="shared" si="3"/>
        <v>Error?</v>
      </c>
    </row>
    <row r="288" spans="1:4" x14ac:dyDescent="0.2">
      <c r="A288" s="5">
        <v>227</v>
      </c>
      <c r="B288" s="138">
        <f>'Assets-Liab 5-6'!N41</f>
        <v>269700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433825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17482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546642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57568</v>
      </c>
      <c r="D733" s="2" t="str">
        <f t="shared" si="10"/>
        <v>Error?</v>
      </c>
    </row>
    <row r="734" spans="1:4" x14ac:dyDescent="0.2">
      <c r="A734" s="5">
        <v>673</v>
      </c>
      <c r="B734" s="138">
        <f>'Expenditures 15-22'!C53</f>
        <v>57568</v>
      </c>
      <c r="C734" s="2" t="s">
        <v>573</v>
      </c>
      <c r="D734" s="2" t="str">
        <f t="shared" si="10"/>
        <v>Error?</v>
      </c>
    </row>
    <row r="735" spans="1:4" x14ac:dyDescent="0.2">
      <c r="A735" s="5">
        <v>674</v>
      </c>
      <c r="B735" s="138">
        <f>'Expenditures 15-22'!C55</f>
        <v>75396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75396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35006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35006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167970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714612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60247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79444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12150</v>
      </c>
      <c r="D791" s="2" t="str">
        <f t="shared" si="11"/>
        <v>Error?</v>
      </c>
    </row>
    <row r="792" spans="1:4" x14ac:dyDescent="0.2">
      <c r="A792" s="5">
        <v>731</v>
      </c>
      <c r="B792" s="138">
        <f>'Expenditures 15-22'!D53</f>
        <v>12150</v>
      </c>
      <c r="C792" s="2" t="s">
        <v>573</v>
      </c>
      <c r="D792" s="2" t="str">
        <f t="shared" si="11"/>
        <v>Error?</v>
      </c>
    </row>
    <row r="793" spans="1:4" x14ac:dyDescent="0.2">
      <c r="A793" s="5">
        <v>732</v>
      </c>
      <c r="B793" s="138">
        <f>'Expenditures 15-22'!D55</f>
        <v>6300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6300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10729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10729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29179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108623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53247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54049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693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13710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14403</v>
      </c>
      <c r="C843" s="2" t="s">
        <v>573</v>
      </c>
      <c r="D843" s="2" t="str">
        <f t="shared" si="12"/>
        <v>Error?</v>
      </c>
    </row>
    <row r="844" spans="1:4" x14ac:dyDescent="0.2">
      <c r="A844" s="5">
        <v>783</v>
      </c>
      <c r="B844" s="138">
        <f>'Expenditures 15-22'!E44</f>
        <v>284</v>
      </c>
      <c r="D844" s="2" t="str">
        <f t="shared" si="12"/>
        <v>Error?</v>
      </c>
    </row>
    <row r="845" spans="1:4" x14ac:dyDescent="0.2">
      <c r="A845" s="5">
        <v>784</v>
      </c>
      <c r="B845" s="138">
        <f>'Expenditures 15-22'!E45</f>
        <v>7145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7429</v>
      </c>
      <c r="C847" s="2" t="s">
        <v>573</v>
      </c>
      <c r="D847" s="2" t="str">
        <f t="shared" si="12"/>
        <v>Error?</v>
      </c>
    </row>
    <row r="848" spans="1:4" x14ac:dyDescent="0.2">
      <c r="A848" s="5">
        <v>787</v>
      </c>
      <c r="B848" s="138">
        <f>'Expenditures 15-22'!E49</f>
        <v>8250</v>
      </c>
      <c r="D848" s="2" t="str">
        <f t="shared" si="12"/>
        <v>Error?</v>
      </c>
    </row>
    <row r="849" spans="1:4" x14ac:dyDescent="0.2">
      <c r="A849" s="5">
        <v>788</v>
      </c>
      <c r="B849" s="138">
        <f>'Expenditures 15-22'!E50</f>
        <v>2336</v>
      </c>
      <c r="D849" s="2" t="str">
        <f t="shared" si="12"/>
        <v>Error?</v>
      </c>
    </row>
    <row r="850" spans="1:4" x14ac:dyDescent="0.2">
      <c r="A850" s="5">
        <v>789</v>
      </c>
      <c r="B850" s="138">
        <f>'Expenditures 15-22'!E53</f>
        <v>10586</v>
      </c>
      <c r="C850" s="2" t="s">
        <v>573</v>
      </c>
      <c r="D850" s="2" t="str">
        <f t="shared" si="12"/>
        <v>Error?</v>
      </c>
    </row>
    <row r="851" spans="1:4" x14ac:dyDescent="0.2">
      <c r="A851" s="5">
        <v>790</v>
      </c>
      <c r="B851" s="138">
        <f>'Expenditures 15-22'!E55</f>
        <v>298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1906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34622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117305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16665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17426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609</v>
      </c>
      <c r="D903" s="2" t="str">
        <f t="shared" si="13"/>
        <v>Error?</v>
      </c>
    </row>
    <row r="904" spans="1:4" x14ac:dyDescent="0.2">
      <c r="A904" s="5">
        <v>843</v>
      </c>
      <c r="B904" s="138">
        <f>'Expenditures 15-22'!F46</f>
        <v>4503</v>
      </c>
      <c r="D904" s="2" t="str">
        <f t="shared" si="13"/>
        <v>Error?</v>
      </c>
    </row>
    <row r="905" spans="1:4" x14ac:dyDescent="0.2">
      <c r="A905" s="5">
        <v>844</v>
      </c>
      <c r="B905" s="138">
        <f>'Expenditures 15-22'!F47</f>
        <v>5112</v>
      </c>
      <c r="C905" s="2" t="s">
        <v>573</v>
      </c>
      <c r="D905" s="2" t="str">
        <f t="shared" si="13"/>
        <v>Error?</v>
      </c>
    </row>
    <row r="906" spans="1:4" x14ac:dyDescent="0.2">
      <c r="A906" s="5">
        <v>845</v>
      </c>
      <c r="B906" s="138">
        <f>'Expenditures 15-22'!F49</f>
        <v>155</v>
      </c>
      <c r="D906" s="2" t="str">
        <f t="shared" si="13"/>
        <v>Error?</v>
      </c>
    </row>
    <row r="907" spans="1:4" x14ac:dyDescent="0.2">
      <c r="A907" s="5">
        <v>846</v>
      </c>
      <c r="B907" s="138">
        <f>'Expenditures 15-22'!F50</f>
        <v>995</v>
      </c>
      <c r="D907" s="2" t="str">
        <f t="shared" si="13"/>
        <v>Error?</v>
      </c>
    </row>
    <row r="908" spans="1:4" x14ac:dyDescent="0.2">
      <c r="A908" s="5">
        <v>847</v>
      </c>
      <c r="B908" s="138">
        <f>'Expenditures 15-22'!F53</f>
        <v>1150</v>
      </c>
      <c r="C908" s="2" t="s">
        <v>573</v>
      </c>
      <c r="D908" s="2" t="str">
        <f t="shared" si="13"/>
        <v>Error?</v>
      </c>
    </row>
    <row r="909" spans="1:4" x14ac:dyDescent="0.2">
      <c r="A909" s="5">
        <v>848</v>
      </c>
      <c r="B909" s="138">
        <f>'Expenditures 15-22'!F55</f>
        <v>358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24944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24944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31564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48990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1500</v>
      </c>
      <c r="D965" s="2" t="str">
        <f t="shared" si="14"/>
        <v>Error?</v>
      </c>
    </row>
    <row r="966" spans="1:4" x14ac:dyDescent="0.2">
      <c r="A966" s="5">
        <v>905</v>
      </c>
      <c r="B966" s="138">
        <f>'Expenditures 15-22'!G53</f>
        <v>1500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749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3002</v>
      </c>
      <c r="D1022" s="2" t="str">
        <f t="shared" si="14"/>
        <v>Error?</v>
      </c>
    </row>
    <row r="1023" spans="1:4" x14ac:dyDescent="0.2">
      <c r="A1023" s="5">
        <v>962</v>
      </c>
      <c r="B1023" s="138">
        <f>'Expenditures 15-22'!H50</f>
        <v>1168</v>
      </c>
      <c r="D1023" s="2" t="str">
        <f t="shared" ref="D1023:D1086" si="15">IF(ISBLANK(B1023),"OK",IF(A1023-B1023=0,"OK","Error?"))</f>
        <v>Error?</v>
      </c>
    </row>
    <row r="1024" spans="1:4" x14ac:dyDescent="0.2">
      <c r="A1024" s="5">
        <v>963</v>
      </c>
      <c r="B1024" s="138">
        <f>'Expenditures 15-22'!H53</f>
        <v>4170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4170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4919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563984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19222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698310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693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13710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14403</v>
      </c>
      <c r="C1115" s="2" t="s">
        <v>573</v>
      </c>
      <c r="D1115" s="2" t="str">
        <f t="shared" si="16"/>
        <v>Error?</v>
      </c>
    </row>
    <row r="1116" spans="1:4" x14ac:dyDescent="0.2">
      <c r="A1116" s="5">
        <v>1055</v>
      </c>
      <c r="B1116" s="138">
        <f>'Expenditures 15-22'!K44</f>
        <v>284</v>
      </c>
      <c r="C1116" s="2" t="s">
        <v>573</v>
      </c>
      <c r="D1116" s="2" t="str">
        <f t="shared" si="16"/>
        <v>Error?</v>
      </c>
    </row>
    <row r="1117" spans="1:4" x14ac:dyDescent="0.2">
      <c r="A1117" s="5">
        <v>1056</v>
      </c>
      <c r="B1117" s="138">
        <f>'Expenditures 15-22'!K45</f>
        <v>7754</v>
      </c>
      <c r="C1117" s="2" t="s">
        <v>573</v>
      </c>
      <c r="D1117" s="2" t="str">
        <f t="shared" si="16"/>
        <v>Error?</v>
      </c>
    </row>
    <row r="1118" spans="1:4" x14ac:dyDescent="0.2">
      <c r="A1118" s="5">
        <v>1057</v>
      </c>
      <c r="B1118" s="138">
        <f>'Expenditures 15-22'!K46</f>
        <v>4503</v>
      </c>
      <c r="C1118" s="2" t="s">
        <v>573</v>
      </c>
      <c r="D1118" s="2" t="str">
        <f t="shared" si="16"/>
        <v>Error?</v>
      </c>
    </row>
    <row r="1119" spans="1:4" x14ac:dyDescent="0.2">
      <c r="A1119" s="5">
        <v>1058</v>
      </c>
      <c r="B1119" s="138">
        <f>'Expenditures 15-22'!K47</f>
        <v>12541</v>
      </c>
      <c r="C1119" s="2" t="s">
        <v>573</v>
      </c>
      <c r="D1119" s="2" t="str">
        <f t="shared" si="16"/>
        <v>Error?</v>
      </c>
    </row>
    <row r="1120" spans="1:4" x14ac:dyDescent="0.2">
      <c r="A1120" s="5">
        <v>1059</v>
      </c>
      <c r="B1120" s="138">
        <f>'Expenditures 15-22'!K49</f>
        <v>11407</v>
      </c>
      <c r="C1120" s="2" t="s">
        <v>573</v>
      </c>
      <c r="D1120" s="2" t="str">
        <f t="shared" si="16"/>
        <v>Error?</v>
      </c>
    </row>
    <row r="1121" spans="1:4" x14ac:dyDescent="0.2">
      <c r="A1121" s="5">
        <v>1060</v>
      </c>
      <c r="B1121" s="138">
        <f>'Expenditures 15-22'!K50</f>
        <v>75717</v>
      </c>
      <c r="C1121" s="2" t="s">
        <v>573</v>
      </c>
      <c r="D1121" s="2" t="str">
        <f t="shared" si="16"/>
        <v>Error?</v>
      </c>
    </row>
    <row r="1122" spans="1:4" x14ac:dyDescent="0.2">
      <c r="A1122" s="5">
        <v>1061</v>
      </c>
      <c r="B1122" s="138">
        <f>'Expenditures 15-22'!K53</f>
        <v>87124</v>
      </c>
      <c r="C1122" s="2" t="s">
        <v>573</v>
      </c>
      <c r="D1122" s="2" t="str">
        <f t="shared" si="16"/>
        <v>Error?</v>
      </c>
    </row>
    <row r="1123" spans="1:4" x14ac:dyDescent="0.2">
      <c r="A1123" s="5">
        <v>1062</v>
      </c>
      <c r="B1123" s="138">
        <f>'Expenditures 15-22'!K55</f>
        <v>82352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82352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72585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72585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269005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28634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995949</v>
      </c>
      <c r="C1152" s="2" t="s">
        <v>573</v>
      </c>
      <c r="D1152" s="2" t="str">
        <f t="shared" si="17"/>
        <v>Error?</v>
      </c>
    </row>
    <row r="1153" spans="1:4" x14ac:dyDescent="0.2">
      <c r="A1153" s="5">
        <v>1092</v>
      </c>
      <c r="B1153" s="138">
        <f>'Expenditures 15-22'!K115</f>
        <v>159986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39501</v>
      </c>
      <c r="D1221" s="2" t="str">
        <f t="shared" si="18"/>
        <v>Error?</v>
      </c>
    </row>
    <row r="1222" spans="1:4" x14ac:dyDescent="0.2">
      <c r="A1222" s="10">
        <v>1161</v>
      </c>
      <c r="D1222" s="2" t="str">
        <f t="shared" si="18"/>
        <v>OK</v>
      </c>
    </row>
    <row r="1223" spans="1:4" x14ac:dyDescent="0.2">
      <c r="A1223" s="5">
        <v>1162</v>
      </c>
      <c r="B1223" s="138">
        <f>'Expenditures 15-22'!C127</f>
        <v>39501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39501</v>
      </c>
      <c r="C1225" s="2" t="s">
        <v>573</v>
      </c>
      <c r="D1225" s="2" t="str">
        <f t="shared" si="18"/>
        <v>Error?</v>
      </c>
    </row>
    <row r="1226" spans="1:4" x14ac:dyDescent="0.2">
      <c r="A1226" s="5">
        <v>1165</v>
      </c>
      <c r="B1226" s="138">
        <f>'Expenditures 15-22'!C151</f>
        <v>39501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5440</v>
      </c>
      <c r="D1229" s="2" t="str">
        <f t="shared" si="18"/>
        <v>Error?</v>
      </c>
    </row>
    <row r="1230" spans="1:4" x14ac:dyDescent="0.2">
      <c r="A1230" s="10">
        <v>1169</v>
      </c>
      <c r="D1230" s="2" t="str">
        <f t="shared" si="18"/>
        <v>OK</v>
      </c>
    </row>
    <row r="1231" spans="1:4" x14ac:dyDescent="0.2">
      <c r="A1231" s="5">
        <v>1170</v>
      </c>
      <c r="B1231" s="138">
        <f>'Expenditures 15-22'!D127</f>
        <v>5440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5440</v>
      </c>
      <c r="C1233" s="2" t="s">
        <v>573</v>
      </c>
      <c r="D1233" s="2" t="str">
        <f t="shared" si="18"/>
        <v>Error?</v>
      </c>
    </row>
    <row r="1234" spans="1:4" x14ac:dyDescent="0.2">
      <c r="A1234" s="5">
        <v>1173</v>
      </c>
      <c r="B1234" s="138">
        <f>'Expenditures 15-22'!D151</f>
        <v>5440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43103</v>
      </c>
      <c r="D1237" s="2" t="str">
        <f t="shared" si="18"/>
        <v>Error?</v>
      </c>
    </row>
    <row r="1238" spans="1:4" x14ac:dyDescent="0.2">
      <c r="A1238" s="10">
        <v>1177</v>
      </c>
      <c r="D1238" s="2" t="str">
        <f t="shared" si="18"/>
        <v>OK</v>
      </c>
    </row>
    <row r="1239" spans="1:4" x14ac:dyDescent="0.2">
      <c r="A1239" s="5">
        <v>1178</v>
      </c>
      <c r="B1239" s="138">
        <f>'Expenditures 15-22'!E127</f>
        <v>43103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43103</v>
      </c>
      <c r="C1241" s="2" t="s">
        <v>573</v>
      </c>
      <c r="D1241" s="2" t="str">
        <f t="shared" si="18"/>
        <v>Error?</v>
      </c>
    </row>
    <row r="1242" spans="1:4" x14ac:dyDescent="0.2">
      <c r="A1242" s="5">
        <v>1181</v>
      </c>
      <c r="B1242" s="138">
        <f>'Expenditures 15-22'!E151</f>
        <v>43103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37374</v>
      </c>
      <c r="D1245" s="2" t="str">
        <f t="shared" si="18"/>
        <v>Error?</v>
      </c>
    </row>
    <row r="1246" spans="1:4" x14ac:dyDescent="0.2">
      <c r="A1246" s="10">
        <v>1185</v>
      </c>
      <c r="D1246" s="2" t="str">
        <f t="shared" si="18"/>
        <v>OK</v>
      </c>
    </row>
    <row r="1247" spans="1:4" x14ac:dyDescent="0.2">
      <c r="A1247" s="5">
        <v>1186</v>
      </c>
      <c r="B1247" s="138">
        <f>'Expenditures 15-22'!F127</f>
        <v>37374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37374</v>
      </c>
      <c r="C1249" s="2" t="s">
        <v>573</v>
      </c>
      <c r="D1249" s="2" t="str">
        <f t="shared" si="18"/>
        <v>Error?</v>
      </c>
    </row>
    <row r="1250" spans="1:4" x14ac:dyDescent="0.2">
      <c r="A1250" s="5">
        <v>1189</v>
      </c>
      <c r="B1250" s="138">
        <f>'Expenditures 15-22'!F151</f>
        <v>37374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2150</v>
      </c>
      <c r="C1258" s="2" t="s">
        <v>573</v>
      </c>
      <c r="D1258" s="2" t="str">
        <f t="shared" si="18"/>
        <v>Error?</v>
      </c>
    </row>
    <row r="1259" spans="1:4" x14ac:dyDescent="0.2">
      <c r="A1259" s="5">
        <v>1198</v>
      </c>
      <c r="B1259" s="138">
        <f>'Expenditures 15-22'!G151</f>
        <v>2150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127568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127568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127568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127568</v>
      </c>
      <c r="C1288" s="2" t="s">
        <v>573</v>
      </c>
      <c r="D1288" s="2" t="str">
        <f t="shared" si="19"/>
        <v>Error?</v>
      </c>
    </row>
    <row r="1289" spans="1:4" x14ac:dyDescent="0.2">
      <c r="A1289" s="5">
        <v>1228</v>
      </c>
      <c r="B1289" s="138">
        <f>'Expenditures 15-22'!K152</f>
        <v>-17868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15348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260000</v>
      </c>
      <c r="D1315" s="2" t="str">
        <f t="shared" si="19"/>
        <v>Error?</v>
      </c>
    </row>
    <row r="1316" spans="1:4" x14ac:dyDescent="0.2">
      <c r="A1316" s="5">
        <v>1255</v>
      </c>
      <c r="B1316" s="138">
        <f>'Expenditures 15-22'!H171</f>
        <v>8415</v>
      </c>
      <c r="D1316" s="2" t="str">
        <f t="shared" si="19"/>
        <v>Error?</v>
      </c>
    </row>
    <row r="1317" spans="1:4" x14ac:dyDescent="0.2">
      <c r="A1317" s="5">
        <v>1256</v>
      </c>
      <c r="B1317" s="138">
        <f>'Expenditures 15-22'!H172</f>
        <v>283763</v>
      </c>
      <c r="C1317" s="2" t="s">
        <v>573</v>
      </c>
      <c r="D1317" s="2" t="str">
        <f t="shared" si="19"/>
        <v>Error?</v>
      </c>
    </row>
    <row r="1318" spans="1:4" x14ac:dyDescent="0.2">
      <c r="A1318" s="5">
        <v>1257</v>
      </c>
      <c r="B1318" s="138">
        <f>'Expenditures 15-22'!H174</f>
        <v>283763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15348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260000</v>
      </c>
      <c r="C1329" s="2" t="s">
        <v>573</v>
      </c>
      <c r="D1329" s="2" t="str">
        <f t="shared" si="19"/>
        <v>Error?</v>
      </c>
    </row>
    <row r="1330" spans="1:4" x14ac:dyDescent="0.2">
      <c r="A1330" s="5">
        <v>1269</v>
      </c>
      <c r="B1330" s="138">
        <f>'Expenditures 15-22'!K171</f>
        <v>8415</v>
      </c>
      <c r="C1330" s="2" t="s">
        <v>573</v>
      </c>
      <c r="D1330" s="2" t="str">
        <f t="shared" si="19"/>
        <v>Error?</v>
      </c>
    </row>
    <row r="1331" spans="1:4" x14ac:dyDescent="0.2">
      <c r="A1331" s="5">
        <v>1270</v>
      </c>
      <c r="B1331" s="138">
        <f>'Expenditures 15-22'!K172</f>
        <v>283763</v>
      </c>
      <c r="C1331" s="2" t="s">
        <v>573</v>
      </c>
      <c r="D1331" s="2" t="str">
        <f t="shared" si="19"/>
        <v>Error?</v>
      </c>
    </row>
    <row r="1332" spans="1:4" x14ac:dyDescent="0.2">
      <c r="A1332" s="5">
        <v>1271</v>
      </c>
      <c r="B1332" s="138">
        <f>'Expenditures 15-22'!K174</f>
        <v>283763</v>
      </c>
      <c r="C1332" s="2" t="s">
        <v>573</v>
      </c>
      <c r="D1332" s="2" t="str">
        <f t="shared" si="19"/>
        <v>Error?</v>
      </c>
    </row>
    <row r="1333" spans="1:4" x14ac:dyDescent="0.2">
      <c r="A1333" s="5">
        <v>1272</v>
      </c>
      <c r="B1333" s="138">
        <f>'Expenditures 15-22'!K175</f>
        <v>-233467</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76601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76601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76601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76601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76601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76601</v>
      </c>
      <c r="C1388" s="2" t="s">
        <v>573</v>
      </c>
      <c r="D1388" s="2" t="str">
        <f t="shared" si="20"/>
        <v>Error?</v>
      </c>
    </row>
    <row r="1389" spans="1:4" x14ac:dyDescent="0.2">
      <c r="A1389" s="5">
        <v>1328</v>
      </c>
      <c r="B1389" s="138">
        <f>'Expenditures 15-22'!K211</f>
        <v>50242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1327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15697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v>
      </c>
      <c r="D1416" s="2" t="str">
        <f t="shared" si="21"/>
        <v>Error?</v>
      </c>
    </row>
    <row r="1417" spans="1:4" x14ac:dyDescent="0.2">
      <c r="A1417" s="5">
        <v>1356</v>
      </c>
      <c r="B1417" s="138">
        <f>'Expenditures 15-22'!D238</f>
        <v>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3816</v>
      </c>
      <c r="D1423" s="2" t="str">
        <f t="shared" si="21"/>
        <v>Error?</v>
      </c>
    </row>
    <row r="1424" spans="1:4" x14ac:dyDescent="0.2">
      <c r="A1424" s="5">
        <v>1363</v>
      </c>
      <c r="B1424" s="138">
        <f>'Expenditures 15-22'!D257</f>
        <v>3816</v>
      </c>
      <c r="C1424" s="2" t="s">
        <v>573</v>
      </c>
      <c r="D1424" s="2" t="str">
        <f t="shared" si="21"/>
        <v>Error?</v>
      </c>
    </row>
    <row r="1425" spans="1:4" x14ac:dyDescent="0.2">
      <c r="A1425" s="5">
        <v>1364</v>
      </c>
      <c r="B1425" s="138">
        <f>'Expenditures 15-22'!D259</f>
        <v>5808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5808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7846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6347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14193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23818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39515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1327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15697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v>
      </c>
      <c r="C1480" s="2" t="s">
        <v>573</v>
      </c>
      <c r="D1480" s="2" t="str">
        <f t="shared" si="22"/>
        <v>Error?</v>
      </c>
    </row>
    <row r="1481" spans="1:4" x14ac:dyDescent="0.2">
      <c r="A1481" s="5">
        <v>1420</v>
      </c>
      <c r="B1481" s="138">
        <f>'Expenditures 15-22'!K238</f>
        <v>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3816</v>
      </c>
      <c r="C1487" s="2" t="s">
        <v>573</v>
      </c>
      <c r="D1487" s="2" t="str">
        <f t="shared" si="22"/>
        <v>Error?</v>
      </c>
    </row>
    <row r="1488" spans="1:4" x14ac:dyDescent="0.2">
      <c r="A1488" s="5">
        <v>1427</v>
      </c>
      <c r="B1488" s="138">
        <f>'Expenditures 15-22'!K257</f>
        <v>3816</v>
      </c>
      <c r="C1488" s="2" t="s">
        <v>573</v>
      </c>
      <c r="D1488" s="2" t="str">
        <f t="shared" si="22"/>
        <v>Error?</v>
      </c>
    </row>
    <row r="1489" spans="1:4" x14ac:dyDescent="0.2">
      <c r="A1489" s="5">
        <v>1428</v>
      </c>
      <c r="B1489" s="138">
        <f>'Expenditures 15-22'!K259</f>
        <v>5808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5808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7846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6347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14193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23818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39515</v>
      </c>
      <c r="C1517" s="2" t="s">
        <v>573</v>
      </c>
      <c r="D1517" s="2" t="str">
        <f t="shared" si="22"/>
        <v>Error?</v>
      </c>
    </row>
    <row r="1518" spans="1:4" x14ac:dyDescent="0.2">
      <c r="A1518" s="5">
        <v>1457</v>
      </c>
      <c r="B1518" s="138">
        <f>'Expenditures 15-22'!K296</f>
        <v>11094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1081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1081</v>
      </c>
      <c r="C1547" s="2" t="s">
        <v>573</v>
      </c>
      <c r="D1547" s="2" t="str">
        <f t="shared" si="23"/>
        <v>Error?</v>
      </c>
    </row>
    <row r="1548" spans="1:4" x14ac:dyDescent="0.2">
      <c r="A1548" s="5">
        <v>1487</v>
      </c>
      <c r="B1548" s="138">
        <f>'Expenditures 15-22'!G312</f>
        <v>1081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1081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1081</v>
      </c>
      <c r="C1559" s="2" t="s">
        <v>573</v>
      </c>
      <c r="D1559" s="2" t="str">
        <f t="shared" si="23"/>
        <v>Error?</v>
      </c>
    </row>
    <row r="1560" spans="1:4" x14ac:dyDescent="0.2">
      <c r="A1560" s="5">
        <v>1499</v>
      </c>
      <c r="B1560" s="138">
        <f>'Expenditures 15-22'!K312</f>
        <v>1081</v>
      </c>
      <c r="C1560" s="2" t="s">
        <v>573</v>
      </c>
      <c r="D1560" s="2" t="str">
        <f t="shared" si="23"/>
        <v>Error?</v>
      </c>
    </row>
    <row r="1561" spans="1:4" x14ac:dyDescent="0.2">
      <c r="A1561" s="5">
        <v>1500</v>
      </c>
      <c r="B1561" s="138">
        <f>'Expenditures 15-22'!K313</f>
        <v>-1081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751611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911597</v>
      </c>
      <c r="C1630" s="2" t="s">
        <v>573</v>
      </c>
      <c r="D1630" s="2" t="str">
        <f t="shared" si="24"/>
        <v>Error?</v>
      </c>
    </row>
    <row r="1631" spans="1:4" x14ac:dyDescent="0.2">
      <c r="A1631" s="5">
        <v>1570</v>
      </c>
      <c r="B1631" s="138">
        <f>'Acct Summary 7-8'!D79</f>
        <v>15635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840</v>
      </c>
      <c r="C1644" s="2" t="s">
        <v>573</v>
      </c>
      <c r="D1644" s="2" t="str">
        <f t="shared" si="24"/>
        <v>Error?</v>
      </c>
    </row>
    <row r="1645" spans="1:4" x14ac:dyDescent="0.2">
      <c r="A1645" s="5">
        <v>1584</v>
      </c>
      <c r="B1645" s="138">
        <f>'Acct Summary 7-8'!E79</f>
        <v>11306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17539</v>
      </c>
      <c r="C1658" s="2" t="s">
        <v>573</v>
      </c>
      <c r="D1658" s="2" t="str">
        <f t="shared" si="24"/>
        <v>Error?</v>
      </c>
    </row>
    <row r="1659" spans="1:4" x14ac:dyDescent="0.2">
      <c r="A1659" s="5">
        <v>1598</v>
      </c>
      <c r="B1659" s="138">
        <f>'Acct Summary 7-8'!F79</f>
        <v>121718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171960</v>
      </c>
      <c r="C1672" s="2" t="s">
        <v>573</v>
      </c>
      <c r="D1672" s="2" t="str">
        <f t="shared" si="25"/>
        <v>Error?</v>
      </c>
    </row>
    <row r="1673" spans="1:4" x14ac:dyDescent="0.2">
      <c r="A1673" s="5">
        <v>1612</v>
      </c>
      <c r="B1673" s="138">
        <f>'Acct Summary 7-8'!G79</f>
        <v>35630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46724</v>
      </c>
      <c r="C1686" s="2" t="s">
        <v>573</v>
      </c>
      <c r="D1686" s="2" t="str">
        <f t="shared" si="25"/>
        <v>Error?</v>
      </c>
    </row>
    <row r="1687" spans="1:4" x14ac:dyDescent="0.2">
      <c r="A1687" s="5">
        <v>1626</v>
      </c>
      <c r="B1687" s="138">
        <f>'Acct Summary 7-8'!H79</f>
        <v>14584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13503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683601</v>
      </c>
      <c r="C1744" s="2" t="s">
        <v>573</v>
      </c>
      <c r="D1744" s="2" t="str">
        <f t="shared" si="26"/>
        <v>Error?</v>
      </c>
    </row>
    <row r="1745" spans="1:5" x14ac:dyDescent="0.2">
      <c r="A1745" s="5">
        <v>1684</v>
      </c>
      <c r="B1745" s="138">
        <f>'Tax Sched 23'!B5</f>
        <v>109694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79332</v>
      </c>
      <c r="C1747" s="2" t="s">
        <v>573</v>
      </c>
      <c r="D1747" s="2" t="str">
        <f t="shared" si="26"/>
        <v>Error?</v>
      </c>
    </row>
    <row r="1748" spans="1:5" x14ac:dyDescent="0.2">
      <c r="A1748" s="5">
        <v>1687</v>
      </c>
      <c r="B1748" s="138">
        <f>'Tax Sched 23'!B8</f>
        <v>26444</v>
      </c>
      <c r="C1748" s="2" t="s">
        <v>573</v>
      </c>
      <c r="D1748" s="2" t="str">
        <f t="shared" si="26"/>
        <v>Error?</v>
      </c>
    </row>
    <row r="1749" spans="1:5" x14ac:dyDescent="0.2">
      <c r="A1749" s="5">
        <v>1688</v>
      </c>
      <c r="B1749" s="138">
        <f>'Tax Sched 23'!B10</f>
        <v>3073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29385</v>
      </c>
      <c r="C1752" s="2" t="s">
        <v>573</v>
      </c>
      <c r="D1752" s="2" t="str">
        <f t="shared" si="26"/>
        <v>Error?</v>
      </c>
    </row>
    <row r="1753" spans="1:5" x14ac:dyDescent="0.2">
      <c r="A1753" s="5">
        <v>1692</v>
      </c>
      <c r="B1753" s="138">
        <f>'Tax Sched 23'!B12</f>
        <v>4750</v>
      </c>
      <c r="C1753" s="2" t="s">
        <v>573</v>
      </c>
      <c r="D1753" s="2" t="str">
        <f t="shared" si="26"/>
        <v>Error?</v>
      </c>
    </row>
    <row r="1754" spans="1:5" x14ac:dyDescent="0.2">
      <c r="A1754" s="5">
        <v>1693</v>
      </c>
      <c r="B1754" s="138">
        <f>'Tax Sched 23'!B14</f>
        <v>2851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967095</v>
      </c>
      <c r="C1759" s="2" t="s">
        <v>573</v>
      </c>
      <c r="D1759" s="2" t="str">
        <f t="shared" si="26"/>
        <v>Error?</v>
      </c>
    </row>
    <row r="1760" spans="1:5" x14ac:dyDescent="0.2">
      <c r="A1760" s="5">
        <v>1699</v>
      </c>
      <c r="B1760" s="138">
        <f>'Tax Sched 23'!D4</f>
        <v>683601</v>
      </c>
      <c r="C1760" s="2" t="s">
        <v>573</v>
      </c>
      <c r="D1760" s="2" t="str">
        <f t="shared" si="26"/>
        <v>Error?</v>
      </c>
    </row>
    <row r="1761" spans="1:5" x14ac:dyDescent="0.2">
      <c r="A1761" s="5">
        <v>1700</v>
      </c>
      <c r="B1761" s="138">
        <f>'Tax Sched 23'!D5</f>
        <v>109694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79332</v>
      </c>
      <c r="C1763" s="2" t="s">
        <v>573</v>
      </c>
      <c r="D1763" s="2" t="str">
        <f t="shared" si="26"/>
        <v>Error?</v>
      </c>
    </row>
    <row r="1764" spans="1:5" x14ac:dyDescent="0.2">
      <c r="A1764" s="5">
        <v>1703</v>
      </c>
      <c r="B1764" s="138">
        <f>'Tax Sched 23'!D8</f>
        <v>26444</v>
      </c>
      <c r="C1764" s="2" t="s">
        <v>573</v>
      </c>
      <c r="D1764" s="2" t="str">
        <f t="shared" si="26"/>
        <v>Error?</v>
      </c>
    </row>
    <row r="1765" spans="1:5" x14ac:dyDescent="0.2">
      <c r="A1765" s="5">
        <v>1704</v>
      </c>
      <c r="B1765" s="138">
        <f>'Tax Sched 23'!D10</f>
        <v>3073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29385</v>
      </c>
      <c r="C1768" s="2" t="s">
        <v>573</v>
      </c>
      <c r="D1768" s="2" t="str">
        <f t="shared" si="26"/>
        <v>Error?</v>
      </c>
    </row>
    <row r="1769" spans="1:5" x14ac:dyDescent="0.2">
      <c r="A1769" s="5">
        <v>1708</v>
      </c>
      <c r="B1769" s="138">
        <f>'Tax Sched 23'!D12</f>
        <v>4750</v>
      </c>
      <c r="C1769" s="2" t="s">
        <v>573</v>
      </c>
      <c r="D1769" s="2" t="str">
        <f t="shared" si="26"/>
        <v>Error?</v>
      </c>
    </row>
    <row r="1770" spans="1:5" x14ac:dyDescent="0.2">
      <c r="A1770" s="5">
        <v>1709</v>
      </c>
      <c r="B1770" s="138">
        <f>'Tax Sched 23'!D14</f>
        <v>2851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967095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700968</v>
      </c>
      <c r="C1792" s="2" t="s">
        <v>573</v>
      </c>
      <c r="D1792" s="2" t="str">
        <f t="shared" si="27"/>
        <v>Error?</v>
      </c>
    </row>
    <row r="1793" spans="1:4" x14ac:dyDescent="0.2">
      <c r="A1793" s="5">
        <v>1732</v>
      </c>
      <c r="B1793" s="138">
        <f>'Tax Sched 23'!F5</f>
        <v>109457</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80733</v>
      </c>
      <c r="C1795" s="2" t="s">
        <v>573</v>
      </c>
      <c r="D1795" s="2" t="str">
        <f t="shared" si="27"/>
        <v>Error?</v>
      </c>
    </row>
    <row r="1796" spans="1:4" x14ac:dyDescent="0.2">
      <c r="A1796" s="5">
        <v>1735</v>
      </c>
      <c r="B1796" s="138">
        <f>'Tax Sched 23'!F8</f>
        <v>28554</v>
      </c>
      <c r="C1796" s="2" t="s">
        <v>573</v>
      </c>
      <c r="D1796" s="2" t="str">
        <f t="shared" si="27"/>
        <v>Error?</v>
      </c>
    </row>
    <row r="1797" spans="1:4" x14ac:dyDescent="0.2">
      <c r="A1797" s="5">
        <v>1736</v>
      </c>
      <c r="B1797" s="138">
        <f>'Tax Sched 23'!F10</f>
        <v>3447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32491</v>
      </c>
      <c r="C1800" s="2" t="s">
        <v>573</v>
      </c>
      <c r="D1800" s="2" t="str">
        <f t="shared" si="27"/>
        <v>Error?</v>
      </c>
    </row>
    <row r="1801" spans="1:4" x14ac:dyDescent="0.2">
      <c r="A1801" s="5">
        <v>1740</v>
      </c>
      <c r="B1801" s="138">
        <f>'Tax Sched 23'!F12</f>
        <v>6894</v>
      </c>
      <c r="C1801" s="2" t="s">
        <v>573</v>
      </c>
      <c r="D1801" s="2" t="str">
        <f t="shared" si="27"/>
        <v>Error?</v>
      </c>
    </row>
    <row r="1802" spans="1:4" x14ac:dyDescent="0.2">
      <c r="A1802" s="5">
        <v>1741</v>
      </c>
      <c r="B1802" s="138">
        <f>'Tax Sched 23'!F14</f>
        <v>3940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995138</v>
      </c>
      <c r="C1807" s="2" t="s">
        <v>573</v>
      </c>
      <c r="D1807" s="2" t="str">
        <f t="shared" si="27"/>
        <v>Error?</v>
      </c>
    </row>
    <row r="1808" spans="1:4" x14ac:dyDescent="0.2">
      <c r="A1808" s="5">
        <v>1747</v>
      </c>
      <c r="B1808" s="138">
        <f>'Tax Sched 23'!E4</f>
        <v>700968</v>
      </c>
      <c r="D1808" s="2" t="str">
        <f t="shared" si="27"/>
        <v>Error?</v>
      </c>
    </row>
    <row r="1809" spans="1:4" x14ac:dyDescent="0.2">
      <c r="A1809" s="5">
        <v>1748</v>
      </c>
      <c r="B1809" s="138">
        <f>'Tax Sched 23'!E5</f>
        <v>109457</v>
      </c>
      <c r="D1809" s="2" t="str">
        <f t="shared" si="27"/>
        <v>Error?</v>
      </c>
    </row>
    <row r="1810" spans="1:4" x14ac:dyDescent="0.2">
      <c r="A1810" s="5">
        <v>1749</v>
      </c>
      <c r="B1810" s="138">
        <f>'Tax Sched 23'!E6</f>
        <v>0</v>
      </c>
      <c r="D1810" s="2" t="str">
        <f t="shared" si="27"/>
        <v>Error?</v>
      </c>
    </row>
    <row r="1811" spans="1:4" x14ac:dyDescent="0.2">
      <c r="A1811" s="5">
        <v>1750</v>
      </c>
      <c r="B1811" s="138">
        <f>'Tax Sched 23'!E7</f>
        <v>80733</v>
      </c>
      <c r="D1811" s="2" t="str">
        <f t="shared" si="27"/>
        <v>Error?</v>
      </c>
    </row>
    <row r="1812" spans="1:4" x14ac:dyDescent="0.2">
      <c r="A1812" s="5">
        <v>1751</v>
      </c>
      <c r="B1812" s="138">
        <f>'Tax Sched 23'!E8</f>
        <v>28554</v>
      </c>
      <c r="D1812" s="2" t="str">
        <f t="shared" si="27"/>
        <v>Error?</v>
      </c>
    </row>
    <row r="1813" spans="1:4" x14ac:dyDescent="0.2">
      <c r="A1813" s="5">
        <v>1752</v>
      </c>
      <c r="B1813" s="138">
        <f>'Tax Sched 23'!E10</f>
        <v>3447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32491</v>
      </c>
      <c r="D1816" s="2" t="str">
        <f t="shared" si="27"/>
        <v>Error?</v>
      </c>
    </row>
    <row r="1817" spans="1:4" x14ac:dyDescent="0.2">
      <c r="A1817" s="5">
        <v>1756</v>
      </c>
      <c r="B1817" s="138">
        <f>'Tax Sched 23'!E12</f>
        <v>6894</v>
      </c>
      <c r="D1817" s="2" t="str">
        <f t="shared" si="27"/>
        <v>Error?</v>
      </c>
    </row>
    <row r="1818" spans="1:4" x14ac:dyDescent="0.2">
      <c r="A1818" s="5">
        <v>1757</v>
      </c>
      <c r="B1818" s="138">
        <f>'Tax Sched 23'!E14</f>
        <v>3940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995138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290000</v>
      </c>
      <c r="C1939" s="2" t="s">
        <v>573</v>
      </c>
      <c r="D1939" s="2" t="str">
        <f t="shared" si="29"/>
        <v>Error?</v>
      </c>
    </row>
    <row r="1940" spans="1:5" x14ac:dyDescent="0.2">
      <c r="A1940" s="5">
        <v>1879</v>
      </c>
      <c r="B1940" s="138">
        <f>'Short-Term Long-Term Debt 24'!F49</f>
        <v>239700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2851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2851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8000</v>
      </c>
      <c r="D2008" s="2" t="str">
        <f t="shared" si="30"/>
        <v>Error?</v>
      </c>
    </row>
    <row r="2009" spans="1:4" x14ac:dyDescent="0.2">
      <c r="A2009" s="5">
        <v>1948</v>
      </c>
      <c r="B2009" s="138">
        <f>'Cap Outlay Deprec 26'!C8</f>
        <v>1398274</v>
      </c>
      <c r="D2009" s="2" t="str">
        <f t="shared" si="30"/>
        <v>Error?</v>
      </c>
    </row>
    <row r="2010" spans="1:4" x14ac:dyDescent="0.2">
      <c r="A2010" s="5">
        <v>1949</v>
      </c>
      <c r="B2010" s="138">
        <f>'Cap Outlay Deprec 26'!C10</f>
        <v>7104</v>
      </c>
      <c r="D2010" s="2" t="str">
        <f t="shared" si="30"/>
        <v>Error?</v>
      </c>
    </row>
    <row r="2011" spans="1:4" x14ac:dyDescent="0.2">
      <c r="A2011" s="5">
        <v>1950</v>
      </c>
      <c r="B2011" s="138">
        <f>'Cap Outlay Deprec 26'!C12</f>
        <v>351020</v>
      </c>
      <c r="D2011" s="2" t="str">
        <f t="shared" si="30"/>
        <v>Error?</v>
      </c>
    </row>
    <row r="2012" spans="1:4" x14ac:dyDescent="0.2">
      <c r="A2012" s="5">
        <v>1951</v>
      </c>
      <c r="B2012" s="138">
        <f>'Cap Outlay Deprec 26'!C13</f>
        <v>47531</v>
      </c>
      <c r="D2012" s="2" t="str">
        <f t="shared" si="30"/>
        <v>Error?</v>
      </c>
    </row>
    <row r="2013" spans="1:4" x14ac:dyDescent="0.2">
      <c r="A2013" s="5">
        <v>1952</v>
      </c>
      <c r="B2013" s="138">
        <f>'Cap Outlay Deprec 26'!C16</f>
        <v>1811929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6050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23960</v>
      </c>
      <c r="D2018" s="2" t="str">
        <f t="shared" si="30"/>
        <v>Error?</v>
      </c>
    </row>
    <row r="2019" spans="1:4" x14ac:dyDescent="0.2">
      <c r="A2019" s="5">
        <v>1958</v>
      </c>
      <c r="B2019" s="138">
        <f>'Cap Outlay Deprec 26'!D16</f>
        <v>30010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8000</v>
      </c>
      <c r="C2026" s="2" t="s">
        <v>573</v>
      </c>
      <c r="D2026" s="2" t="str">
        <f t="shared" si="30"/>
        <v>Error?</v>
      </c>
    </row>
    <row r="2027" spans="1:4" x14ac:dyDescent="0.2">
      <c r="A2027" s="5">
        <v>1966</v>
      </c>
      <c r="B2027" s="138">
        <f>'Cap Outlay Deprec 26'!F8</f>
        <v>1404324</v>
      </c>
      <c r="C2027" s="2" t="s">
        <v>573</v>
      </c>
      <c r="D2027" s="2" t="str">
        <f t="shared" si="30"/>
        <v>Error?</v>
      </c>
    </row>
    <row r="2028" spans="1:4" x14ac:dyDescent="0.2">
      <c r="A2028" s="5">
        <v>1967</v>
      </c>
      <c r="B2028" s="138">
        <f>'Cap Outlay Deprec 26'!F10</f>
        <v>7104</v>
      </c>
      <c r="C2028" s="2" t="s">
        <v>573</v>
      </c>
      <c r="D2028" s="2" t="str">
        <f t="shared" si="30"/>
        <v>Error?</v>
      </c>
    </row>
    <row r="2029" spans="1:4" x14ac:dyDescent="0.2">
      <c r="A2029" s="5">
        <v>1968</v>
      </c>
      <c r="B2029" s="138">
        <f>'Cap Outlay Deprec 26'!F12</f>
        <v>351020</v>
      </c>
      <c r="C2029" s="2" t="s">
        <v>573</v>
      </c>
      <c r="D2029" s="2" t="str">
        <f t="shared" si="30"/>
        <v>Error?</v>
      </c>
    </row>
    <row r="2030" spans="1:4" x14ac:dyDescent="0.2">
      <c r="A2030" s="5">
        <v>1969</v>
      </c>
      <c r="B2030" s="138">
        <f>'Cap Outlay Deprec 26'!F13</f>
        <v>71491</v>
      </c>
      <c r="C2030" s="2" t="s">
        <v>573</v>
      </c>
      <c r="D2030" s="2" t="str">
        <f t="shared" si="30"/>
        <v>Error?</v>
      </c>
    </row>
    <row r="2031" spans="1:4" x14ac:dyDescent="0.2">
      <c r="A2031" s="5">
        <v>1970</v>
      </c>
      <c r="B2031" s="138">
        <f>'Cap Outlay Deprec 26'!F16</f>
        <v>1841939</v>
      </c>
      <c r="C2031" s="2" t="s">
        <v>573</v>
      </c>
      <c r="D2031" s="2" t="str">
        <f t="shared" si="30"/>
        <v>Error?</v>
      </c>
    </row>
    <row r="2032" spans="1:4" x14ac:dyDescent="0.2">
      <c r="A2032" s="10">
        <v>1971</v>
      </c>
      <c r="D2032" s="2" t="str">
        <f t="shared" si="30"/>
        <v>OK</v>
      </c>
    </row>
    <row r="2033" spans="1:4" x14ac:dyDescent="0.2">
      <c r="A2033" s="5">
        <v>1972</v>
      </c>
      <c r="B2033" s="138">
        <f>'Cap Outlay Deprec 26'!H8</f>
        <v>659606</v>
      </c>
      <c r="D2033" s="2" t="str">
        <f t="shared" si="30"/>
        <v>Error?</v>
      </c>
    </row>
    <row r="2034" spans="1:4" x14ac:dyDescent="0.2">
      <c r="A2034" s="5">
        <v>1973</v>
      </c>
      <c r="B2034" s="138">
        <f>'Cap Outlay Deprec 26'!H10</f>
        <v>7104</v>
      </c>
      <c r="D2034" s="2" t="str">
        <f t="shared" si="30"/>
        <v>Error?</v>
      </c>
    </row>
    <row r="2035" spans="1:4" x14ac:dyDescent="0.2">
      <c r="A2035" s="5">
        <v>1974</v>
      </c>
      <c r="B2035" s="138">
        <f>'Cap Outlay Deprec 26'!H12</f>
        <v>319014</v>
      </c>
      <c r="D2035" s="2" t="str">
        <f t="shared" si="30"/>
        <v>Error?</v>
      </c>
    </row>
    <row r="2036" spans="1:4" x14ac:dyDescent="0.2">
      <c r="A2036" s="5">
        <v>1975</v>
      </c>
      <c r="B2036" s="138">
        <f>'Cap Outlay Deprec 26'!H13</f>
        <v>48087</v>
      </c>
      <c r="D2036" s="2" t="str">
        <f t="shared" si="30"/>
        <v>Error?</v>
      </c>
    </row>
    <row r="2037" spans="1:4" x14ac:dyDescent="0.2">
      <c r="A2037" s="5">
        <v>1976</v>
      </c>
      <c r="B2037" s="138">
        <f>'Cap Outlay Deprec 26'!H16</f>
        <v>1033811</v>
      </c>
      <c r="C2037" s="2" t="s">
        <v>573</v>
      </c>
      <c r="D2037" s="2" t="str">
        <f t="shared" si="30"/>
        <v>Error?</v>
      </c>
    </row>
    <row r="2038" spans="1:4" x14ac:dyDescent="0.2">
      <c r="A2038" s="10">
        <v>1977</v>
      </c>
      <c r="D2038" s="2" t="str">
        <f t="shared" si="30"/>
        <v>OK</v>
      </c>
    </row>
    <row r="2039" spans="1:4" x14ac:dyDescent="0.2">
      <c r="A2039" s="5">
        <v>1978</v>
      </c>
      <c r="B2039" s="138">
        <f>'Cap Outlay Deprec 26'!I8</f>
        <v>33077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7242</v>
      </c>
      <c r="D2041" s="2" t="str">
        <f t="shared" si="30"/>
        <v>Error?</v>
      </c>
    </row>
    <row r="2042" spans="1:4" x14ac:dyDescent="0.2">
      <c r="A2042" s="5">
        <v>1981</v>
      </c>
      <c r="B2042" s="138">
        <f>'Cap Outlay Deprec 26'!I13</f>
        <v>6136</v>
      </c>
      <c r="D2042" s="2" t="str">
        <f t="shared" si="30"/>
        <v>Error?</v>
      </c>
    </row>
    <row r="2043" spans="1:4" x14ac:dyDescent="0.2">
      <c r="A2043" s="5">
        <v>1982</v>
      </c>
      <c r="B2043" s="138">
        <f>'Cap Outlay Deprec 26'!I16</f>
        <v>46455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692683</v>
      </c>
      <c r="C2051" s="2" t="s">
        <v>573</v>
      </c>
      <c r="D2051" s="2" t="str">
        <f t="shared" si="31"/>
        <v>Error?</v>
      </c>
    </row>
    <row r="2052" spans="1:4" x14ac:dyDescent="0.2">
      <c r="A2052" s="5">
        <v>1991</v>
      </c>
      <c r="B2052" s="138">
        <f>'Cap Outlay Deprec 26'!K10</f>
        <v>7104</v>
      </c>
      <c r="C2052" s="2" t="s">
        <v>573</v>
      </c>
      <c r="D2052" s="2" t="str">
        <f t="shared" si="31"/>
        <v>Error?</v>
      </c>
    </row>
    <row r="2053" spans="1:4" x14ac:dyDescent="0.2">
      <c r="A2053" s="5">
        <v>1992</v>
      </c>
      <c r="B2053" s="138">
        <f>'Cap Outlay Deprec 26'!K12</f>
        <v>326256</v>
      </c>
      <c r="C2053" s="2" t="s">
        <v>573</v>
      </c>
      <c r="D2053" s="2" t="str">
        <f t="shared" si="31"/>
        <v>Error?</v>
      </c>
    </row>
    <row r="2054" spans="1:4" x14ac:dyDescent="0.2">
      <c r="A2054" s="5">
        <v>1993</v>
      </c>
      <c r="B2054" s="138">
        <f>'Cap Outlay Deprec 26'!K13</f>
        <v>54223</v>
      </c>
      <c r="C2054" s="2" t="s">
        <v>573</v>
      </c>
      <c r="D2054" s="2" t="str">
        <f t="shared" si="31"/>
        <v>Error?</v>
      </c>
    </row>
    <row r="2055" spans="1:4" x14ac:dyDescent="0.2">
      <c r="A2055" s="5">
        <v>1994</v>
      </c>
      <c r="B2055" s="138">
        <f>'Cap Outlay Deprec 26'!K16</f>
        <v>1080266</v>
      </c>
      <c r="C2055" s="2" t="s">
        <v>573</v>
      </c>
      <c r="D2055" s="2" t="str">
        <f t="shared" si="31"/>
        <v>Error?</v>
      </c>
    </row>
    <row r="2056" spans="1:4" x14ac:dyDescent="0.2">
      <c r="A2056" s="5">
        <v>1995</v>
      </c>
      <c r="B2056" s="138">
        <f>'Cap Outlay Deprec 26'!L5</f>
        <v>8000</v>
      </c>
      <c r="C2056" s="2" t="s">
        <v>573</v>
      </c>
      <c r="D2056" s="2" t="str">
        <f t="shared" si="31"/>
        <v>Error?</v>
      </c>
    </row>
    <row r="2057" spans="1:4" x14ac:dyDescent="0.2">
      <c r="A2057" s="5">
        <v>1996</v>
      </c>
      <c r="B2057" s="138">
        <f>'Cap Outlay Deprec 26'!L8</f>
        <v>711641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24764</v>
      </c>
      <c r="C2059" s="2" t="s">
        <v>573</v>
      </c>
      <c r="D2059" s="2" t="str">
        <f t="shared" si="31"/>
        <v>Error?</v>
      </c>
    </row>
    <row r="2060" spans="1:4" x14ac:dyDescent="0.2">
      <c r="A2060" s="5">
        <v>1999</v>
      </c>
      <c r="B2060" s="138">
        <f>'Cap Outlay Deprec 26'!L13</f>
        <v>17268</v>
      </c>
      <c r="C2060" s="2" t="s">
        <v>573</v>
      </c>
      <c r="D2060" s="2" t="str">
        <f t="shared" si="31"/>
        <v>Error?</v>
      </c>
    </row>
    <row r="2061" spans="1:4" x14ac:dyDescent="0.2">
      <c r="A2061" s="5">
        <v>2000</v>
      </c>
      <c r="B2061" s="138">
        <f>'Cap Outlay Deprec 26'!L16</f>
        <v>761673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28634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3073</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62604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30695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764098</v>
      </c>
      <c r="C2551" s="2" t="s">
        <v>573</v>
      </c>
      <c r="D2551" s="2" t="str">
        <f t="shared" si="38"/>
        <v>Error?</v>
      </c>
    </row>
    <row r="2552" spans="1:4" x14ac:dyDescent="0.2">
      <c r="A2552" s="10">
        <v>2491</v>
      </c>
      <c r="D2552" s="2" t="str">
        <f t="shared" si="38"/>
        <v>OK</v>
      </c>
    </row>
    <row r="2553" spans="1:4" x14ac:dyDescent="0.2">
      <c r="A2553" s="5">
        <v>2492</v>
      </c>
      <c r="B2553" s="138">
        <f>'Acct Summary 7-8'!C6</f>
        <v>249531</v>
      </c>
      <c r="C2553" s="2" t="s">
        <v>573</v>
      </c>
      <c r="D2553" s="2" t="str">
        <f t="shared" si="38"/>
        <v>Error?</v>
      </c>
    </row>
    <row r="2554" spans="1:4" x14ac:dyDescent="0.2">
      <c r="A2554" s="5">
        <v>2493</v>
      </c>
      <c r="B2554" s="138">
        <f>'Acct Summary 7-8'!C7</f>
        <v>142306</v>
      </c>
      <c r="C2554" s="2" t="s">
        <v>573</v>
      </c>
      <c r="D2554" s="2" t="str">
        <f t="shared" si="38"/>
        <v>Error?</v>
      </c>
    </row>
    <row r="2555" spans="1:4" x14ac:dyDescent="0.2">
      <c r="A2555" s="5">
        <v>2494</v>
      </c>
      <c r="B2555" s="138">
        <f>'Acct Summary 7-8'!C8</f>
        <v>1155935</v>
      </c>
      <c r="C2555" s="2" t="s">
        <v>573</v>
      </c>
      <c r="D2555" s="2" t="str">
        <f t="shared" si="38"/>
        <v>Error?</v>
      </c>
    </row>
    <row r="2556" spans="1:4" x14ac:dyDescent="0.2">
      <c r="A2556" s="5">
        <v>2495</v>
      </c>
      <c r="B2556" s="138">
        <f>'Acct Summary 7-8'!C12</f>
        <v>698310</v>
      </c>
      <c r="C2556" s="2" t="s">
        <v>573</v>
      </c>
      <c r="D2556" s="2" t="str">
        <f t="shared" si="38"/>
        <v>Error?</v>
      </c>
    </row>
    <row r="2557" spans="1:4" x14ac:dyDescent="0.2">
      <c r="A2557" s="5">
        <v>2496</v>
      </c>
      <c r="B2557" s="138">
        <f>'Acct Summary 7-8'!C13</f>
        <v>269005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28634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995949</v>
      </c>
      <c r="C2561" s="2" t="s">
        <v>573</v>
      </c>
      <c r="D2561" s="2" t="str">
        <f t="shared" si="39"/>
        <v>Error?</v>
      </c>
    </row>
    <row r="2562" spans="1:4" x14ac:dyDescent="0.2">
      <c r="A2562" s="5">
        <v>2501</v>
      </c>
      <c r="B2562" s="138">
        <f>'Acct Summary 7-8'!C20</f>
        <v>159986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109700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109700</v>
      </c>
      <c r="C2568" s="2" t="s">
        <v>573</v>
      </c>
      <c r="D2568" s="2" t="str">
        <f t="shared" si="39"/>
        <v>Error?</v>
      </c>
    </row>
    <row r="2569" spans="1:4" x14ac:dyDescent="0.2">
      <c r="A2569" s="5">
        <v>2508</v>
      </c>
      <c r="B2569" s="138">
        <f>'Acct Summary 7-8'!D13</f>
        <v>127568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127568</v>
      </c>
      <c r="C2573" s="2" t="s">
        <v>573</v>
      </c>
      <c r="D2573" s="2" t="str">
        <f t="shared" si="39"/>
        <v>Error?</v>
      </c>
    </row>
    <row r="2574" spans="1:4" x14ac:dyDescent="0.2">
      <c r="A2574" s="5">
        <v>2513</v>
      </c>
      <c r="B2574" s="138">
        <f>'Acct Summary 7-8'!D20</f>
        <v>-17868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79332</v>
      </c>
      <c r="C2591" s="2" t="s">
        <v>573</v>
      </c>
      <c r="D2591" s="2" t="str">
        <f t="shared" si="39"/>
        <v>Error?</v>
      </c>
    </row>
    <row r="2592" spans="1:4" x14ac:dyDescent="0.2">
      <c r="A2592" s="10">
        <v>2531</v>
      </c>
      <c r="D2592" s="2" t="str">
        <f t="shared" si="39"/>
        <v>OK</v>
      </c>
    </row>
    <row r="2593" spans="1:4" x14ac:dyDescent="0.2">
      <c r="A2593" s="5">
        <v>2532</v>
      </c>
      <c r="B2593" s="138">
        <f>'Acct Summary 7-8'!F6</f>
        <v>47511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126843</v>
      </c>
      <c r="C2595" s="2" t="s">
        <v>573</v>
      </c>
      <c r="D2595" s="2" t="str">
        <f t="shared" si="39"/>
        <v>Error?</v>
      </c>
    </row>
    <row r="2596" spans="1:4" x14ac:dyDescent="0.2">
      <c r="A2596" s="5">
        <v>2535</v>
      </c>
      <c r="B2596" s="138">
        <f>'Acct Summary 7-8'!F13</f>
        <v>76601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76601</v>
      </c>
      <c r="C2600" s="2" t="s">
        <v>573</v>
      </c>
      <c r="D2600" s="2" t="str">
        <f t="shared" si="39"/>
        <v>Error?</v>
      </c>
    </row>
    <row r="2601" spans="1:4" x14ac:dyDescent="0.2">
      <c r="A2601" s="5">
        <v>2540</v>
      </c>
      <c r="B2601" s="138">
        <f>'Acct Summary 7-8'!F20</f>
        <v>50242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50609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50609</v>
      </c>
      <c r="C2606" s="2" t="s">
        <v>573</v>
      </c>
      <c r="D2606" s="2" t="str">
        <f t="shared" si="39"/>
        <v>Error?</v>
      </c>
    </row>
    <row r="2607" spans="1:4" x14ac:dyDescent="0.2">
      <c r="A2607" s="5">
        <v>2546</v>
      </c>
      <c r="B2607" s="138">
        <f>'Acct Summary 7-8'!G12</f>
        <v>15697</v>
      </c>
      <c r="C2607" s="2" t="s">
        <v>573</v>
      </c>
      <c r="D2607" s="2" t="str">
        <f t="shared" si="39"/>
        <v>Error?</v>
      </c>
    </row>
    <row r="2608" spans="1:4" x14ac:dyDescent="0.2">
      <c r="A2608" s="5">
        <v>2547</v>
      </c>
      <c r="B2608" s="138">
        <f>'Acct Summary 7-8'!G13</f>
        <v>23818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39515</v>
      </c>
      <c r="C2612" s="2" t="s">
        <v>573</v>
      </c>
      <c r="D2612" s="2" t="str">
        <f t="shared" si="39"/>
        <v>Error?</v>
      </c>
    </row>
    <row r="2613" spans="1:4" x14ac:dyDescent="0.2">
      <c r="A2613" s="5">
        <v>2552</v>
      </c>
      <c r="B2613" s="138">
        <f>'Acct Summary 7-8'!G20</f>
        <v>11094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50296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50296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283763</v>
      </c>
      <c r="C2634" s="2" t="s">
        <v>573</v>
      </c>
      <c r="D2634" s="2" t="str">
        <f t="shared" si="40"/>
        <v>Error?</v>
      </c>
    </row>
    <row r="2635" spans="1:4" x14ac:dyDescent="0.2">
      <c r="A2635" s="5">
        <v>2574</v>
      </c>
      <c r="B2635" s="138">
        <f>'Acct Summary 7-8'!E17</f>
        <v>283763</v>
      </c>
      <c r="C2635" s="2" t="s">
        <v>573</v>
      </c>
      <c r="D2635" s="2" t="str">
        <f t="shared" si="40"/>
        <v>Error?</v>
      </c>
    </row>
    <row r="2636" spans="1:4" x14ac:dyDescent="0.2">
      <c r="A2636" s="5">
        <v>2575</v>
      </c>
      <c r="B2636" s="138">
        <f>'Acct Summary 7-8'!E20</f>
        <v>-233467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1081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1081</v>
      </c>
      <c r="C2661" s="2" t="s">
        <v>573</v>
      </c>
      <c r="D2661" s="2" t="str">
        <f t="shared" si="40"/>
        <v>Error?</v>
      </c>
    </row>
    <row r="2662" spans="1:4" x14ac:dyDescent="0.2">
      <c r="A2662" s="5">
        <v>2601</v>
      </c>
      <c r="B2662" s="138">
        <f>'Acct Summary 7-8'!H20</f>
        <v>-1081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28634</v>
      </c>
      <c r="C2789" s="2" t="s">
        <v>573</v>
      </c>
      <c r="D2789" s="2" t="str">
        <f t="shared" si="42"/>
        <v>Error?</v>
      </c>
    </row>
    <row r="2790" spans="1:4" x14ac:dyDescent="0.2">
      <c r="A2790" s="5">
        <v>2729</v>
      </c>
      <c r="B2790" s="138">
        <f>'Expenditures 15-22'!E102</f>
        <v>28634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11304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11304</v>
      </c>
      <c r="D2914" s="2" t="str">
        <f t="shared" si="44"/>
        <v>Error?</v>
      </c>
    </row>
    <row r="2915" spans="1:4" x14ac:dyDescent="0.2">
      <c r="A2915" s="10">
        <v>2854</v>
      </c>
      <c r="D2915" s="2" t="str">
        <f t="shared" si="44"/>
        <v>OK</v>
      </c>
    </row>
    <row r="2916" spans="1:4" x14ac:dyDescent="0.2">
      <c r="A2916" s="5">
        <v>2855</v>
      </c>
      <c r="B2916" s="138">
        <f>'Assets-Liab 5-6'!L34</f>
        <v>11304</v>
      </c>
      <c r="C2916" s="2" t="s">
        <v>573</v>
      </c>
      <c r="D2916" s="2" t="str">
        <f t="shared" si="44"/>
        <v>Error?</v>
      </c>
    </row>
    <row r="2917" spans="1:4" x14ac:dyDescent="0.2">
      <c r="A2917" s="5">
        <v>2856</v>
      </c>
      <c r="B2917" s="138">
        <f>'Assets-Liab 5-6'!L41</f>
        <v>11304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28634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28634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2942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2942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239700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3073</v>
      </c>
      <c r="C3225" s="2" t="s">
        <v>573</v>
      </c>
      <c r="D3225" s="2" t="str">
        <f t="shared" si="49"/>
        <v>Error?</v>
      </c>
    </row>
    <row r="3226" spans="1:4" x14ac:dyDescent="0.2">
      <c r="A3226" s="5">
        <v>3165</v>
      </c>
      <c r="B3226" s="138">
        <f>'Acct Summary 7-8'!I8</f>
        <v>3073</v>
      </c>
      <c r="C3226" s="2" t="s">
        <v>573</v>
      </c>
      <c r="D3226" s="2" t="str">
        <f t="shared" si="49"/>
        <v>Error?</v>
      </c>
    </row>
    <row r="3227" spans="1:4" x14ac:dyDescent="0.2">
      <c r="A3227" s="5">
        <v>3166</v>
      </c>
      <c r="B3227" s="138">
        <f>'Acct Summary 7-8'!I20</f>
        <v>3073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159986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3073</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3073</v>
      </c>
      <c r="C3238" s="2" t="s">
        <v>573</v>
      </c>
      <c r="D3238" s="2" t="str">
        <f t="shared" si="49"/>
        <v>Error?</v>
      </c>
    </row>
    <row r="3239" spans="1:4" x14ac:dyDescent="0.2">
      <c r="A3239" s="5">
        <v>3178</v>
      </c>
      <c r="B3239" s="138">
        <f>'Acct Summary 7-8'!D78</f>
        <v>-14795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50242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11094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239700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239700</v>
      </c>
      <c r="C3277" s="2" t="s">
        <v>573</v>
      </c>
      <c r="D3277" s="2" t="str">
        <f t="shared" si="50"/>
        <v>Error?</v>
      </c>
    </row>
    <row r="3278" spans="1:4" x14ac:dyDescent="0.2">
      <c r="A3278" s="5">
        <v>3217</v>
      </c>
      <c r="B3278" s="138">
        <f>'Acct Summary 7-8'!E78</f>
        <v>6233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-1081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3073</v>
      </c>
      <c r="C3318" s="2" t="s">
        <v>573</v>
      </c>
      <c r="D3318" s="2" t="str">
        <f t="shared" si="50"/>
        <v>Error?</v>
      </c>
    </row>
    <row r="3319" spans="1:4" x14ac:dyDescent="0.2">
      <c r="A3319" s="5">
        <v>3258</v>
      </c>
      <c r="B3319" s="138">
        <f>'Acct Summary 7-8'!I77</f>
        <v>-3073</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95335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16066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761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112162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6820</v>
      </c>
      <c r="D3387" s="2" t="str">
        <f t="shared" si="51"/>
        <v>Error?</v>
      </c>
    </row>
    <row r="3388" spans="1:4" x14ac:dyDescent="0.2">
      <c r="A3388" s="5">
        <v>3327</v>
      </c>
      <c r="B3388" s="138">
        <f>'Expenditures 15-22'!D217</f>
        <v>7550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6820</v>
      </c>
      <c r="C3390" s="2" t="s">
        <v>573</v>
      </c>
      <c r="D3390" s="2" t="str">
        <f t="shared" si="51"/>
        <v>Error?</v>
      </c>
    </row>
    <row r="3391" spans="1:4" x14ac:dyDescent="0.2">
      <c r="A3391" s="5">
        <v>3330</v>
      </c>
      <c r="B3391" s="138">
        <f>'Expenditures 15-22'!K217</f>
        <v>7550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911597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17539</v>
      </c>
      <c r="D3417" s="2" t="str">
        <f t="shared" si="52"/>
        <v>Error?</v>
      </c>
    </row>
    <row r="3418" spans="1:4" x14ac:dyDescent="0.2">
      <c r="A3418" s="10">
        <v>3357</v>
      </c>
      <c r="D3418" s="2" t="str">
        <f t="shared" si="52"/>
        <v>OK</v>
      </c>
    </row>
    <row r="3419" spans="1:4" x14ac:dyDescent="0.2">
      <c r="A3419" s="5">
        <v>3358</v>
      </c>
      <c r="B3419" s="138">
        <f>'Assets-Liab 5-6'!F4</f>
        <v>171960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46724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13503</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11304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24165</v>
      </c>
      <c r="C3446" s="2" t="s">
        <v>573</v>
      </c>
      <c r="D3446" s="2" t="str">
        <f t="shared" si="52"/>
        <v>Error?</v>
      </c>
    </row>
    <row r="3447" spans="1:4" x14ac:dyDescent="0.2">
      <c r="A3447" s="5">
        <v>3386</v>
      </c>
      <c r="B3447" s="138">
        <f>'Tax Sched 23'!D16</f>
        <v>24165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24616</v>
      </c>
      <c r="C3449" s="2" t="s">
        <v>573</v>
      </c>
      <c r="D3449" s="2" t="str">
        <f t="shared" si="52"/>
        <v>Error?</v>
      </c>
    </row>
    <row r="3450" spans="1:4" x14ac:dyDescent="0.2">
      <c r="A3450" s="5">
        <v>3389</v>
      </c>
      <c r="B3450" s="138">
        <f>'Tax Sched 23'!E16</f>
        <v>24616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31888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31888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31888</v>
      </c>
      <c r="D3567" s="2" t="str">
        <f t="shared" si="54"/>
        <v>Error?</v>
      </c>
    </row>
    <row r="3568" spans="1:4" x14ac:dyDescent="0.2">
      <c r="A3568" s="5">
        <v>3507</v>
      </c>
      <c r="B3568" s="138">
        <f>'Assets-Liab 5-6'!K41</f>
        <v>31888</v>
      </c>
      <c r="C3568" s="2" t="s">
        <v>573</v>
      </c>
      <c r="D3568" s="2" t="str">
        <f t="shared" si="54"/>
        <v>Error?</v>
      </c>
    </row>
    <row r="3569" spans="1:4" x14ac:dyDescent="0.2">
      <c r="A3569" s="5">
        <v>3508</v>
      </c>
      <c r="B3569" s="138">
        <f>'Acct Summary 7-8'!K4</f>
        <v>4750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4750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4750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4750</v>
      </c>
      <c r="C3588" s="2" t="s">
        <v>573</v>
      </c>
      <c r="D3588" s="2" t="str">
        <f t="shared" si="55"/>
        <v>Error?</v>
      </c>
    </row>
    <row r="3589" spans="1:4" x14ac:dyDescent="0.2">
      <c r="A3589" s="5">
        <v>3528</v>
      </c>
      <c r="B3589" s="138">
        <f>'Acct Summary 7-8'!K79</f>
        <v>27138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31888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4750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3800</v>
      </c>
      <c r="C3725" s="2" t="s">
        <v>573</v>
      </c>
      <c r="D3725" s="2" t="str">
        <f t="shared" si="57"/>
        <v>Error?</v>
      </c>
    </row>
    <row r="3726" spans="1:4" x14ac:dyDescent="0.2">
      <c r="A3726" s="5">
        <v>3665</v>
      </c>
      <c r="B3726" s="138">
        <f>'Tax Sched 23'!D13</f>
        <v>3800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4038</v>
      </c>
      <c r="C3728" s="2" t="s">
        <v>573</v>
      </c>
      <c r="D3728" s="2" t="str">
        <f t="shared" si="57"/>
        <v>Error?</v>
      </c>
    </row>
    <row r="3729" spans="1:4" x14ac:dyDescent="0.2">
      <c r="A3729" s="5">
        <v>3668</v>
      </c>
      <c r="B3729" s="138">
        <f>'Tax Sched 23'!E13</f>
        <v>4038</v>
      </c>
      <c r="D3729" s="2" t="str">
        <f t="shared" si="57"/>
        <v>Error?</v>
      </c>
    </row>
    <row r="3730" spans="1:4" x14ac:dyDescent="0.2">
      <c r="A3730" s="5">
        <v>3669</v>
      </c>
      <c r="B3730" s="138">
        <f>'ICR Computation 30'!E10</f>
        <v>35006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62036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1217971</v>
      </c>
      <c r="C4122" s="2" t="s">
        <v>573</v>
      </c>
      <c r="D4122" s="2" t="str">
        <f t="shared" si="63"/>
        <v>Error?</v>
      </c>
    </row>
    <row r="4123" spans="1:4" x14ac:dyDescent="0.2">
      <c r="A4123" s="5">
        <v>4062</v>
      </c>
      <c r="B4123" s="138">
        <f>'Acct Summary 7-8'!D10</f>
        <v>109700</v>
      </c>
      <c r="C4123" s="2" t="s">
        <v>573</v>
      </c>
      <c r="D4123" s="2" t="str">
        <f t="shared" si="63"/>
        <v>Error?</v>
      </c>
    </row>
    <row r="4124" spans="1:4" x14ac:dyDescent="0.2">
      <c r="A4124" s="5">
        <v>4063</v>
      </c>
      <c r="B4124" s="138">
        <f>'Acct Summary 7-8'!E10</f>
        <v>50296</v>
      </c>
      <c r="C4124" s="2" t="s">
        <v>573</v>
      </c>
      <c r="D4124" s="2" t="str">
        <f t="shared" si="63"/>
        <v>Error?</v>
      </c>
    </row>
    <row r="4125" spans="1:4" x14ac:dyDescent="0.2">
      <c r="A4125" s="5">
        <v>4064</v>
      </c>
      <c r="B4125" s="138">
        <f>'Acct Summary 7-8'!F10</f>
        <v>126843</v>
      </c>
      <c r="C4125" s="2" t="s">
        <v>573</v>
      </c>
      <c r="D4125" s="2" t="str">
        <f t="shared" si="63"/>
        <v>Error?</v>
      </c>
    </row>
    <row r="4126" spans="1:4" x14ac:dyDescent="0.2">
      <c r="A4126" s="5">
        <v>4065</v>
      </c>
      <c r="B4126" s="138">
        <f>'Acct Summary 7-8'!G10</f>
        <v>50609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3073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4750</v>
      </c>
      <c r="C4130" s="2" t="s">
        <v>573</v>
      </c>
      <c r="D4130" s="2" t="str">
        <f t="shared" si="63"/>
        <v>Error?</v>
      </c>
    </row>
    <row r="4131" spans="1:4" x14ac:dyDescent="0.2">
      <c r="A4131" s="5">
        <v>4070</v>
      </c>
      <c r="B4131" s="138">
        <f>'Acct Summary 7-8'!C18</f>
        <v>62036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1057985</v>
      </c>
      <c r="C4136" s="2" t="s">
        <v>573</v>
      </c>
      <c r="D4136" s="2" t="str">
        <f t="shared" si="63"/>
        <v>Error?</v>
      </c>
    </row>
    <row r="4137" spans="1:4" x14ac:dyDescent="0.2">
      <c r="A4137" s="5">
        <v>4076</v>
      </c>
      <c r="B4137" s="138">
        <f>'Acct Summary 7-8'!D19</f>
        <v>127568</v>
      </c>
      <c r="C4137" s="2" t="s">
        <v>573</v>
      </c>
      <c r="D4137" s="2" t="str">
        <f t="shared" si="63"/>
        <v>Error?</v>
      </c>
    </row>
    <row r="4138" spans="1:4" x14ac:dyDescent="0.2">
      <c r="A4138" s="5">
        <v>4077</v>
      </c>
      <c r="B4138" s="138">
        <f>'Acct Summary 7-8'!E19</f>
        <v>283763</v>
      </c>
      <c r="C4138" s="2" t="s">
        <v>573</v>
      </c>
      <c r="D4138" s="2" t="str">
        <f t="shared" si="63"/>
        <v>Error?</v>
      </c>
    </row>
    <row r="4139" spans="1:4" x14ac:dyDescent="0.2">
      <c r="A4139" s="5">
        <v>4078</v>
      </c>
      <c r="B4139" s="138">
        <f>'Acct Summary 7-8'!F19</f>
        <v>76601</v>
      </c>
      <c r="C4139" s="2" t="s">
        <v>573</v>
      </c>
      <c r="D4139" s="2" t="str">
        <f t="shared" si="63"/>
        <v>Error?</v>
      </c>
    </row>
    <row r="4140" spans="1:4" x14ac:dyDescent="0.2">
      <c r="A4140" s="5">
        <v>4079</v>
      </c>
      <c r="B4140" s="138">
        <f>'Acct Summary 7-8'!G19</f>
        <v>39515</v>
      </c>
      <c r="C4140" s="2" t="s">
        <v>573</v>
      </c>
      <c r="D4140" s="2" t="str">
        <f t="shared" si="63"/>
        <v>Error?</v>
      </c>
    </row>
    <row r="4141" spans="1:4" x14ac:dyDescent="0.2">
      <c r="A4141" s="5">
        <v>4080</v>
      </c>
      <c r="B4141" s="138">
        <f>'Acct Summary 7-8'!H19</f>
        <v>1081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269700</v>
      </c>
      <c r="C4171" s="2" t="s">
        <v>573</v>
      </c>
      <c r="D4171" s="2" t="str">
        <f t="shared" si="64"/>
        <v>Error?</v>
      </c>
    </row>
    <row r="4172" spans="1:4" x14ac:dyDescent="0.2">
      <c r="A4172" s="5">
        <v>4111</v>
      </c>
      <c r="B4172" s="138">
        <f>'Short-Term Long-Term Debt 24'!J49</f>
        <v>252161</v>
      </c>
      <c r="C4172" s="2" t="s">
        <v>573</v>
      </c>
      <c r="D4172" s="2" t="str">
        <f t="shared" si="64"/>
        <v>Error?</v>
      </c>
    </row>
    <row r="4173" spans="1:4" x14ac:dyDescent="0.2">
      <c r="A4173" s="5">
        <v>4112</v>
      </c>
      <c r="B4173" s="138">
        <f>'Short-Term Long-Term Debt 24'!H49</f>
        <v>260000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3129.5000000000005</v>
      </c>
      <c r="C4265" s="2" t="s">
        <v>573</v>
      </c>
      <c r="D4265" s="2" t="str">
        <f t="shared" si="65"/>
        <v>Error?</v>
      </c>
      <c r="E4265" s="128"/>
    </row>
    <row r="4266" spans="1:5" x14ac:dyDescent="0.2">
      <c r="A4266" s="12">
        <v>4205</v>
      </c>
      <c r="B4266" s="138">
        <f>('FP Info 3'!F10)*100000</f>
        <v>488.7</v>
      </c>
      <c r="C4266" s="2" t="s">
        <v>573</v>
      </c>
      <c r="D4266" s="2" t="str">
        <f t="shared" si="65"/>
        <v>Error?</v>
      </c>
      <c r="E4266" s="128"/>
    </row>
    <row r="4267" spans="1:5" x14ac:dyDescent="0.2">
      <c r="A4267" s="12">
        <v>4206</v>
      </c>
      <c r="B4267" s="138">
        <f>('FP Info 3'!H10)*100000</f>
        <v>360.4</v>
      </c>
      <c r="C4267" s="2" t="s">
        <v>573</v>
      </c>
      <c r="D4267" s="2" t="str">
        <f t="shared" si="65"/>
        <v>Error?</v>
      </c>
      <c r="E4267" s="128"/>
    </row>
    <row r="4268" spans="1:5" x14ac:dyDescent="0.2">
      <c r="A4268" s="12">
        <v>4207</v>
      </c>
      <c r="B4268" s="138">
        <f>('FP Info 3'!J10)*100000</f>
        <v>3979</v>
      </c>
      <c r="C4268" s="2" t="s">
        <v>573</v>
      </c>
      <c r="D4268" s="2" t="str">
        <f t="shared" si="65"/>
        <v>Error?</v>
      </c>
    </row>
    <row r="4269" spans="1:5" x14ac:dyDescent="0.2">
      <c r="A4269" s="12">
        <v>4208</v>
      </c>
      <c r="B4269" s="138">
        <f>'FP Info 3'!J16</f>
        <v>1084397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2122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1964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39223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39223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6027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22398500</v>
      </c>
      <c r="D4995" s="2" t="str">
        <f t="shared" si="77"/>
        <v>Error?</v>
      </c>
    </row>
    <row r="4996" spans="1:4" x14ac:dyDescent="0.2">
      <c r="A4996" s="12">
        <v>4935</v>
      </c>
      <c r="B4996" s="138">
        <f>'FP Info 3'!H31</f>
        <v>1545496.5000000002</v>
      </c>
      <c r="D4996" s="2" t="str">
        <f t="shared" si="77"/>
        <v>Error?</v>
      </c>
    </row>
    <row r="4997" spans="1:4" x14ac:dyDescent="0.2">
      <c r="A4997" s="12">
        <v>4936</v>
      </c>
      <c r="B4997" s="138">
        <f>'FP Info 3'!H37</f>
        <v>269700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3800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683601</v>
      </c>
      <c r="D5061" s="2" t="str">
        <f t="shared" si="78"/>
        <v>Error?</v>
      </c>
    </row>
    <row r="5062" spans="1:4" x14ac:dyDescent="0.2">
      <c r="A5062" s="10">
        <v>5001</v>
      </c>
      <c r="D5062" s="2" t="str">
        <f t="shared" si="78"/>
        <v>OK</v>
      </c>
    </row>
    <row r="5063" spans="1:4" x14ac:dyDescent="0.2">
      <c r="A5063" s="5">
        <v>5002</v>
      </c>
      <c r="B5063" s="138">
        <f>'Revenues 9-14'!C7</f>
        <v>2851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690252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24175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24175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4262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4262</v>
      </c>
      <c r="C5087" s="2" t="s">
        <v>573</v>
      </c>
      <c r="D5087" s="2" t="str">
        <f t="shared" si="78"/>
        <v>Error?</v>
      </c>
    </row>
    <row r="5088" spans="1:4" x14ac:dyDescent="0.2">
      <c r="A5088" s="5">
        <v>5027</v>
      </c>
      <c r="B5088" s="138">
        <f>'Revenues 9-14'!C65</f>
        <v>3816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3816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684</v>
      </c>
      <c r="D5094" s="2" t="str">
        <f t="shared" si="78"/>
        <v>Error?</v>
      </c>
    </row>
    <row r="5095" spans="1:4" x14ac:dyDescent="0.2">
      <c r="A5095" s="5">
        <v>5034</v>
      </c>
      <c r="B5095" s="138">
        <f>'Revenues 9-14'!C74</f>
        <v>270</v>
      </c>
      <c r="D5095" s="2" t="str">
        <f t="shared" si="78"/>
        <v>Error?</v>
      </c>
    </row>
    <row r="5096" spans="1:4" x14ac:dyDescent="0.2">
      <c r="A5096" s="5">
        <v>5035</v>
      </c>
      <c r="B5096" s="138">
        <f>'Revenues 9-14'!C75</f>
        <v>21552</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17971</v>
      </c>
      <c r="D5101" s="2" t="str">
        <f t="shared" si="78"/>
        <v>Error?</v>
      </c>
    </row>
    <row r="5102" spans="1:4" x14ac:dyDescent="0.2">
      <c r="A5102" s="5">
        <v>5041</v>
      </c>
      <c r="B5102" s="138">
        <f>'Revenues 9-14'!C82</f>
        <v>17971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2070</v>
      </c>
      <c r="D5119" s="2" t="str">
        <f t="shared" ref="D5119:D5182" si="79">IF(ISBLANK(B5119),"OK",IF(A5119-B5119=0,"OK","Error?"))</f>
        <v>Error?</v>
      </c>
    </row>
    <row r="5120" spans="1:4" x14ac:dyDescent="0.2">
      <c r="A5120" s="5">
        <v>5059</v>
      </c>
      <c r="B5120" s="138">
        <f>'Revenues 9-14'!C108</f>
        <v>2070</v>
      </c>
      <c r="C5120" s="2" t="s">
        <v>573</v>
      </c>
      <c r="D5120" s="2" t="str">
        <f t="shared" si="79"/>
        <v>Error?</v>
      </c>
    </row>
    <row r="5121" spans="1:4" x14ac:dyDescent="0.2">
      <c r="A5121" s="5">
        <v>5060</v>
      </c>
      <c r="B5121" s="138">
        <f>'Revenues 9-14'!C109</f>
        <v>764098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248944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248944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587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249531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25685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6927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32612</v>
      </c>
      <c r="C5246" s="2" t="s">
        <v>573</v>
      </c>
      <c r="D5246" s="2" t="str">
        <f t="shared" si="80"/>
        <v>Error?</v>
      </c>
    </row>
    <row r="5247" spans="1:4" x14ac:dyDescent="0.2">
      <c r="A5247" s="5">
        <v>5186</v>
      </c>
      <c r="B5247" s="138">
        <f>'Revenues 9-14'!C200</f>
        <v>60358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60358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142306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142306</v>
      </c>
      <c r="C5326" s="2" t="s">
        <v>573</v>
      </c>
      <c r="D5326" s="2" t="str">
        <f t="shared" si="82"/>
        <v>Error?</v>
      </c>
    </row>
    <row r="5327" spans="1:5" x14ac:dyDescent="0.2">
      <c r="A5327" s="5">
        <v>5266</v>
      </c>
      <c r="B5327" s="138">
        <f>'Revenues 9-14'!C268</f>
        <v>1155935</v>
      </c>
      <c r="C5327" s="2" t="s">
        <v>573</v>
      </c>
      <c r="D5327" s="2" t="str">
        <f t="shared" si="82"/>
        <v>Error?</v>
      </c>
    </row>
    <row r="5328" spans="1:5" x14ac:dyDescent="0.2">
      <c r="A5328" s="5">
        <v>5267</v>
      </c>
      <c r="B5328" s="138">
        <f>'Revenues 9-14'!D5</f>
        <v>109694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109694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109700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109700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50296</v>
      </c>
      <c r="D5517" s="2" t="str">
        <f t="shared" si="85"/>
        <v>Error?</v>
      </c>
    </row>
    <row r="5518" spans="1:4" x14ac:dyDescent="0.2">
      <c r="A5518" s="5">
        <v>5457</v>
      </c>
      <c r="B5518" s="138">
        <f>'Revenues 9-14'!E18</f>
        <v>50296</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50296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50296</v>
      </c>
      <c r="C5552" s="2" t="s">
        <v>573</v>
      </c>
      <c r="D5552" s="2" t="str">
        <f t="shared" si="85"/>
        <v>Error?</v>
      </c>
    </row>
    <row r="5553" spans="1:4" x14ac:dyDescent="0.2">
      <c r="A5553" s="5">
        <v>5492</v>
      </c>
      <c r="B5553" s="138">
        <f>'Revenues 9-14'!F5</f>
        <v>79332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79332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79332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47511</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47511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47511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47511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126843</v>
      </c>
      <c r="C5720" s="2" t="s">
        <v>573</v>
      </c>
      <c r="D5720" s="2" t="str">
        <f t="shared" si="88"/>
        <v>Error?</v>
      </c>
    </row>
    <row r="5721" spans="1:4" x14ac:dyDescent="0.2">
      <c r="A5721" s="5">
        <v>5660</v>
      </c>
      <c r="B5721" s="138">
        <f>'Revenues 9-14'!G5</f>
        <v>26444</v>
      </c>
      <c r="D5721" s="2" t="str">
        <f t="shared" si="88"/>
        <v>Error?</v>
      </c>
    </row>
    <row r="5722" spans="1:4" x14ac:dyDescent="0.2">
      <c r="A5722" s="5">
        <v>5661</v>
      </c>
      <c r="B5722" s="138">
        <f>'Revenues 9-14'!G7</f>
        <v>0</v>
      </c>
      <c r="D5722" s="2" t="str">
        <f t="shared" si="88"/>
        <v>Error?</v>
      </c>
    </row>
    <row r="5723" spans="1:4" x14ac:dyDescent="0.2">
      <c r="A5723" s="5">
        <v>5662</v>
      </c>
      <c r="B5723" s="138">
        <f>'Revenues 9-14'!G8</f>
        <v>24165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50609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50609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3073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3073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3073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4750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4750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4750</v>
      </c>
      <c r="C6023" s="2" t="s">
        <v>573</v>
      </c>
      <c r="D6023" s="2" t="str">
        <f t="shared" si="93"/>
        <v>Error?</v>
      </c>
    </row>
    <row r="6024" spans="1:5" x14ac:dyDescent="0.2">
      <c r="A6024" s="5">
        <v>5963</v>
      </c>
      <c r="B6024" s="138">
        <f>'Revenues 9-14'!G109</f>
        <v>50609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3073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4750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20598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5804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111.3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40381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40381</v>
      </c>
      <c r="D6215" s="2" t="str">
        <f t="shared" si="96"/>
        <v>Error?</v>
      </c>
      <c r="E6215" s="2" t="s">
        <v>190</v>
      </c>
    </row>
    <row r="6216" spans="1:5" x14ac:dyDescent="0.2">
      <c r="A6216">
        <v>6155</v>
      </c>
      <c r="B6216" s="138">
        <f>'Assets-Liab 5-6'!J41</f>
        <v>40381</v>
      </c>
      <c r="D6216" s="2" t="str">
        <f t="shared" si="96"/>
        <v>Error?</v>
      </c>
      <c r="E6216" s="2" t="s">
        <v>190</v>
      </c>
    </row>
    <row r="6217" spans="1:5" x14ac:dyDescent="0.2">
      <c r="A6217">
        <v>6156</v>
      </c>
      <c r="B6217" s="138">
        <f>'Assets-Liab 5-6'!J4</f>
        <v>40381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29385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29385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29385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30296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30296</v>
      </c>
      <c r="D6229" s="2" t="str">
        <f t="shared" si="96"/>
        <v>Error?</v>
      </c>
      <c r="E6229" s="2" t="s">
        <v>190</v>
      </c>
    </row>
    <row r="6230" spans="1:5" x14ac:dyDescent="0.2">
      <c r="A6230">
        <v>6169</v>
      </c>
      <c r="B6230" s="138">
        <f>'Acct Summary 7-8'!J20</f>
        <v>-911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-911</v>
      </c>
      <c r="D6263" s="2" t="str">
        <f t="shared" si="96"/>
        <v>Error?</v>
      </c>
      <c r="E6263" s="2" t="s">
        <v>190</v>
      </c>
    </row>
    <row r="6264" spans="1:5" x14ac:dyDescent="0.2">
      <c r="A6264">
        <v>6203</v>
      </c>
      <c r="B6264" s="138">
        <f>'Acct Summary 7-8'!J79</f>
        <v>41292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40381</v>
      </c>
      <c r="D6266" s="2" t="str">
        <f t="shared" si="96"/>
        <v>Error?</v>
      </c>
      <c r="E6266" s="2" t="s">
        <v>190</v>
      </c>
    </row>
    <row r="6267" spans="1:5" x14ac:dyDescent="0.2">
      <c r="A6267">
        <v>6206</v>
      </c>
      <c r="B6267" s="138">
        <f>'Acct Summary 7-8'!C82</f>
        <v>159986</v>
      </c>
      <c r="D6267" s="2" t="str">
        <f t="shared" si="96"/>
        <v>Error?</v>
      </c>
      <c r="E6267" s="2" t="s">
        <v>190</v>
      </c>
    </row>
    <row r="6268" spans="1:5" x14ac:dyDescent="0.2">
      <c r="A6268">
        <v>6207</v>
      </c>
      <c r="B6268" s="138">
        <f>'Acct Summary 7-8'!D82</f>
        <v>-14795</v>
      </c>
      <c r="D6268" s="2" t="str">
        <f t="shared" si="96"/>
        <v>Error?</v>
      </c>
      <c r="E6268" s="2" t="s">
        <v>190</v>
      </c>
    </row>
    <row r="6269" spans="1:5" x14ac:dyDescent="0.2">
      <c r="A6269">
        <v>6208</v>
      </c>
      <c r="B6269" s="138">
        <f>'Acct Summary 7-8'!E82</f>
        <v>6233</v>
      </c>
      <c r="D6269" s="2" t="str">
        <f t="shared" si="96"/>
        <v>Error?</v>
      </c>
      <c r="E6269" s="2" t="s">
        <v>190</v>
      </c>
    </row>
    <row r="6270" spans="1:5" x14ac:dyDescent="0.2">
      <c r="A6270">
        <v>6209</v>
      </c>
      <c r="B6270" s="138">
        <f>'Acct Summary 7-8'!F82</f>
        <v>50242</v>
      </c>
      <c r="D6270" s="2" t="str">
        <f t="shared" si="96"/>
        <v>Error?</v>
      </c>
      <c r="E6270" s="2" t="s">
        <v>190</v>
      </c>
    </row>
    <row r="6271" spans="1:5" x14ac:dyDescent="0.2">
      <c r="A6271">
        <v>6210</v>
      </c>
      <c r="B6271" s="138">
        <f>'Acct Summary 7-8'!G82</f>
        <v>11094</v>
      </c>
      <c r="D6271" s="2" t="str">
        <f t="shared" ref="D6271:D6334" si="97">IF(ISBLANK(B6271),"OK",IF(A6271-B6271=0,"OK","Error?"))</f>
        <v>Error?</v>
      </c>
      <c r="E6271" s="2" t="s">
        <v>190</v>
      </c>
    </row>
    <row r="6272" spans="1:5" x14ac:dyDescent="0.2">
      <c r="A6272">
        <v>6211</v>
      </c>
      <c r="B6272" s="138">
        <f>'Acct Summary 7-8'!H82</f>
        <v>-1081</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-911</v>
      </c>
      <c r="D6274" s="2" t="str">
        <f t="shared" si="97"/>
        <v>Error?</v>
      </c>
      <c r="E6274" s="2" t="s">
        <v>190</v>
      </c>
    </row>
    <row r="6275" spans="1:5" x14ac:dyDescent="0.2">
      <c r="A6275">
        <v>6214</v>
      </c>
      <c r="B6275" s="138">
        <f>'Acct Summary 7-8'!K82</f>
        <v>4750</v>
      </c>
      <c r="D6275" s="2" t="str">
        <f t="shared" si="97"/>
        <v>Error?</v>
      </c>
      <c r="E6275" s="2" t="s">
        <v>190</v>
      </c>
    </row>
    <row r="6276" spans="1:5" x14ac:dyDescent="0.2">
      <c r="A6276">
        <v>6215</v>
      </c>
      <c r="B6276" s="138">
        <f>'Acct Summary 7-8'!C83</f>
        <v>0.17550079695303955</v>
      </c>
      <c r="D6276" s="2" t="str">
        <f t="shared" si="97"/>
        <v>Error?</v>
      </c>
      <c r="E6276" s="2" t="s">
        <v>190</v>
      </c>
    </row>
    <row r="6277" spans="1:5" x14ac:dyDescent="0.2">
      <c r="A6277">
        <v>6216</v>
      </c>
      <c r="B6277" s="138">
        <f>'Acct Summary 7-8'!D83</f>
        <v>-17.613095238095237</v>
      </c>
      <c r="D6277" s="2" t="str">
        <f t="shared" si="97"/>
        <v>Error?</v>
      </c>
      <c r="E6277" s="2" t="s">
        <v>190</v>
      </c>
    </row>
    <row r="6278" spans="1:5" x14ac:dyDescent="0.2">
      <c r="A6278">
        <v>6217</v>
      </c>
      <c r="B6278" s="138">
        <f>'Acct Summary 7-8'!E83</f>
        <v>0.35537944010490907</v>
      </c>
      <c r="D6278" s="2" t="str">
        <f t="shared" si="97"/>
        <v>Error?</v>
      </c>
      <c r="E6278" s="2" t="s">
        <v>190</v>
      </c>
    </row>
    <row r="6279" spans="1:5" x14ac:dyDescent="0.2">
      <c r="A6279">
        <v>6218</v>
      </c>
      <c r="B6279" s="138">
        <f>'Acct Summary 7-8'!F83</f>
        <v>0.29217259827866948</v>
      </c>
      <c r="D6279" s="2" t="str">
        <f t="shared" si="97"/>
        <v>Error?</v>
      </c>
      <c r="E6279" s="2" t="s">
        <v>190</v>
      </c>
    </row>
    <row r="6280" spans="1:5" x14ac:dyDescent="0.2">
      <c r="A6280">
        <v>6219</v>
      </c>
      <c r="B6280" s="138">
        <f>'Acct Summary 7-8'!G83</f>
        <v>0.23743686328225322</v>
      </c>
      <c r="D6280" s="2" t="str">
        <f t="shared" si="97"/>
        <v>Error?</v>
      </c>
      <c r="E6280" s="2" t="s">
        <v>190</v>
      </c>
    </row>
    <row r="6281" spans="1:5" x14ac:dyDescent="0.2">
      <c r="A6281">
        <v>6220</v>
      </c>
      <c r="B6281" s="138">
        <f>'Acct Summary 7-8'!H83</f>
        <v>-8.005628378878768E-2</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-2.2560114905524876E-2</v>
      </c>
      <c r="D6283" s="2" t="str">
        <f t="shared" si="97"/>
        <v>Error?</v>
      </c>
      <c r="E6283" s="2" t="s">
        <v>190</v>
      </c>
    </row>
    <row r="6284" spans="1:5" x14ac:dyDescent="0.2">
      <c r="A6284">
        <v>6223</v>
      </c>
      <c r="B6284" s="138">
        <f>'Acct Summary 7-8'!K83</f>
        <v>0.14895885599598596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29385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29385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29385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30296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29385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14911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14911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2896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2896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12489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12489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30296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30296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30296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30296</v>
      </c>
      <c r="D7224" s="2" t="str">
        <f t="shared" si="111"/>
        <v>Error?</v>
      </c>
    </row>
    <row r="7225" spans="1:4" x14ac:dyDescent="0.2">
      <c r="A7225">
        <v>7164</v>
      </c>
      <c r="B7225" s="138">
        <f>'Expenditures 15-22'!K343</f>
        <v>-911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46455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2851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3073</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1585</v>
      </c>
      <c r="D7797" s="2" t="str">
        <f t="shared" si="127"/>
        <v>Error?</v>
      </c>
      <c r="E7797" s="4" t="s">
        <v>1903</v>
      </c>
    </row>
    <row r="7798" spans="1:5" x14ac:dyDescent="0.2">
      <c r="A7798">
        <v>7737</v>
      </c>
      <c r="B7798" s="138">
        <f>'Contracts Paid in CY 29'!F141</f>
        <v>1585</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1987</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Cornell CCSD 426</v>
      </c>
      <c r="B7" s="2405"/>
      <c r="C7" s="2405"/>
      <c r="D7" s="2406"/>
      <c r="E7" s="2407">
        <f>COVER!A13</f>
        <v>17053426004</v>
      </c>
      <c r="F7" s="2408"/>
      <c r="G7" s="2414" t="str">
        <f>COVER!T23</f>
        <v>066-005100</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Mack &amp; Associates, P.C.</v>
      </c>
      <c r="H9" s="2420"/>
      <c r="I9" s="2420"/>
      <c r="J9" s="2420"/>
      <c r="K9" s="2420"/>
      <c r="L9" s="2421"/>
    </row>
    <row r="10" spans="1:29" ht="13.5" customHeight="1" x14ac:dyDescent="0.2">
      <c r="A10" s="2394" t="str">
        <f>COVER!A38</f>
        <v>Geoff Schoonover</v>
      </c>
      <c r="B10" s="2395"/>
      <c r="C10" s="2395"/>
      <c r="D10" s="2395"/>
      <c r="E10" s="2395"/>
      <c r="F10" s="2396"/>
      <c r="G10" s="2388" t="str">
        <f>COVER!T17</f>
        <v>116 E. Washington St., Suite One</v>
      </c>
      <c r="H10" s="2389"/>
      <c r="I10" s="2389"/>
      <c r="J10" s="2389"/>
      <c r="K10" s="2389"/>
      <c r="L10" s="2390"/>
    </row>
    <row r="11" spans="1:29" ht="13.5" customHeight="1" x14ac:dyDescent="0.2">
      <c r="A11" s="1184" t="s">
        <v>1519</v>
      </c>
      <c r="B11" s="1185"/>
      <c r="C11" s="1186"/>
      <c r="D11" s="1191"/>
      <c r="E11" s="1186"/>
      <c r="F11" s="1190"/>
      <c r="G11" s="2388" t="str">
        <f>COVER!T19</f>
        <v>Morris</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tmack@mackcpas.com</v>
      </c>
      <c r="J13" s="2401"/>
      <c r="K13" s="2401"/>
      <c r="L13" s="2402"/>
    </row>
    <row r="14" spans="1:29" ht="13.5" customHeight="1" x14ac:dyDescent="0.2">
      <c r="A14" s="2388" t="str">
        <f>COVER!A19</f>
        <v>300 North 7th Street</v>
      </c>
      <c r="B14" s="2389"/>
      <c r="C14" s="2389"/>
      <c r="D14" s="2389"/>
      <c r="E14" s="2389"/>
      <c r="F14" s="2390"/>
      <c r="G14" s="1195" t="s">
        <v>1185</v>
      </c>
      <c r="H14" s="1193"/>
      <c r="I14" s="1193"/>
      <c r="J14" s="1193"/>
      <c r="K14" s="1193"/>
      <c r="L14" s="1194"/>
    </row>
    <row r="15" spans="1:29" ht="13.5" customHeight="1" x14ac:dyDescent="0.2">
      <c r="A15" s="2388" t="str">
        <f>COVER!A21</f>
        <v>Cornell</v>
      </c>
      <c r="B15" s="2389"/>
      <c r="C15" s="2389"/>
      <c r="D15" s="2389"/>
      <c r="E15" s="2389"/>
      <c r="F15" s="2390"/>
      <c r="G15" s="2385" t="str">
        <f>COVER!T15</f>
        <v>Tawnya Mack, CPA</v>
      </c>
      <c r="H15" s="2386"/>
      <c r="I15" s="2386"/>
      <c r="J15" s="2386"/>
      <c r="K15" s="2386"/>
      <c r="L15" s="2387"/>
    </row>
    <row r="16" spans="1:29" ht="12.2" customHeight="1" x14ac:dyDescent="0.2">
      <c r="A16" s="2410">
        <f>COVER!A25</f>
        <v>61319</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815-942-3306</v>
      </c>
      <c r="H18" s="2405"/>
      <c r="I18" s="2405"/>
      <c r="J18" s="2405"/>
      <c r="K18" s="2404" t="str">
        <f>COVER!X21</f>
        <v>815-942-9430</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Cornell CCSD 426</v>
      </c>
      <c r="B1" s="2403"/>
      <c r="C1" s="2403"/>
      <c r="D1" s="2403"/>
    </row>
    <row r="2" spans="1:11" s="1212" customFormat="1" ht="12.75" x14ac:dyDescent="0.2">
      <c r="A2" s="2427">
        <f>'Single Audit Cover'!E7</f>
        <v>17053426004</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Cornell CCSD 426</v>
      </c>
      <c r="B1" s="2430"/>
      <c r="C1" s="2430"/>
      <c r="D1" s="2430"/>
      <c r="E1" s="2430"/>
    </row>
    <row r="2" spans="1:5" x14ac:dyDescent="0.2">
      <c r="A2" s="2431">
        <f>'Single Audit Cover'!E7</f>
        <v>17053426004</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142306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5804</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-1964</v>
      </c>
    </row>
    <row r="19" spans="1:4" ht="13.5" thickBot="1" x14ac:dyDescent="0.25">
      <c r="A19" s="1262" t="s">
        <v>1235</v>
      </c>
      <c r="D19" s="1263">
        <f>SUM(D10:D17)</f>
        <v>146146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146146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146146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Cornell CCSD 426</v>
      </c>
      <c r="C1" s="2434"/>
      <c r="D1" s="2434"/>
      <c r="E1" s="2434"/>
      <c r="F1" s="2434"/>
      <c r="G1" s="2434"/>
      <c r="H1" s="2434"/>
      <c r="I1" s="2434"/>
      <c r="J1" s="2434"/>
      <c r="K1" s="2434"/>
      <c r="L1" s="2434"/>
      <c r="M1" s="2434"/>
    </row>
    <row r="2" spans="2:14" ht="15" x14ac:dyDescent="0.2">
      <c r="B2" s="2435">
        <f>'Single Audit Cover'!E7</f>
        <v>17053426004</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Cornell CCSD 426</v>
      </c>
      <c r="B1" s="2447"/>
      <c r="C1" s="2447"/>
      <c r="D1" s="2447"/>
      <c r="E1" s="2447"/>
      <c r="F1" s="2447"/>
    </row>
    <row r="2" spans="1:7" ht="13.5" customHeight="1" x14ac:dyDescent="0.2">
      <c r="A2" s="2435">
        <f>'Single Audit Cover'!E7</f>
        <v>17053426004</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0" t="s">
        <v>1732</v>
      </c>
      <c r="B32" s="2440"/>
      <c r="C32" s="2440"/>
      <c r="D32" s="2440"/>
      <c r="E32" s="2440"/>
      <c r="F32" s="2440"/>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1">
        <f>+C33+C34</f>
        <v>0</v>
      </c>
      <c r="F34" s="244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5"/>
      <c r="C50" s="1845"/>
      <c r="D50" s="1845"/>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Cornell CCSD 426</v>
      </c>
      <c r="C1" s="2462"/>
      <c r="D1" s="2462"/>
      <c r="E1" s="2462"/>
      <c r="F1" s="2462"/>
      <c r="G1" s="2462"/>
      <c r="H1" s="2462"/>
      <c r="I1" s="2462"/>
      <c r="J1" s="1406"/>
    </row>
    <row r="2" spans="2:10" s="317" customFormat="1" ht="12.75" customHeight="1" x14ac:dyDescent="0.2">
      <c r="B2" s="2463">
        <f>'Single Audit Cover'!E7</f>
        <v>17053426004</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c r="E29" s="2468"/>
      <c r="F29" s="2468"/>
      <c r="G29" s="2468"/>
      <c r="H29" s="2468"/>
      <c r="I29" s="246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9" t="s">
        <v>1751</v>
      </c>
      <c r="D37" s="2470"/>
      <c r="E37" s="2470"/>
      <c r="F37" s="2471"/>
      <c r="G37" s="2469" t="s">
        <v>1592</v>
      </c>
      <c r="H37" s="2470"/>
      <c r="I37" s="2471"/>
    </row>
    <row r="38" spans="2:9" ht="16.5" customHeight="1" x14ac:dyDescent="0.2">
      <c r="B38" s="1428"/>
      <c r="C38" s="2457"/>
      <c r="D38" s="2458"/>
      <c r="E38" s="2458"/>
      <c r="F38" s="2459"/>
      <c r="G38" s="2472"/>
      <c r="H38" s="2473"/>
      <c r="I38" s="2474"/>
    </row>
    <row r="39" spans="2:9" ht="16.5" customHeight="1" x14ac:dyDescent="0.2">
      <c r="B39" s="1428"/>
      <c r="C39" s="2457"/>
      <c r="D39" s="2458"/>
      <c r="E39" s="2458"/>
      <c r="F39" s="2459"/>
      <c r="G39" s="2460"/>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50" t="s">
        <v>1593</v>
      </c>
      <c r="D43" s="2451"/>
      <c r="E43" s="2451"/>
      <c r="F43" s="2452"/>
      <c r="G43" s="2453">
        <f>SUM(G38:I42)</f>
        <v>0</v>
      </c>
      <c r="H43" s="2453"/>
      <c r="I43" s="2453"/>
    </row>
    <row r="44" spans="2:9" ht="12.75" customHeight="1" x14ac:dyDescent="0.2"/>
    <row r="45" spans="2:9" ht="12.75" customHeight="1" x14ac:dyDescent="0.2">
      <c r="B45" s="1419" t="s">
        <v>2062</v>
      </c>
      <c r="D45" s="2454">
        <v>0</v>
      </c>
      <c r="E45" s="245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6"/>
      <c r="F49" s="2456"/>
      <c r="G49" s="245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Cornell CCSD 426</v>
      </c>
      <c r="C1" s="2461"/>
      <c r="D1" s="2461"/>
      <c r="E1" s="2461"/>
      <c r="F1" s="2461"/>
      <c r="G1" s="2461"/>
      <c r="H1" s="2461"/>
      <c r="I1" s="2461"/>
      <c r="J1" s="2461"/>
      <c r="K1" s="2461"/>
      <c r="L1" s="1371"/>
      <c r="M1" s="1371"/>
    </row>
    <row r="2" spans="1:13" ht="12" customHeight="1" x14ac:dyDescent="0.2">
      <c r="B2" s="2463">
        <f>'Single Audit Cover'!E7</f>
        <v>17053426004</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Cornell CCSD 426</v>
      </c>
      <c r="C1" s="2484"/>
      <c r="D1" s="2484"/>
      <c r="E1" s="2484"/>
      <c r="F1" s="2484"/>
      <c r="G1" s="2484"/>
      <c r="H1" s="2484"/>
      <c r="I1" s="2484"/>
      <c r="J1" s="2484"/>
      <c r="K1" s="2484"/>
      <c r="L1" s="1449"/>
    </row>
    <row r="2" spans="1:12" ht="12.75" customHeight="1" x14ac:dyDescent="0.2">
      <c r="B2" s="2485">
        <f>'Single Audit Cover'!E7</f>
        <v>17053426004</v>
      </c>
      <c r="C2" s="2485"/>
      <c r="D2" s="2485"/>
      <c r="E2" s="2485"/>
      <c r="F2" s="2485"/>
      <c r="G2" s="2485"/>
      <c r="H2" s="2485"/>
      <c r="I2" s="2485"/>
      <c r="J2" s="2485"/>
      <c r="K2" s="2485"/>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Cornell CCSD 426</v>
      </c>
      <c r="C1" s="2461"/>
      <c r="D1" s="2461"/>
      <c r="E1" s="1469"/>
    </row>
    <row r="2" spans="2:5" s="1279" customFormat="1" ht="12.75" customHeight="1" x14ac:dyDescent="0.2">
      <c r="B2" s="2463">
        <f>'Single Audit Cover'!E7</f>
        <v>17053426004</v>
      </c>
      <c r="C2" s="2463"/>
      <c r="D2" s="2463"/>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dcmitype/"/>
    <ds:schemaRef ds:uri="d21dc803-237d-4c68-8692-8d731fd29118"/>
    <ds:schemaRef ds:uri="4d435f69-8686-490b-bd6d-b153bf22ab50"/>
    <ds:schemaRef ds:uri="6ce3111e-7420-4802-b50a-75d4e9a0b980"/>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HOPKINS CONSTANCE</cp:lastModifiedBy>
  <cp:lastPrinted>2019-10-30T13:09:17Z</cp:lastPrinted>
  <dcterms:created xsi:type="dcterms:W3CDTF">2003-10-29T19:06:34Z</dcterms:created>
  <dcterms:modified xsi:type="dcterms:W3CDTF">2019-12-09T21:44:08Z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a50edf53-4796-4232-91f3-0b79b60c4854</vt:lpwstr>
  </property>
</Properties>
</file>